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personal\tmp\PEBA\"/>
    </mc:Choice>
  </mc:AlternateContent>
  <xr:revisionPtr revIDLastSave="0" documentId="13_ncr:1_{16F16B9F-5467-4791-9522-0F3EEBA7228F}" xr6:coauthVersionLast="47" xr6:coauthVersionMax="47" xr10:uidLastSave="{00000000-0000-0000-0000-000000000000}"/>
  <bookViews>
    <workbookView xWindow="-108" yWindow="-108" windowWidth="23256" windowHeight="12576" tabRatio="735" activeTab="1" xr2:uid="{00000000-000D-0000-FFFF-FFFF00000000}"/>
  </bookViews>
  <sheets>
    <sheet name="AMA" sheetId="9" r:id="rId1"/>
    <sheet name="AMABat" sheetId="5" r:id="rId2"/>
    <sheet name="AMAPit" sheetId="6" r:id="rId3"/>
    <sheet name="AMA-future" sheetId="37" r:id="rId4"/>
    <sheet name="AMA-next" sheetId="36" r:id="rId5"/>
    <sheet name="Payroll" sheetId="7" r:id="rId6"/>
    <sheet name="Fin Proj" sheetId="26" r:id="rId7"/>
    <sheet name="Depth" sheetId="25" r:id="rId8"/>
    <sheet name="END-AAA" sheetId="34" r:id="rId9"/>
    <sheet name="DB-AA" sheetId="33" r:id="rId10"/>
    <sheet name="UTR-A" sheetId="32" r:id="rId11"/>
    <sheet name="FAI-S A" sheetId="30" r:id="rId12"/>
    <sheet name="PP-R" sheetId="38" r:id="rId13"/>
    <sheet name="AMABOld" sheetId="22" r:id="rId14"/>
    <sheet name="AMAPOld" sheetId="23" r:id="rId15"/>
  </sheets>
  <definedNames>
    <definedName name="_xlnm._FilterDatabase" localSheetId="1" hidden="1">AMABat!$B$10:$CR$146</definedName>
    <definedName name="_xlnm._FilterDatabase" localSheetId="2" hidden="1">AMAPit!$B$10:$BQ$125</definedName>
    <definedName name="_xlnm._FilterDatabase" localSheetId="5" hidden="1">Payroll!$A$2:$O$45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1" i="5" l="1"/>
  <c r="AV11" i="5" s="1"/>
  <c r="AW11" i="5"/>
  <c r="AX11" i="5" s="1"/>
  <c r="BA11" i="5"/>
  <c r="BB11" i="5"/>
  <c r="AU12" i="5"/>
  <c r="AV12" i="5" s="1"/>
  <c r="AW12" i="5"/>
  <c r="AX12" i="5" s="1"/>
  <c r="BA12" i="5"/>
  <c r="BB12" i="5"/>
  <c r="AU13" i="5"/>
  <c r="AV13" i="5" s="1"/>
  <c r="AW13" i="5"/>
  <c r="AX13" i="5" s="1"/>
  <c r="BA13" i="5"/>
  <c r="BB13" i="5"/>
  <c r="AU14" i="5"/>
  <c r="AV14" i="5" s="1"/>
  <c r="AW14" i="5"/>
  <c r="AX14" i="5" s="1"/>
  <c r="BA14" i="5"/>
  <c r="BB14" i="5"/>
  <c r="AU15" i="5"/>
  <c r="AV15" i="5" s="1"/>
  <c r="AW15" i="5"/>
  <c r="AX15" i="5" s="1"/>
  <c r="BA15" i="5"/>
  <c r="BB15" i="5"/>
  <c r="AU16" i="5"/>
  <c r="AV16" i="5" s="1"/>
  <c r="AW16" i="5"/>
  <c r="AX16" i="5" s="1"/>
  <c r="BA16" i="5"/>
  <c r="BB16" i="5"/>
  <c r="AU17" i="5"/>
  <c r="AV17" i="5" s="1"/>
  <c r="AW17" i="5"/>
  <c r="AX17" i="5" s="1"/>
  <c r="BA17" i="5"/>
  <c r="BB17" i="5"/>
  <c r="AU18" i="5"/>
  <c r="AV18" i="5" s="1"/>
  <c r="AW18" i="5"/>
  <c r="AX18" i="5" s="1"/>
  <c r="BA18" i="5"/>
  <c r="BB18" i="5"/>
  <c r="AU19" i="5"/>
  <c r="AV19" i="5" s="1"/>
  <c r="AW19" i="5"/>
  <c r="AX19" i="5" s="1"/>
  <c r="BA19" i="5"/>
  <c r="BB19" i="5"/>
  <c r="AU20" i="5"/>
  <c r="AV20" i="5" s="1"/>
  <c r="AW20" i="5"/>
  <c r="AX20" i="5" s="1"/>
  <c r="BA20" i="5"/>
  <c r="BB20" i="5"/>
  <c r="AU21" i="5"/>
  <c r="AV21" i="5" s="1"/>
  <c r="AW21" i="5"/>
  <c r="AX21" i="5" s="1"/>
  <c r="BA21" i="5"/>
  <c r="BB21" i="5"/>
  <c r="AU22" i="5"/>
  <c r="AW22" i="5"/>
  <c r="AX22" i="5" s="1"/>
  <c r="BA22" i="5"/>
  <c r="BB22" i="5"/>
  <c r="AU23" i="5"/>
  <c r="AW23" i="5"/>
  <c r="AX23" i="5" s="1"/>
  <c r="BA23" i="5"/>
  <c r="BB23" i="5"/>
  <c r="AU24" i="5"/>
  <c r="AW24" i="5"/>
  <c r="AX24" i="5" s="1"/>
  <c r="BA24" i="5"/>
  <c r="BB24" i="5"/>
  <c r="AU25" i="5"/>
  <c r="AW25" i="5"/>
  <c r="AX25" i="5" s="1"/>
  <c r="BA25" i="5"/>
  <c r="BB25" i="5"/>
  <c r="AU26" i="5"/>
  <c r="AW26" i="5"/>
  <c r="AX26" i="5" s="1"/>
  <c r="BA26" i="5"/>
  <c r="BB26" i="5"/>
  <c r="AU28" i="5"/>
  <c r="AW28" i="5"/>
  <c r="AX28" i="5" s="1"/>
  <c r="BA28" i="5"/>
  <c r="BB28" i="5"/>
  <c r="AU29" i="5"/>
  <c r="AW29" i="5"/>
  <c r="AX29" i="5" s="1"/>
  <c r="BA29" i="5"/>
  <c r="BB29" i="5"/>
  <c r="AU27" i="5"/>
  <c r="AW27" i="5"/>
  <c r="AX27" i="5" s="1"/>
  <c r="BA27" i="5"/>
  <c r="BB27" i="5"/>
  <c r="AU30" i="5"/>
  <c r="AW30" i="5"/>
  <c r="AX30" i="5" s="1"/>
  <c r="BA30" i="5"/>
  <c r="BB30" i="5"/>
  <c r="AU31" i="5"/>
  <c r="AW31" i="5"/>
  <c r="AX31" i="5" s="1"/>
  <c r="BA31" i="5"/>
  <c r="BB31" i="5"/>
  <c r="AU32" i="5"/>
  <c r="AW32" i="5"/>
  <c r="AX32" i="5" s="1"/>
  <c r="BA32" i="5"/>
  <c r="BB32" i="5"/>
  <c r="AU33" i="5"/>
  <c r="AW33" i="5"/>
  <c r="AX33" i="5" s="1"/>
  <c r="BA33" i="5"/>
  <c r="BB33" i="5"/>
  <c r="AU34" i="5"/>
  <c r="AW34" i="5"/>
  <c r="AX34" i="5" s="1"/>
  <c r="BA34" i="5"/>
  <c r="BB34" i="5"/>
  <c r="AU35" i="5"/>
  <c r="AW35" i="5"/>
  <c r="AX35" i="5" s="1"/>
  <c r="BA35" i="5"/>
  <c r="BB35" i="5"/>
  <c r="AU36" i="5"/>
  <c r="AW36" i="5"/>
  <c r="AX36" i="5" s="1"/>
  <c r="BA36" i="5"/>
  <c r="BB36" i="5"/>
  <c r="AU37" i="5"/>
  <c r="AW37" i="5"/>
  <c r="AX37" i="5" s="1"/>
  <c r="BA37" i="5"/>
  <c r="BB37" i="5"/>
  <c r="AU38" i="5"/>
  <c r="AW38" i="5"/>
  <c r="AX38" i="5" s="1"/>
  <c r="BA38" i="5"/>
  <c r="BB38" i="5"/>
  <c r="AU39" i="5"/>
  <c r="AW39" i="5"/>
  <c r="AX39" i="5" s="1"/>
  <c r="BA39" i="5"/>
  <c r="BB39" i="5"/>
  <c r="AU40" i="5"/>
  <c r="AW40" i="5"/>
  <c r="AX40" i="5" s="1"/>
  <c r="BA40" i="5"/>
  <c r="BB40" i="5"/>
  <c r="AU41" i="5"/>
  <c r="AW41" i="5"/>
  <c r="AX41" i="5" s="1"/>
  <c r="BA41" i="5"/>
  <c r="BB41" i="5"/>
  <c r="AU42" i="5"/>
  <c r="AW42" i="5"/>
  <c r="AX42" i="5" s="1"/>
  <c r="BA42" i="5"/>
  <c r="BB42" i="5"/>
  <c r="AU43" i="5"/>
  <c r="AW43" i="5"/>
  <c r="AX43" i="5" s="1"/>
  <c r="BA43" i="5"/>
  <c r="BB43" i="5"/>
  <c r="AU44" i="5"/>
  <c r="AW44" i="5"/>
  <c r="AX44" i="5" s="1"/>
  <c r="BA44" i="5"/>
  <c r="BB44" i="5"/>
  <c r="AU45" i="5"/>
  <c r="AW45" i="5"/>
  <c r="AX45" i="5" s="1"/>
  <c r="BA45" i="5"/>
  <c r="BB45" i="5"/>
  <c r="AU46" i="5"/>
  <c r="AW46" i="5"/>
  <c r="AX46" i="5" s="1"/>
  <c r="BA46" i="5"/>
  <c r="BB46" i="5"/>
  <c r="AU47" i="5"/>
  <c r="AW47" i="5"/>
  <c r="AX47" i="5" s="1"/>
  <c r="BA47" i="5"/>
  <c r="BB47" i="5"/>
  <c r="AU50" i="5"/>
  <c r="AW50" i="5"/>
  <c r="AX50" i="5" s="1"/>
  <c r="BA50" i="5"/>
  <c r="BB50" i="5"/>
  <c r="AU48" i="5"/>
  <c r="AW48" i="5"/>
  <c r="AX48" i="5" s="1"/>
  <c r="BA48" i="5"/>
  <c r="BB48" i="5"/>
  <c r="AU49" i="5"/>
  <c r="AW49" i="5"/>
  <c r="AX49" i="5" s="1"/>
  <c r="BA49" i="5"/>
  <c r="BB49" i="5"/>
  <c r="AU52" i="5"/>
  <c r="AW52" i="5"/>
  <c r="AX52" i="5" s="1"/>
  <c r="BA52" i="5"/>
  <c r="BB52" i="5"/>
  <c r="AU51" i="5"/>
  <c r="AW51" i="5"/>
  <c r="AX51" i="5" s="1"/>
  <c r="BA51" i="5"/>
  <c r="BB51" i="5"/>
  <c r="AU53" i="5"/>
  <c r="AW53" i="5"/>
  <c r="AX53" i="5" s="1"/>
  <c r="BA53" i="5"/>
  <c r="BB53" i="5"/>
  <c r="AU54" i="5"/>
  <c r="AW54" i="5"/>
  <c r="AX54" i="5" s="1"/>
  <c r="BA54" i="5"/>
  <c r="BB54" i="5"/>
  <c r="AU55" i="5"/>
  <c r="AW55" i="5"/>
  <c r="AX55" i="5" s="1"/>
  <c r="BA55" i="5"/>
  <c r="BB55" i="5"/>
  <c r="AU56" i="5"/>
  <c r="AW56" i="5"/>
  <c r="AX56" i="5" s="1"/>
  <c r="BA56" i="5"/>
  <c r="BB56" i="5"/>
  <c r="AU57" i="5"/>
  <c r="AW57" i="5"/>
  <c r="AX57" i="5" s="1"/>
  <c r="BA57" i="5"/>
  <c r="BB57" i="5"/>
  <c r="AU58" i="5"/>
  <c r="AW58" i="5"/>
  <c r="AX58" i="5" s="1"/>
  <c r="BA58" i="5"/>
  <c r="BB58" i="5"/>
  <c r="AU59" i="5"/>
  <c r="AW59" i="5"/>
  <c r="AX59" i="5" s="1"/>
  <c r="BA59" i="5"/>
  <c r="BB59" i="5"/>
  <c r="AU60" i="5"/>
  <c r="AW60" i="5"/>
  <c r="AX60" i="5" s="1"/>
  <c r="BA60" i="5"/>
  <c r="BB60" i="5"/>
  <c r="AU61" i="5"/>
  <c r="AW61" i="5"/>
  <c r="AX61" i="5" s="1"/>
  <c r="BA61" i="5"/>
  <c r="BB61" i="5"/>
  <c r="AU62" i="5"/>
  <c r="AW62" i="5"/>
  <c r="AX62" i="5" s="1"/>
  <c r="BA62" i="5"/>
  <c r="BB62" i="5"/>
  <c r="AU69" i="5"/>
  <c r="AW69" i="5"/>
  <c r="AX69" i="5" s="1"/>
  <c r="BA69" i="5"/>
  <c r="BB69" i="5"/>
  <c r="AU68" i="5"/>
  <c r="AW68" i="5"/>
  <c r="AX68" i="5" s="1"/>
  <c r="BA68" i="5"/>
  <c r="BB68" i="5"/>
  <c r="AU66" i="5"/>
  <c r="AW66" i="5"/>
  <c r="AX66" i="5" s="1"/>
  <c r="BA66" i="5"/>
  <c r="BB66" i="5"/>
  <c r="AU64" i="5"/>
  <c r="AW64" i="5"/>
  <c r="AX64" i="5" s="1"/>
  <c r="BA64" i="5"/>
  <c r="BB64" i="5"/>
  <c r="AU63" i="5"/>
  <c r="AW63" i="5"/>
  <c r="AX63" i="5" s="1"/>
  <c r="BA63" i="5"/>
  <c r="BB63" i="5"/>
  <c r="AU65" i="5"/>
  <c r="AW65" i="5"/>
  <c r="AX65" i="5" s="1"/>
  <c r="BA65" i="5"/>
  <c r="BB65" i="5"/>
  <c r="AU67" i="5"/>
  <c r="AW67" i="5"/>
  <c r="AX67" i="5" s="1"/>
  <c r="BA67" i="5"/>
  <c r="BB67" i="5"/>
  <c r="AU72" i="5"/>
  <c r="AW72" i="5"/>
  <c r="AX72" i="5" s="1"/>
  <c r="BA72" i="5"/>
  <c r="BB72" i="5"/>
  <c r="AU70" i="5"/>
  <c r="AW70" i="5"/>
  <c r="AX70" i="5" s="1"/>
  <c r="BA70" i="5"/>
  <c r="BB70" i="5"/>
  <c r="AU71" i="5"/>
  <c r="AW71" i="5"/>
  <c r="AX71" i="5" s="1"/>
  <c r="BA71" i="5"/>
  <c r="BB71" i="5"/>
  <c r="AU73" i="5"/>
  <c r="AW73" i="5"/>
  <c r="AX73" i="5" s="1"/>
  <c r="BA73" i="5"/>
  <c r="BB73" i="5"/>
  <c r="AU74" i="5"/>
  <c r="AW74" i="5"/>
  <c r="AX74" i="5" s="1"/>
  <c r="BA74" i="5"/>
  <c r="BB74" i="5"/>
  <c r="AU77" i="5"/>
  <c r="AW77" i="5"/>
  <c r="AX77" i="5" s="1"/>
  <c r="BA77" i="5"/>
  <c r="BB77" i="5"/>
  <c r="AU76" i="5"/>
  <c r="AW76" i="5"/>
  <c r="AX76" i="5" s="1"/>
  <c r="BA76" i="5"/>
  <c r="BB76" i="5"/>
  <c r="AU75" i="5"/>
  <c r="AW75" i="5"/>
  <c r="AX75" i="5" s="1"/>
  <c r="BA75" i="5"/>
  <c r="BB75" i="5"/>
  <c r="AU78" i="5"/>
  <c r="AW78" i="5"/>
  <c r="AX78" i="5" s="1"/>
  <c r="BA78" i="5"/>
  <c r="BB78" i="5"/>
  <c r="AU80" i="5"/>
  <c r="AW80" i="5"/>
  <c r="AX80" i="5" s="1"/>
  <c r="BA80" i="5"/>
  <c r="BB80" i="5"/>
  <c r="AU81" i="5"/>
  <c r="AW81" i="5"/>
  <c r="AX81" i="5" s="1"/>
  <c r="BA81" i="5"/>
  <c r="BB81" i="5"/>
  <c r="AU79" i="5"/>
  <c r="AW79" i="5"/>
  <c r="AX79" i="5" s="1"/>
  <c r="BA79" i="5"/>
  <c r="BB79" i="5"/>
  <c r="AU82" i="5"/>
  <c r="AW82" i="5"/>
  <c r="AX82" i="5" s="1"/>
  <c r="BA82" i="5"/>
  <c r="BB82" i="5"/>
  <c r="AU84" i="5"/>
  <c r="AW84" i="5"/>
  <c r="AX84" i="5" s="1"/>
  <c r="BA84" i="5"/>
  <c r="BB84" i="5"/>
  <c r="AU83" i="5"/>
  <c r="AW83" i="5"/>
  <c r="AX83" i="5" s="1"/>
  <c r="BA83" i="5"/>
  <c r="BB83" i="5"/>
  <c r="AU85" i="5"/>
  <c r="AW85" i="5"/>
  <c r="AX85" i="5" s="1"/>
  <c r="BA85" i="5"/>
  <c r="BB85" i="5"/>
  <c r="AU86" i="5"/>
  <c r="AW86" i="5"/>
  <c r="AX86" i="5" s="1"/>
  <c r="BA86" i="5"/>
  <c r="BB86" i="5"/>
  <c r="AU87" i="5"/>
  <c r="AW87" i="5"/>
  <c r="AX87" i="5" s="1"/>
  <c r="BA87" i="5"/>
  <c r="BB87" i="5"/>
  <c r="AU88" i="5"/>
  <c r="AW88" i="5"/>
  <c r="AX88" i="5" s="1"/>
  <c r="BA88" i="5"/>
  <c r="BB88" i="5"/>
  <c r="AU89" i="5"/>
  <c r="AW89" i="5"/>
  <c r="AX89" i="5" s="1"/>
  <c r="BA89" i="5"/>
  <c r="BB89" i="5"/>
  <c r="AU90" i="5"/>
  <c r="AW90" i="5"/>
  <c r="AX90" i="5" s="1"/>
  <c r="BA90" i="5"/>
  <c r="BB90" i="5"/>
  <c r="AU91" i="5"/>
  <c r="AW91" i="5"/>
  <c r="AX91" i="5" s="1"/>
  <c r="BA91" i="5"/>
  <c r="BB91" i="5"/>
  <c r="AU92" i="5"/>
  <c r="AW92" i="5"/>
  <c r="AX92" i="5" s="1"/>
  <c r="BA92" i="5"/>
  <c r="BB92" i="5"/>
  <c r="AU94" i="5"/>
  <c r="AW94" i="5"/>
  <c r="AX94" i="5" s="1"/>
  <c r="BA94" i="5"/>
  <c r="BB94" i="5"/>
  <c r="AU93" i="5"/>
  <c r="AW93" i="5"/>
  <c r="AX93" i="5" s="1"/>
  <c r="BA93" i="5"/>
  <c r="BB93" i="5"/>
  <c r="AU95" i="5"/>
  <c r="AW95" i="5"/>
  <c r="AX95" i="5" s="1"/>
  <c r="BA95" i="5"/>
  <c r="BB95" i="5"/>
  <c r="AU98" i="5"/>
  <c r="AW98" i="5"/>
  <c r="AX98" i="5" s="1"/>
  <c r="BA98" i="5"/>
  <c r="BB98" i="5"/>
  <c r="BA109" i="23"/>
  <c r="BA110" i="23"/>
  <c r="BA111" i="23"/>
  <c r="BA112" i="23"/>
  <c r="BA113" i="23"/>
  <c r="BA114" i="23"/>
  <c r="BA115" i="23"/>
  <c r="BA116" i="23"/>
  <c r="BB116" i="23" s="1"/>
  <c r="BA117" i="23"/>
  <c r="BA118" i="23"/>
  <c r="BA119" i="23"/>
  <c r="BA120" i="23"/>
  <c r="BA121" i="23"/>
  <c r="BA122" i="23"/>
  <c r="BA123" i="23"/>
  <c r="BA124" i="23"/>
  <c r="BB124" i="23" s="1"/>
  <c r="BA125" i="23"/>
  <c r="BB109" i="23"/>
  <c r="BB110" i="23"/>
  <c r="BB111" i="23"/>
  <c r="BB112" i="23"/>
  <c r="BB113" i="23"/>
  <c r="BB114" i="23"/>
  <c r="BB115" i="23"/>
  <c r="BB117" i="23"/>
  <c r="BB118" i="23"/>
  <c r="BB119" i="23"/>
  <c r="BB120" i="23"/>
  <c r="BB121" i="23"/>
  <c r="BB122" i="23"/>
  <c r="BB123" i="23"/>
  <c r="BB125" i="23"/>
  <c r="BC109" i="23"/>
  <c r="BC110" i="23"/>
  <c r="BC111" i="23"/>
  <c r="BC112" i="23"/>
  <c r="BC113" i="23"/>
  <c r="BC114" i="23"/>
  <c r="BD114" i="23" s="1"/>
  <c r="BC115" i="23"/>
  <c r="BC116" i="23"/>
  <c r="BC117" i="23"/>
  <c r="BC118" i="23"/>
  <c r="BC119" i="23"/>
  <c r="BC120" i="23"/>
  <c r="BC121" i="23"/>
  <c r="BC122" i="23"/>
  <c r="BD122" i="23" s="1"/>
  <c r="BC123" i="23"/>
  <c r="BC124" i="23"/>
  <c r="BC125" i="23"/>
  <c r="BD109" i="23"/>
  <c r="BD110" i="23"/>
  <c r="BD111" i="23"/>
  <c r="BD112" i="23"/>
  <c r="BD113" i="23"/>
  <c r="BD115" i="23"/>
  <c r="BD116" i="23"/>
  <c r="BD117" i="23"/>
  <c r="BD118" i="23"/>
  <c r="BD119" i="23"/>
  <c r="BD120" i="23"/>
  <c r="BD121" i="23"/>
  <c r="BD123" i="23"/>
  <c r="BD124" i="23"/>
  <c r="BD125" i="23"/>
  <c r="BE109" i="23"/>
  <c r="BE110" i="23"/>
  <c r="BE111" i="23"/>
  <c r="BE112" i="23"/>
  <c r="BF112" i="23" s="1"/>
  <c r="BE113" i="23"/>
  <c r="BE115" i="23"/>
  <c r="BE117" i="23"/>
  <c r="BE118" i="23"/>
  <c r="BE119" i="23"/>
  <c r="BE120" i="23"/>
  <c r="BF120" i="23" s="1"/>
  <c r="BE121" i="23"/>
  <c r="BE123" i="23"/>
  <c r="BE125" i="23"/>
  <c r="BF109" i="23"/>
  <c r="BF110" i="23"/>
  <c r="BF111" i="23"/>
  <c r="BF113" i="23"/>
  <c r="BF115" i="23"/>
  <c r="BF117" i="23"/>
  <c r="BF118" i="23"/>
  <c r="BF119" i="23"/>
  <c r="BF121" i="23"/>
  <c r="BF123" i="23"/>
  <c r="BF125" i="23"/>
  <c r="BG109" i="23"/>
  <c r="BG110" i="23"/>
  <c r="BG111" i="23"/>
  <c r="BG112" i="23"/>
  <c r="BG113" i="23"/>
  <c r="BG114" i="23"/>
  <c r="BG115" i="23"/>
  <c r="BG116" i="23"/>
  <c r="BG117" i="23"/>
  <c r="BG118" i="23"/>
  <c r="BG119" i="23"/>
  <c r="BG120" i="23"/>
  <c r="BG121" i="23"/>
  <c r="BG122" i="23"/>
  <c r="BG123" i="23"/>
  <c r="BG124" i="23"/>
  <c r="BG125" i="23"/>
  <c r="BH109" i="23"/>
  <c r="BH110" i="23"/>
  <c r="BH111" i="23"/>
  <c r="BH112" i="23"/>
  <c r="BH113" i="23"/>
  <c r="BH114" i="23"/>
  <c r="BH115" i="23"/>
  <c r="BH116" i="23"/>
  <c r="BH117" i="23"/>
  <c r="BH118" i="23"/>
  <c r="BH119" i="23"/>
  <c r="BH120" i="23"/>
  <c r="BH121" i="23"/>
  <c r="BH122" i="23"/>
  <c r="BH123" i="23"/>
  <c r="BH124" i="23"/>
  <c r="BH125" i="23"/>
  <c r="BI109" i="23"/>
  <c r="BI110" i="23"/>
  <c r="BI111" i="23"/>
  <c r="BI112" i="23"/>
  <c r="BI113" i="23"/>
  <c r="BI114" i="23"/>
  <c r="BI115" i="23"/>
  <c r="BI116" i="23"/>
  <c r="BI117" i="23"/>
  <c r="BI118" i="23"/>
  <c r="BI119" i="23"/>
  <c r="BI120" i="23"/>
  <c r="BI121" i="23"/>
  <c r="BI122" i="23"/>
  <c r="BI123" i="23"/>
  <c r="BI124" i="23"/>
  <c r="BI125" i="23"/>
  <c r="BP114" i="23"/>
  <c r="BP119" i="23"/>
  <c r="BQ114" i="23"/>
  <c r="BQ119" i="23"/>
  <c r="BR110" i="23"/>
  <c r="BR114" i="23"/>
  <c r="BR120" i="23"/>
  <c r="BR122" i="23"/>
  <c r="BS110" i="23"/>
  <c r="BS114" i="23"/>
  <c r="BS120" i="23"/>
  <c r="BS122" i="23"/>
  <c r="BT109" i="23"/>
  <c r="BT110" i="23"/>
  <c r="BT113" i="23"/>
  <c r="BT115" i="23"/>
  <c r="BT116" i="23"/>
  <c r="BT118" i="23"/>
  <c r="BT119" i="23"/>
  <c r="BU109" i="23"/>
  <c r="BU110" i="23"/>
  <c r="BU113" i="23"/>
  <c r="BU115" i="23"/>
  <c r="BU116" i="23"/>
  <c r="BU118" i="23"/>
  <c r="BU119" i="23"/>
  <c r="BV111" i="23"/>
  <c r="BV112" i="23"/>
  <c r="BV117" i="23"/>
  <c r="BV119" i="23"/>
  <c r="BV120" i="23"/>
  <c r="BV121" i="23"/>
  <c r="BV123" i="23"/>
  <c r="BV124" i="23"/>
  <c r="BV125" i="23"/>
  <c r="BW111" i="23"/>
  <c r="BW112" i="23"/>
  <c r="BW117" i="23"/>
  <c r="BW119" i="23"/>
  <c r="BW120" i="23"/>
  <c r="BW121" i="23"/>
  <c r="BW123" i="23"/>
  <c r="BW124" i="23"/>
  <c r="BW125" i="23"/>
  <c r="BX109" i="23"/>
  <c r="BX110" i="23"/>
  <c r="BX111" i="23"/>
  <c r="BX112" i="23"/>
  <c r="BX113" i="23"/>
  <c r="BX114" i="23"/>
  <c r="BX115" i="23"/>
  <c r="BX116" i="23"/>
  <c r="BX117" i="23"/>
  <c r="BX118" i="23"/>
  <c r="BX120" i="23"/>
  <c r="BX121" i="23"/>
  <c r="BX122" i="23"/>
  <c r="BX123" i="23"/>
  <c r="BX124" i="23"/>
  <c r="BX125" i="23"/>
  <c r="BY109" i="23"/>
  <c r="BY110" i="23"/>
  <c r="BY111" i="23"/>
  <c r="BY112" i="23"/>
  <c r="BY113" i="23"/>
  <c r="BY114" i="23"/>
  <c r="BY115" i="23"/>
  <c r="BY116" i="23"/>
  <c r="BY117" i="23"/>
  <c r="BY118" i="23"/>
  <c r="BY120" i="23"/>
  <c r="BY121" i="23"/>
  <c r="BY122" i="23"/>
  <c r="BY123" i="23"/>
  <c r="BY124" i="23"/>
  <c r="BY125" i="23"/>
  <c r="BZ109" i="23"/>
  <c r="BZ110" i="23"/>
  <c r="BZ111" i="23"/>
  <c r="BZ112" i="23"/>
  <c r="BZ113" i="23"/>
  <c r="BZ114" i="23"/>
  <c r="BZ115" i="23"/>
  <c r="BZ116" i="23"/>
  <c r="BZ117" i="23"/>
  <c r="BZ118" i="23"/>
  <c r="BZ119" i="23"/>
  <c r="BZ120" i="23"/>
  <c r="BZ121" i="23"/>
  <c r="BZ122" i="23"/>
  <c r="BZ123" i="23"/>
  <c r="BZ124" i="23"/>
  <c r="BZ125" i="23"/>
  <c r="CA109" i="23"/>
  <c r="CA110" i="23"/>
  <c r="CA111" i="23"/>
  <c r="CA112" i="23"/>
  <c r="CA113" i="23"/>
  <c r="CA114" i="23"/>
  <c r="CA115" i="23"/>
  <c r="CA116" i="23"/>
  <c r="CA117" i="23"/>
  <c r="CA118" i="23"/>
  <c r="CA119" i="23"/>
  <c r="CA120" i="23"/>
  <c r="CA121" i="23"/>
  <c r="CA122" i="23"/>
  <c r="CA123" i="23"/>
  <c r="CA124" i="23"/>
  <c r="CA125" i="23"/>
  <c r="CB109" i="23"/>
  <c r="CB110" i="23"/>
  <c r="CB111" i="23"/>
  <c r="CB112" i="23"/>
  <c r="CB113" i="23"/>
  <c r="CB115" i="23"/>
  <c r="CB116" i="23"/>
  <c r="CB117" i="23"/>
  <c r="CB118" i="23"/>
  <c r="CB120" i="23"/>
  <c r="CB121" i="23"/>
  <c r="CB122" i="23"/>
  <c r="CB123" i="23"/>
  <c r="CB124" i="23"/>
  <c r="CB125" i="23"/>
  <c r="CC109" i="23"/>
  <c r="CC110" i="23"/>
  <c r="CC111" i="23"/>
  <c r="CC112" i="23"/>
  <c r="CC113" i="23"/>
  <c r="CC115" i="23"/>
  <c r="CC116" i="23"/>
  <c r="CC117" i="23"/>
  <c r="CC118" i="23"/>
  <c r="CC120" i="23"/>
  <c r="CC121" i="23"/>
  <c r="CC122" i="23"/>
  <c r="CC123" i="23"/>
  <c r="CC124" i="23"/>
  <c r="CC125" i="23"/>
  <c r="CD109" i="23"/>
  <c r="CD110" i="23"/>
  <c r="CD111" i="23"/>
  <c r="CD112" i="23"/>
  <c r="CD113" i="23"/>
  <c r="CD117" i="23"/>
  <c r="CD118" i="23"/>
  <c r="CD119" i="23"/>
  <c r="CD120" i="23"/>
  <c r="CD121" i="23"/>
  <c r="CD122" i="23"/>
  <c r="CD124" i="23"/>
  <c r="CD125" i="23"/>
  <c r="CE109" i="23"/>
  <c r="CE110" i="23"/>
  <c r="CE111" i="23"/>
  <c r="CE112" i="23"/>
  <c r="CE113" i="23"/>
  <c r="CE117" i="23"/>
  <c r="CE118" i="23"/>
  <c r="CE119" i="23"/>
  <c r="CE120" i="23"/>
  <c r="CE121" i="23"/>
  <c r="CE122" i="23"/>
  <c r="CE124" i="23"/>
  <c r="CE125" i="23"/>
  <c r="CF109" i="23"/>
  <c r="CF111" i="23"/>
  <c r="CF112" i="23"/>
  <c r="CF113" i="23"/>
  <c r="CF114" i="23"/>
  <c r="CF115" i="23"/>
  <c r="CF116" i="23"/>
  <c r="CF117" i="23"/>
  <c r="CF118" i="23"/>
  <c r="CF119" i="23"/>
  <c r="CF121" i="23"/>
  <c r="CF122" i="23"/>
  <c r="CF123" i="23"/>
  <c r="CF124" i="23"/>
  <c r="CF125" i="23"/>
  <c r="CG109" i="23"/>
  <c r="CG111" i="23"/>
  <c r="CG112" i="23"/>
  <c r="CG113" i="23"/>
  <c r="CG114" i="23"/>
  <c r="CG115" i="23"/>
  <c r="CG116" i="23"/>
  <c r="CG117" i="23"/>
  <c r="CG118" i="23"/>
  <c r="CG119" i="23"/>
  <c r="CG121" i="23"/>
  <c r="CG122" i="23"/>
  <c r="CG123" i="23"/>
  <c r="CG124" i="23"/>
  <c r="CG125" i="23"/>
  <c r="CH109" i="23"/>
  <c r="CH110" i="23"/>
  <c r="CH111" i="23"/>
  <c r="CH112" i="23"/>
  <c r="CH113" i="23"/>
  <c r="CH114" i="23"/>
  <c r="CH115" i="23"/>
  <c r="CH116" i="23"/>
  <c r="CH117" i="23"/>
  <c r="CH118" i="23"/>
  <c r="CH119" i="23"/>
  <c r="CH120" i="23"/>
  <c r="CH121" i="23"/>
  <c r="CH122" i="23"/>
  <c r="CH123" i="23"/>
  <c r="CH124" i="23"/>
  <c r="CH125" i="23"/>
  <c r="CI109" i="23"/>
  <c r="CI110" i="23"/>
  <c r="CI111" i="23"/>
  <c r="CI112" i="23"/>
  <c r="CI113" i="23"/>
  <c r="CI114" i="23"/>
  <c r="CI115" i="23"/>
  <c r="CI116" i="23"/>
  <c r="CI117" i="23"/>
  <c r="CI118" i="23"/>
  <c r="CI119" i="23"/>
  <c r="CI120" i="23"/>
  <c r="CI121" i="23"/>
  <c r="CI122" i="23"/>
  <c r="CI123" i="23"/>
  <c r="CI124" i="23"/>
  <c r="CI125" i="23"/>
  <c r="CJ109" i="23"/>
  <c r="CJ110" i="23"/>
  <c r="CJ111" i="23"/>
  <c r="CJ112" i="23"/>
  <c r="CJ113" i="23"/>
  <c r="CJ114" i="23"/>
  <c r="CJ115" i="23"/>
  <c r="CJ116" i="23"/>
  <c r="CJ117" i="23"/>
  <c r="CJ118" i="23"/>
  <c r="CJ119" i="23"/>
  <c r="CJ120" i="23"/>
  <c r="CJ121" i="23"/>
  <c r="CJ122" i="23"/>
  <c r="CJ123" i="23"/>
  <c r="CJ124" i="23"/>
  <c r="CJ125" i="23"/>
  <c r="CK109" i="23"/>
  <c r="CK110" i="23"/>
  <c r="CK111" i="23"/>
  <c r="CK112" i="23"/>
  <c r="CK113" i="23"/>
  <c r="CK114" i="23"/>
  <c r="CK115" i="23"/>
  <c r="CK116" i="23"/>
  <c r="CK117" i="23"/>
  <c r="CK118" i="23"/>
  <c r="CK119" i="23"/>
  <c r="CK120" i="23"/>
  <c r="CK121" i="23"/>
  <c r="CK122" i="23"/>
  <c r="CK123" i="23"/>
  <c r="CK124" i="23"/>
  <c r="CK125" i="23"/>
  <c r="CL109" i="23"/>
  <c r="CL110" i="23"/>
  <c r="CL111" i="23"/>
  <c r="CL112" i="23"/>
  <c r="CL113" i="23"/>
  <c r="CL114" i="23"/>
  <c r="CL115" i="23"/>
  <c r="CL116" i="23"/>
  <c r="CL117" i="23"/>
  <c r="CL118" i="23"/>
  <c r="CL119" i="23"/>
  <c r="CL120" i="23"/>
  <c r="CL121" i="23"/>
  <c r="CL122" i="23"/>
  <c r="CL123" i="23"/>
  <c r="CL124" i="23"/>
  <c r="CL125" i="23"/>
  <c r="CM109" i="23"/>
  <c r="CM110" i="23"/>
  <c r="CM111" i="23"/>
  <c r="CM112" i="23"/>
  <c r="CM113" i="23"/>
  <c r="CM114" i="23"/>
  <c r="CM115" i="23"/>
  <c r="CM116" i="23"/>
  <c r="CM117" i="23"/>
  <c r="CM118" i="23"/>
  <c r="CM119" i="23"/>
  <c r="CM120" i="23"/>
  <c r="CM121" i="23"/>
  <c r="CM122" i="23"/>
  <c r="CM123" i="23"/>
  <c r="CM124" i="23"/>
  <c r="CM125" i="23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E136" i="22"/>
  <c r="F125" i="22"/>
  <c r="F126" i="22"/>
  <c r="F127" i="22"/>
  <c r="F128" i="22"/>
  <c r="F129" i="22"/>
  <c r="F130" i="22"/>
  <c r="F131" i="22"/>
  <c r="F132" i="22"/>
  <c r="F133" i="22"/>
  <c r="F134" i="22"/>
  <c r="F135" i="22"/>
  <c r="F136" i="22"/>
  <c r="F137" i="22"/>
  <c r="F138" i="22"/>
  <c r="F139" i="22"/>
  <c r="F140" i="22"/>
  <c r="F141" i="22"/>
  <c r="F142" i="22"/>
  <c r="F143" i="22"/>
  <c r="F144" i="22"/>
  <c r="F145" i="22"/>
  <c r="F146" i="22"/>
  <c r="AU125" i="22"/>
  <c r="AV125" i="22" s="1"/>
  <c r="AU126" i="22"/>
  <c r="AU127" i="22"/>
  <c r="AU128" i="22"/>
  <c r="AU129" i="22"/>
  <c r="AU130" i="22"/>
  <c r="AV130" i="22" s="1"/>
  <c r="AU131" i="22"/>
  <c r="AU132" i="22"/>
  <c r="AV132" i="22" s="1"/>
  <c r="AU133" i="22"/>
  <c r="AV133" i="22" s="1"/>
  <c r="AU134" i="22"/>
  <c r="AU135" i="22"/>
  <c r="AU136" i="22"/>
  <c r="AU137" i="22"/>
  <c r="AU138" i="22"/>
  <c r="AV138" i="22" s="1"/>
  <c r="AU139" i="22"/>
  <c r="AU140" i="22"/>
  <c r="AV140" i="22" s="1"/>
  <c r="AU141" i="22"/>
  <c r="AV141" i="22" s="1"/>
  <c r="AU142" i="22"/>
  <c r="AU143" i="22"/>
  <c r="AU144" i="22"/>
  <c r="AU145" i="22"/>
  <c r="AU146" i="22"/>
  <c r="AV146" i="22" s="1"/>
  <c r="AV126" i="22"/>
  <c r="AV127" i="22"/>
  <c r="AV128" i="22"/>
  <c r="AV129" i="22"/>
  <c r="AV131" i="22"/>
  <c r="AV134" i="22"/>
  <c r="AV135" i="22"/>
  <c r="AV136" i="22"/>
  <c r="AV137" i="22"/>
  <c r="AV139" i="22"/>
  <c r="AV142" i="22"/>
  <c r="AV143" i="22"/>
  <c r="AV144" i="22"/>
  <c r="AV145" i="22"/>
  <c r="AW125" i="22"/>
  <c r="AW126" i="22"/>
  <c r="AX126" i="22" s="1"/>
  <c r="AW127" i="22"/>
  <c r="AW128" i="22"/>
  <c r="AY128" i="22" s="1"/>
  <c r="AZ128" i="22" s="1"/>
  <c r="AW129" i="22"/>
  <c r="AY129" i="22" s="1"/>
  <c r="AZ129" i="22" s="1"/>
  <c r="AW130" i="22"/>
  <c r="AW131" i="22"/>
  <c r="AY131" i="22" s="1"/>
  <c r="AZ131" i="22" s="1"/>
  <c r="AW132" i="22"/>
  <c r="AW133" i="22"/>
  <c r="AW134" i="22"/>
  <c r="AX134" i="22" s="1"/>
  <c r="AW135" i="22"/>
  <c r="AW136" i="22"/>
  <c r="AY136" i="22" s="1"/>
  <c r="AZ136" i="22" s="1"/>
  <c r="AW137" i="22"/>
  <c r="AY137" i="22" s="1"/>
  <c r="AZ137" i="22" s="1"/>
  <c r="AW138" i="22"/>
  <c r="AW139" i="22"/>
  <c r="AY139" i="22" s="1"/>
  <c r="AZ139" i="22" s="1"/>
  <c r="AW140" i="22"/>
  <c r="AW141" i="22"/>
  <c r="AW142" i="22"/>
  <c r="AX142" i="22" s="1"/>
  <c r="AW143" i="22"/>
  <c r="AW144" i="22"/>
  <c r="AY144" i="22" s="1"/>
  <c r="AZ144" i="22" s="1"/>
  <c r="AW145" i="22"/>
  <c r="AY145" i="22" s="1"/>
  <c r="AZ145" i="22" s="1"/>
  <c r="AW146" i="22"/>
  <c r="AX125" i="22"/>
  <c r="AX127" i="22"/>
  <c r="AX130" i="22"/>
  <c r="AX131" i="22"/>
  <c r="AX132" i="22"/>
  <c r="AX133" i="22"/>
  <c r="AX135" i="22"/>
  <c r="AX138" i="22"/>
  <c r="AX139" i="22"/>
  <c r="AX140" i="22"/>
  <c r="AX141" i="22"/>
  <c r="AX143" i="22"/>
  <c r="AX146" i="22"/>
  <c r="AY125" i="22"/>
  <c r="AZ125" i="22" s="1"/>
  <c r="AY126" i="22"/>
  <c r="AY127" i="22"/>
  <c r="AY130" i="22"/>
  <c r="AZ130" i="22" s="1"/>
  <c r="AY132" i="22"/>
  <c r="AZ132" i="22" s="1"/>
  <c r="AY133" i="22"/>
  <c r="AZ133" i="22" s="1"/>
  <c r="AY134" i="22"/>
  <c r="AY135" i="22"/>
  <c r="AY138" i="22"/>
  <c r="AZ138" i="22" s="1"/>
  <c r="AY140" i="22"/>
  <c r="AZ140" i="22" s="1"/>
  <c r="AY141" i="22"/>
  <c r="AZ141" i="22" s="1"/>
  <c r="AY142" i="22"/>
  <c r="AY143" i="22"/>
  <c r="AY146" i="22"/>
  <c r="AZ146" i="22" s="1"/>
  <c r="AZ126" i="22"/>
  <c r="AZ127" i="22"/>
  <c r="AZ134" i="22"/>
  <c r="AZ135" i="22"/>
  <c r="AZ142" i="22"/>
  <c r="AZ143" i="22"/>
  <c r="BA125" i="22"/>
  <c r="BA126" i="22"/>
  <c r="BA127" i="22"/>
  <c r="BA128" i="22"/>
  <c r="BA129" i="22"/>
  <c r="BA130" i="22"/>
  <c r="BA131" i="22"/>
  <c r="BA132" i="22"/>
  <c r="BA133" i="22"/>
  <c r="BA134" i="22"/>
  <c r="BA135" i="22"/>
  <c r="BA136" i="22"/>
  <c r="BA137" i="22"/>
  <c r="BA138" i="22"/>
  <c r="BA139" i="22"/>
  <c r="BA140" i="22"/>
  <c r="BA141" i="22"/>
  <c r="BA142" i="22"/>
  <c r="BA143" i="22"/>
  <c r="BA144" i="22"/>
  <c r="E144" i="22" s="1"/>
  <c r="BA145" i="22"/>
  <c r="BA146" i="22"/>
  <c r="BB125" i="22"/>
  <c r="BB126" i="22"/>
  <c r="BB127" i="22"/>
  <c r="BB128" i="22"/>
  <c r="BB129" i="22"/>
  <c r="BB130" i="22"/>
  <c r="BB131" i="22"/>
  <c r="BB132" i="22"/>
  <c r="BB133" i="22"/>
  <c r="BB134" i="22"/>
  <c r="BB135" i="22"/>
  <c r="BB136" i="22"/>
  <c r="BB137" i="22"/>
  <c r="BB138" i="22"/>
  <c r="BB139" i="22"/>
  <c r="BB140" i="22"/>
  <c r="BB141" i="22"/>
  <c r="BB142" i="22"/>
  <c r="BB143" i="22"/>
  <c r="BB144" i="22"/>
  <c r="BB145" i="22"/>
  <c r="BB146" i="22"/>
  <c r="BC125" i="22"/>
  <c r="E125" i="22" s="1"/>
  <c r="BC126" i="22"/>
  <c r="E126" i="22" s="1"/>
  <c r="BC127" i="22"/>
  <c r="E127" i="22" s="1"/>
  <c r="BC128" i="22"/>
  <c r="BC129" i="22"/>
  <c r="E129" i="22" s="1"/>
  <c r="BC130" i="22"/>
  <c r="E130" i="22" s="1"/>
  <c r="BC131" i="22"/>
  <c r="E131" i="22" s="1"/>
  <c r="BC132" i="22"/>
  <c r="E132" i="22" s="1"/>
  <c r="BC133" i="22"/>
  <c r="E133" i="22" s="1"/>
  <c r="BC134" i="22"/>
  <c r="E134" i="22" s="1"/>
  <c r="BC135" i="22"/>
  <c r="E135" i="22" s="1"/>
  <c r="BC136" i="22"/>
  <c r="BC137" i="22"/>
  <c r="E137" i="22" s="1"/>
  <c r="BC138" i="22"/>
  <c r="E138" i="22" s="1"/>
  <c r="BC139" i="22"/>
  <c r="E139" i="22" s="1"/>
  <c r="BC140" i="22"/>
  <c r="E140" i="22" s="1"/>
  <c r="BC141" i="22"/>
  <c r="E141" i="22" s="1"/>
  <c r="BC142" i="22"/>
  <c r="E142" i="22" s="1"/>
  <c r="BC143" i="22"/>
  <c r="E143" i="22" s="1"/>
  <c r="BC144" i="22"/>
  <c r="BC145" i="22"/>
  <c r="E145" i="22" s="1"/>
  <c r="BC146" i="22"/>
  <c r="E146" i="22" s="1"/>
  <c r="BD125" i="22"/>
  <c r="BD126" i="22"/>
  <c r="BD127" i="22"/>
  <c r="BD128" i="22"/>
  <c r="BD129" i="22"/>
  <c r="BD130" i="22"/>
  <c r="BD131" i="22"/>
  <c r="BD132" i="22"/>
  <c r="BD133" i="22"/>
  <c r="BD134" i="22"/>
  <c r="BD135" i="22"/>
  <c r="BD136" i="22"/>
  <c r="BD137" i="22"/>
  <c r="BD138" i="22"/>
  <c r="BD139" i="22"/>
  <c r="BD140" i="22"/>
  <c r="BD141" i="22"/>
  <c r="BD142" i="22"/>
  <c r="BD143" i="22"/>
  <c r="BD144" i="22"/>
  <c r="BD145" i="22"/>
  <c r="BD146" i="22"/>
  <c r="BE125" i="22"/>
  <c r="BE126" i="22"/>
  <c r="BE127" i="22"/>
  <c r="BE128" i="22"/>
  <c r="E128" i="22" s="1"/>
  <c r="BE129" i="22"/>
  <c r="BE130" i="22"/>
  <c r="BE131" i="22"/>
  <c r="BE132" i="22"/>
  <c r="BE133" i="22"/>
  <c r="BE134" i="22"/>
  <c r="BE135" i="22"/>
  <c r="BE136" i="22"/>
  <c r="BE137" i="22"/>
  <c r="BE138" i="22"/>
  <c r="BE139" i="22"/>
  <c r="BE140" i="22"/>
  <c r="BE141" i="22"/>
  <c r="BE142" i="22"/>
  <c r="BE143" i="22"/>
  <c r="BE144" i="22"/>
  <c r="BE145" i="22"/>
  <c r="BE146" i="22"/>
  <c r="BF125" i="22"/>
  <c r="BF126" i="22"/>
  <c r="BF127" i="22"/>
  <c r="BF128" i="22"/>
  <c r="BF129" i="22"/>
  <c r="BF130" i="22"/>
  <c r="BF131" i="22"/>
  <c r="BF132" i="22"/>
  <c r="BF133" i="22"/>
  <c r="BF134" i="22"/>
  <c r="BF135" i="22"/>
  <c r="BF136" i="22"/>
  <c r="BF137" i="22"/>
  <c r="BF138" i="22"/>
  <c r="BF139" i="22"/>
  <c r="BF140" i="22"/>
  <c r="BF141" i="22"/>
  <c r="BF142" i="22"/>
  <c r="BF143" i="22"/>
  <c r="BF144" i="22"/>
  <c r="BF145" i="22"/>
  <c r="BF146" i="22"/>
  <c r="BG125" i="22"/>
  <c r="BG126" i="22"/>
  <c r="BG127" i="22"/>
  <c r="BG128" i="22"/>
  <c r="BG129" i="22"/>
  <c r="BG130" i="22"/>
  <c r="BG131" i="22"/>
  <c r="BG132" i="22"/>
  <c r="BG133" i="22"/>
  <c r="BG134" i="22"/>
  <c r="BG135" i="22"/>
  <c r="BG136" i="22"/>
  <c r="BG137" i="22"/>
  <c r="BG138" i="22"/>
  <c r="BG139" i="22"/>
  <c r="BG140" i="22"/>
  <c r="BG141" i="22"/>
  <c r="BG142" i="22"/>
  <c r="BG143" i="22"/>
  <c r="BG144" i="22"/>
  <c r="BG145" i="22"/>
  <c r="BG146" i="22"/>
  <c r="BH125" i="22"/>
  <c r="BH126" i="22"/>
  <c r="BH127" i="22"/>
  <c r="BH128" i="22"/>
  <c r="BH129" i="22"/>
  <c r="BH130" i="22"/>
  <c r="BH131" i="22"/>
  <c r="BH132" i="22"/>
  <c r="BH133" i="22"/>
  <c r="BH134" i="22"/>
  <c r="BH135" i="22"/>
  <c r="BH136" i="22"/>
  <c r="BH137" i="22"/>
  <c r="BH138" i="22"/>
  <c r="BH139" i="22"/>
  <c r="BH140" i="22"/>
  <c r="BH141" i="22"/>
  <c r="BH142" i="22"/>
  <c r="BH143" i="22"/>
  <c r="BH144" i="22"/>
  <c r="BH145" i="22"/>
  <c r="BH146" i="22"/>
  <c r="BI125" i="22"/>
  <c r="BI126" i="22"/>
  <c r="BI127" i="22"/>
  <c r="BI128" i="22"/>
  <c r="BI129" i="22"/>
  <c r="BI130" i="22"/>
  <c r="BI131" i="22"/>
  <c r="BI132" i="22"/>
  <c r="BI133" i="22"/>
  <c r="BI134" i="22"/>
  <c r="BI135" i="22"/>
  <c r="BI136" i="22"/>
  <c r="BI137" i="22"/>
  <c r="BI138" i="22"/>
  <c r="BI139" i="22"/>
  <c r="BI140" i="22"/>
  <c r="BI141" i="22"/>
  <c r="BI142" i="22"/>
  <c r="BI143" i="22"/>
  <c r="BI144" i="22"/>
  <c r="BI145" i="22"/>
  <c r="BI146" i="22"/>
  <c r="BJ125" i="22"/>
  <c r="BJ126" i="22"/>
  <c r="BJ127" i="22"/>
  <c r="BJ128" i="22"/>
  <c r="BJ129" i="22"/>
  <c r="BJ130" i="22"/>
  <c r="BJ131" i="22"/>
  <c r="BJ132" i="22"/>
  <c r="BJ133" i="22"/>
  <c r="BJ134" i="22"/>
  <c r="BJ135" i="22"/>
  <c r="BJ136" i="22"/>
  <c r="BJ137" i="22"/>
  <c r="BJ138" i="22"/>
  <c r="BJ139" i="22"/>
  <c r="BJ140" i="22"/>
  <c r="BJ141" i="22"/>
  <c r="BJ142" i="22"/>
  <c r="BJ143" i="22"/>
  <c r="BJ144" i="22"/>
  <c r="BJ145" i="22"/>
  <c r="BJ146" i="22"/>
  <c r="BK125" i="22"/>
  <c r="BK126" i="22"/>
  <c r="BK127" i="22"/>
  <c r="BK128" i="22"/>
  <c r="BK129" i="22"/>
  <c r="BK130" i="22"/>
  <c r="BK131" i="22"/>
  <c r="BK132" i="22"/>
  <c r="BK133" i="22"/>
  <c r="BK134" i="22"/>
  <c r="BK135" i="22"/>
  <c r="BK136" i="22"/>
  <c r="BK137" i="22"/>
  <c r="BK138" i="22"/>
  <c r="BK139" i="22"/>
  <c r="BK140" i="22"/>
  <c r="BK141" i="22"/>
  <c r="BK142" i="22"/>
  <c r="BK143" i="22"/>
  <c r="BK144" i="22"/>
  <c r="BK145" i="22"/>
  <c r="BK146" i="22"/>
  <c r="BL125" i="22"/>
  <c r="D125" i="22" s="1"/>
  <c r="BL126" i="22"/>
  <c r="D126" i="22" s="1"/>
  <c r="BL127" i="22"/>
  <c r="D127" i="22" s="1"/>
  <c r="BL128" i="22"/>
  <c r="D128" i="22" s="1"/>
  <c r="BL129" i="22"/>
  <c r="D129" i="22" s="1"/>
  <c r="BL130" i="22"/>
  <c r="D130" i="22" s="1"/>
  <c r="BL131" i="22"/>
  <c r="D131" i="22" s="1"/>
  <c r="BL132" i="22"/>
  <c r="D132" i="22" s="1"/>
  <c r="BL133" i="22"/>
  <c r="D133" i="22" s="1"/>
  <c r="BL134" i="22"/>
  <c r="D134" i="22" s="1"/>
  <c r="BL135" i="22"/>
  <c r="D135" i="22" s="1"/>
  <c r="BL136" i="22"/>
  <c r="D136" i="22" s="1"/>
  <c r="BL137" i="22"/>
  <c r="D137" i="22" s="1"/>
  <c r="BL138" i="22"/>
  <c r="D138" i="22" s="1"/>
  <c r="BL139" i="22"/>
  <c r="D139" i="22" s="1"/>
  <c r="BL140" i="22"/>
  <c r="D140" i="22" s="1"/>
  <c r="BL141" i="22"/>
  <c r="D141" i="22" s="1"/>
  <c r="BL142" i="22"/>
  <c r="D142" i="22" s="1"/>
  <c r="BL143" i="22"/>
  <c r="D143" i="22" s="1"/>
  <c r="BL144" i="22"/>
  <c r="D144" i="22" s="1"/>
  <c r="BL145" i="22"/>
  <c r="D145" i="22" s="1"/>
  <c r="BL146" i="22"/>
  <c r="D146" i="22" s="1"/>
  <c r="BM125" i="22"/>
  <c r="BM126" i="22"/>
  <c r="BM127" i="22"/>
  <c r="BM128" i="22"/>
  <c r="BM129" i="22"/>
  <c r="BM130" i="22"/>
  <c r="BM131" i="22"/>
  <c r="BM132" i="22"/>
  <c r="BM133" i="22"/>
  <c r="BM134" i="22"/>
  <c r="BM135" i="22"/>
  <c r="BM136" i="22"/>
  <c r="BM137" i="22"/>
  <c r="BM138" i="22"/>
  <c r="BM139" i="22"/>
  <c r="BM140" i="22"/>
  <c r="BM141" i="22"/>
  <c r="BM142" i="22"/>
  <c r="BM143" i="22"/>
  <c r="BM144" i="22"/>
  <c r="BM145" i="22"/>
  <c r="BM146" i="22"/>
  <c r="BN125" i="22"/>
  <c r="BN126" i="22"/>
  <c r="BN127" i="22"/>
  <c r="BN128" i="22"/>
  <c r="BN129" i="22"/>
  <c r="BN130" i="22"/>
  <c r="BN131" i="22"/>
  <c r="BN132" i="22"/>
  <c r="BN133" i="22"/>
  <c r="BN134" i="22"/>
  <c r="BN135" i="22"/>
  <c r="BN136" i="22"/>
  <c r="BN137" i="22"/>
  <c r="BN138" i="22"/>
  <c r="BN139" i="22"/>
  <c r="BN140" i="22"/>
  <c r="BN141" i="22"/>
  <c r="BN142" i="22"/>
  <c r="BN143" i="22"/>
  <c r="BN144" i="22"/>
  <c r="BN145" i="22"/>
  <c r="BN146" i="22"/>
  <c r="BO125" i="22"/>
  <c r="BO126" i="22"/>
  <c r="BO127" i="22"/>
  <c r="BO128" i="22"/>
  <c r="BO129" i="22"/>
  <c r="BO130" i="22"/>
  <c r="BO131" i="22"/>
  <c r="BO132" i="22"/>
  <c r="BO133" i="22"/>
  <c r="BO134" i="22"/>
  <c r="BO135" i="22"/>
  <c r="BO136" i="22"/>
  <c r="BO137" i="22"/>
  <c r="BO138" i="22"/>
  <c r="BO139" i="22"/>
  <c r="BO140" i="22"/>
  <c r="BO141" i="22"/>
  <c r="BO142" i="22"/>
  <c r="BO143" i="22"/>
  <c r="BO144" i="22"/>
  <c r="BO145" i="22"/>
  <c r="BO146" i="22"/>
  <c r="BP125" i="22"/>
  <c r="BP126" i="22"/>
  <c r="BP127" i="22"/>
  <c r="BP128" i="22"/>
  <c r="BP129" i="22"/>
  <c r="BP130" i="22"/>
  <c r="BP131" i="22"/>
  <c r="BP132" i="22"/>
  <c r="BP133" i="22"/>
  <c r="BP134" i="22"/>
  <c r="BP135" i="22"/>
  <c r="BP136" i="22"/>
  <c r="BP137" i="22"/>
  <c r="BP138" i="22"/>
  <c r="BP139" i="22"/>
  <c r="BP140" i="22"/>
  <c r="BP141" i="22"/>
  <c r="BP142" i="22"/>
  <c r="BP143" i="22"/>
  <c r="BP144" i="22"/>
  <c r="BP145" i="22"/>
  <c r="BP146" i="22"/>
  <c r="BQ125" i="22"/>
  <c r="BQ126" i="22"/>
  <c r="BQ127" i="22"/>
  <c r="BQ128" i="22"/>
  <c r="BQ129" i="22"/>
  <c r="BQ130" i="22"/>
  <c r="BQ131" i="22"/>
  <c r="BQ132" i="22"/>
  <c r="BQ133" i="22"/>
  <c r="BQ134" i="22"/>
  <c r="BQ135" i="22"/>
  <c r="BQ136" i="22"/>
  <c r="BQ137" i="22"/>
  <c r="BQ138" i="22"/>
  <c r="BQ139" i="22"/>
  <c r="BQ140" i="22"/>
  <c r="BQ141" i="22"/>
  <c r="BQ142" i="22"/>
  <c r="BQ143" i="22"/>
  <c r="BQ144" i="22"/>
  <c r="BQ145" i="22"/>
  <c r="BQ146" i="22"/>
  <c r="BR125" i="22"/>
  <c r="BR126" i="22"/>
  <c r="BR127" i="22"/>
  <c r="BR128" i="22"/>
  <c r="BR129" i="22"/>
  <c r="BR130" i="22"/>
  <c r="BR131" i="22"/>
  <c r="BR132" i="22"/>
  <c r="BR133" i="22"/>
  <c r="BR134" i="22"/>
  <c r="BR135" i="22"/>
  <c r="BR136" i="22"/>
  <c r="BR137" i="22"/>
  <c r="BR138" i="22"/>
  <c r="BR139" i="22"/>
  <c r="BR140" i="22"/>
  <c r="BR141" i="22"/>
  <c r="BR142" i="22"/>
  <c r="BR143" i="22"/>
  <c r="BR144" i="22"/>
  <c r="BR145" i="22"/>
  <c r="BR146" i="22"/>
  <c r="BS125" i="22"/>
  <c r="BS126" i="22"/>
  <c r="BS127" i="22"/>
  <c r="BS128" i="22"/>
  <c r="BS129" i="22"/>
  <c r="BS130" i="22"/>
  <c r="BS131" i="22"/>
  <c r="BS132" i="22"/>
  <c r="BS133" i="22"/>
  <c r="BS134" i="22"/>
  <c r="BS135" i="22"/>
  <c r="BS136" i="22"/>
  <c r="BS137" i="22"/>
  <c r="BS138" i="22"/>
  <c r="BS139" i="22"/>
  <c r="BS140" i="22"/>
  <c r="BS141" i="22"/>
  <c r="BS142" i="22"/>
  <c r="BS143" i="22"/>
  <c r="BS144" i="22"/>
  <c r="BS145" i="22"/>
  <c r="BS146" i="22"/>
  <c r="BT125" i="22"/>
  <c r="BT126" i="22"/>
  <c r="BT127" i="22"/>
  <c r="BT128" i="22"/>
  <c r="BT129" i="22"/>
  <c r="BT130" i="22"/>
  <c r="BT131" i="22"/>
  <c r="BT132" i="22"/>
  <c r="BT133" i="22"/>
  <c r="BT134" i="22"/>
  <c r="BT135" i="22"/>
  <c r="BT136" i="22"/>
  <c r="BT137" i="22"/>
  <c r="BT138" i="22"/>
  <c r="BT139" i="22"/>
  <c r="BT140" i="22"/>
  <c r="BT141" i="22"/>
  <c r="BT142" i="22"/>
  <c r="BT143" i="22"/>
  <c r="BT144" i="22"/>
  <c r="BT145" i="22"/>
  <c r="BT146" i="22"/>
  <c r="BU125" i="22"/>
  <c r="BU126" i="22"/>
  <c r="BU127" i="22"/>
  <c r="BU128" i="22"/>
  <c r="BU129" i="22"/>
  <c r="BU130" i="22"/>
  <c r="BU131" i="22"/>
  <c r="BU132" i="22"/>
  <c r="BU133" i="22"/>
  <c r="BU134" i="22"/>
  <c r="BU135" i="22"/>
  <c r="BU136" i="22"/>
  <c r="BU137" i="22"/>
  <c r="BU138" i="22"/>
  <c r="BU139" i="22"/>
  <c r="BU140" i="22"/>
  <c r="BU141" i="22"/>
  <c r="BU142" i="22"/>
  <c r="BU143" i="22"/>
  <c r="BU144" i="22"/>
  <c r="BU145" i="22"/>
  <c r="BU146" i="22"/>
  <c r="CI127" i="22"/>
  <c r="CI128" i="22"/>
  <c r="CI130" i="22"/>
  <c r="CI131" i="22"/>
  <c r="CI132" i="22"/>
  <c r="CI133" i="22"/>
  <c r="CI134" i="22"/>
  <c r="CI135" i="22"/>
  <c r="CI136" i="22"/>
  <c r="CI137" i="22"/>
  <c r="CI138" i="22"/>
  <c r="CI139" i="22"/>
  <c r="CI140" i="22"/>
  <c r="CI141" i="22"/>
  <c r="CI142" i="22"/>
  <c r="CI143" i="22"/>
  <c r="CI144" i="22"/>
  <c r="CI145" i="22"/>
  <c r="CI146" i="22"/>
  <c r="CJ126" i="22"/>
  <c r="CJ127" i="22"/>
  <c r="CJ128" i="22"/>
  <c r="CJ129" i="22"/>
  <c r="CJ130" i="22"/>
  <c r="CJ132" i="22"/>
  <c r="CJ136" i="22"/>
  <c r="CJ137" i="22"/>
  <c r="CJ138" i="22"/>
  <c r="CJ139" i="22"/>
  <c r="CJ140" i="22"/>
  <c r="CJ141" i="22"/>
  <c r="CJ142" i="22"/>
  <c r="CJ143" i="22"/>
  <c r="CJ144" i="22"/>
  <c r="CJ145" i="22"/>
  <c r="CJ146" i="22"/>
  <c r="CK125" i="22"/>
  <c r="CK126" i="22"/>
  <c r="CK129" i="22"/>
  <c r="CK130" i="22"/>
  <c r="CK131" i="22"/>
  <c r="CK133" i="22"/>
  <c r="CK134" i="22"/>
  <c r="CK135" i="22"/>
  <c r="CK136" i="22"/>
  <c r="CK137" i="22"/>
  <c r="CK139" i="22"/>
  <c r="CK142" i="22"/>
  <c r="CK144" i="22"/>
  <c r="CK145" i="22"/>
  <c r="CL125" i="22"/>
  <c r="CL126" i="22"/>
  <c r="CL127" i="22"/>
  <c r="CL128" i="22"/>
  <c r="CL129" i="22"/>
  <c r="CL131" i="22"/>
  <c r="CL133" i="22"/>
  <c r="CL134" i="22"/>
  <c r="CL135" i="22"/>
  <c r="CL136" i="22"/>
  <c r="CL137" i="22"/>
  <c r="CL138" i="22"/>
  <c r="CL139" i="22"/>
  <c r="CL141" i="22"/>
  <c r="CL142" i="22"/>
  <c r="CL143" i="22"/>
  <c r="CL144" i="22"/>
  <c r="CL145" i="22"/>
  <c r="CL146" i="22"/>
  <c r="CM125" i="22"/>
  <c r="CM126" i="22"/>
  <c r="CM127" i="22"/>
  <c r="CM128" i="22"/>
  <c r="CM129" i="22"/>
  <c r="CM131" i="22"/>
  <c r="CM132" i="22"/>
  <c r="CM133" i="22"/>
  <c r="CM134" i="22"/>
  <c r="CM135" i="22"/>
  <c r="CM136" i="22"/>
  <c r="CM137" i="22"/>
  <c r="CM138" i="22"/>
  <c r="CM139" i="22"/>
  <c r="CM140" i="22"/>
  <c r="CM141" i="22"/>
  <c r="CM142" i="22"/>
  <c r="CM143" i="22"/>
  <c r="CM144" i="22"/>
  <c r="CM145" i="22"/>
  <c r="CN125" i="22"/>
  <c r="CN126" i="22"/>
  <c r="CN127" i="22"/>
  <c r="CN128" i="22"/>
  <c r="CN129" i="22"/>
  <c r="CN131" i="22"/>
  <c r="CN132" i="22"/>
  <c r="CN135" i="22"/>
  <c r="CN138" i="22"/>
  <c r="CN140" i="22"/>
  <c r="CN142" i="22"/>
  <c r="CN143" i="22"/>
  <c r="CN144" i="22"/>
  <c r="CN145" i="22"/>
  <c r="CN146" i="22"/>
  <c r="CO125" i="22"/>
  <c r="CO126" i="22"/>
  <c r="CO127" i="22"/>
  <c r="CO128" i="22"/>
  <c r="CO129" i="22"/>
  <c r="CO130" i="22"/>
  <c r="CO131" i="22"/>
  <c r="CO132" i="22"/>
  <c r="CO133" i="22"/>
  <c r="CO134" i="22"/>
  <c r="CO135" i="22"/>
  <c r="CO138" i="22"/>
  <c r="CO140" i="22"/>
  <c r="CO142" i="22"/>
  <c r="CO143" i="22"/>
  <c r="CO144" i="22"/>
  <c r="CO145" i="22"/>
  <c r="CO146" i="22"/>
  <c r="CP125" i="22"/>
  <c r="CP126" i="22"/>
  <c r="CP127" i="22"/>
  <c r="CP128" i="22"/>
  <c r="CP129" i="22"/>
  <c r="CP131" i="22"/>
  <c r="CP132" i="22"/>
  <c r="CP135" i="22"/>
  <c r="CP136" i="22"/>
  <c r="CP138" i="22"/>
  <c r="CP140" i="22"/>
  <c r="CP142" i="22"/>
  <c r="CP143" i="22"/>
  <c r="CP144" i="22"/>
  <c r="CP145" i="22"/>
  <c r="CP146" i="22"/>
  <c r="F49" i="7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W27" i="5"/>
  <c r="BX27" i="5"/>
  <c r="BY27" i="5"/>
  <c r="BZ27" i="5"/>
  <c r="CA27" i="5"/>
  <c r="CB27" i="5"/>
  <c r="CC27" i="5"/>
  <c r="CD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W29" i="5"/>
  <c r="BX29" i="5"/>
  <c r="BY29" i="5"/>
  <c r="BZ29" i="5"/>
  <c r="CA29" i="5"/>
  <c r="CB29" i="5"/>
  <c r="CC29" i="5"/>
  <c r="CD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W32" i="5"/>
  <c r="BX32" i="5"/>
  <c r="BY32" i="5"/>
  <c r="BZ32" i="5"/>
  <c r="CA32" i="5"/>
  <c r="CB32" i="5"/>
  <c r="CC32" i="5"/>
  <c r="CD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W18" i="5"/>
  <c r="BX18" i="5"/>
  <c r="BY18" i="5"/>
  <c r="BZ18" i="5"/>
  <c r="CA18" i="5"/>
  <c r="CB18" i="5"/>
  <c r="CC18" i="5"/>
  <c r="CD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W21" i="5"/>
  <c r="BX21" i="5"/>
  <c r="BY21" i="5"/>
  <c r="BZ21" i="5"/>
  <c r="CA21" i="5"/>
  <c r="CB21" i="5"/>
  <c r="CC21" i="5"/>
  <c r="CD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W30" i="5"/>
  <c r="BX30" i="5"/>
  <c r="BY30" i="5"/>
  <c r="BZ30" i="5"/>
  <c r="CA30" i="5"/>
  <c r="CB30" i="5"/>
  <c r="CC30" i="5"/>
  <c r="CD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W37" i="5"/>
  <c r="BX37" i="5"/>
  <c r="BY37" i="5"/>
  <c r="BZ37" i="5"/>
  <c r="CA37" i="5"/>
  <c r="CB37" i="5"/>
  <c r="CC37" i="5"/>
  <c r="CD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W31" i="5"/>
  <c r="BX31" i="5"/>
  <c r="BY31" i="5"/>
  <c r="BZ31" i="5"/>
  <c r="CA31" i="5"/>
  <c r="CB31" i="5"/>
  <c r="CC31" i="5"/>
  <c r="CD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W16" i="5"/>
  <c r="BX16" i="5"/>
  <c r="BY16" i="5"/>
  <c r="BZ16" i="5"/>
  <c r="CA16" i="5"/>
  <c r="CB16" i="5"/>
  <c r="CC16" i="5"/>
  <c r="CD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W19" i="5"/>
  <c r="BX19" i="5"/>
  <c r="BY19" i="5"/>
  <c r="BZ19" i="5"/>
  <c r="CA19" i="5"/>
  <c r="CB19" i="5"/>
  <c r="CC19" i="5"/>
  <c r="CD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W22" i="5"/>
  <c r="BX22" i="5"/>
  <c r="BY22" i="5"/>
  <c r="BZ22" i="5"/>
  <c r="CA22" i="5"/>
  <c r="CB22" i="5"/>
  <c r="CC22" i="5"/>
  <c r="CD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W15" i="5"/>
  <c r="BX15" i="5"/>
  <c r="BY15" i="5"/>
  <c r="BZ15" i="5"/>
  <c r="CA15" i="5"/>
  <c r="CB15" i="5"/>
  <c r="CC15" i="5"/>
  <c r="CD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W23" i="5"/>
  <c r="BX23" i="5"/>
  <c r="BY23" i="5"/>
  <c r="BZ23" i="5"/>
  <c r="CA23" i="5"/>
  <c r="CB23" i="5"/>
  <c r="CC23" i="5"/>
  <c r="CD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W55" i="5"/>
  <c r="BX55" i="5"/>
  <c r="BY55" i="5"/>
  <c r="BZ55" i="5"/>
  <c r="CA55" i="5"/>
  <c r="CB55" i="5"/>
  <c r="CC55" i="5"/>
  <c r="CD55" i="5"/>
  <c r="CF55" i="5"/>
  <c r="CG55" i="5"/>
  <c r="CH55" i="5"/>
  <c r="CI55" i="5"/>
  <c r="CJ55" i="5"/>
  <c r="CK55" i="5"/>
  <c r="CL55" i="5"/>
  <c r="CM55" i="5"/>
  <c r="CN55" i="5"/>
  <c r="CO55" i="5"/>
  <c r="CP55" i="5"/>
  <c r="CQ5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W35" i="5"/>
  <c r="BX35" i="5"/>
  <c r="BY35" i="5"/>
  <c r="BZ35" i="5"/>
  <c r="CA35" i="5"/>
  <c r="CB35" i="5"/>
  <c r="CC35" i="5"/>
  <c r="CD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BC63" i="5"/>
  <c r="BD63" i="5"/>
  <c r="BE63" i="5"/>
  <c r="BF63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T63" i="5"/>
  <c r="BU63" i="5"/>
  <c r="BW63" i="5"/>
  <c r="BX63" i="5"/>
  <c r="BY63" i="5"/>
  <c r="BZ63" i="5"/>
  <c r="CA63" i="5"/>
  <c r="CB63" i="5"/>
  <c r="CC63" i="5"/>
  <c r="CD63" i="5"/>
  <c r="CF63" i="5"/>
  <c r="CG63" i="5"/>
  <c r="CH63" i="5"/>
  <c r="CI63" i="5"/>
  <c r="CJ63" i="5"/>
  <c r="CK63" i="5"/>
  <c r="CL63" i="5"/>
  <c r="CM63" i="5"/>
  <c r="CN63" i="5"/>
  <c r="CO63" i="5"/>
  <c r="CP63" i="5"/>
  <c r="CQ63" i="5"/>
  <c r="BC62" i="5"/>
  <c r="BD62" i="5"/>
  <c r="BE62" i="5"/>
  <c r="BF62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T62" i="5"/>
  <c r="BU62" i="5"/>
  <c r="BW62" i="5"/>
  <c r="BX62" i="5"/>
  <c r="BY62" i="5"/>
  <c r="BZ62" i="5"/>
  <c r="CA62" i="5"/>
  <c r="CB62" i="5"/>
  <c r="CC62" i="5"/>
  <c r="CD62" i="5"/>
  <c r="CF62" i="5"/>
  <c r="CG62" i="5"/>
  <c r="CH62" i="5"/>
  <c r="CI62" i="5"/>
  <c r="CJ62" i="5"/>
  <c r="CK62" i="5"/>
  <c r="CL62" i="5"/>
  <c r="CM62" i="5"/>
  <c r="CN62" i="5"/>
  <c r="CO62" i="5"/>
  <c r="CP62" i="5"/>
  <c r="CQ62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W36" i="5"/>
  <c r="BX36" i="5"/>
  <c r="BY36" i="5"/>
  <c r="BZ36" i="5"/>
  <c r="CA36" i="5"/>
  <c r="CB36" i="5"/>
  <c r="CC36" i="5"/>
  <c r="CD36" i="5"/>
  <c r="CF36" i="5"/>
  <c r="CG36" i="5"/>
  <c r="CH36" i="5"/>
  <c r="CI36" i="5"/>
  <c r="CJ36" i="5"/>
  <c r="CK36" i="5"/>
  <c r="CL36" i="5"/>
  <c r="CM36" i="5"/>
  <c r="CN36" i="5"/>
  <c r="CO36" i="5"/>
  <c r="CP36" i="5"/>
  <c r="CQ3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W56" i="5"/>
  <c r="BX56" i="5"/>
  <c r="BY56" i="5"/>
  <c r="BZ56" i="5"/>
  <c r="CA56" i="5"/>
  <c r="CB56" i="5"/>
  <c r="CC56" i="5"/>
  <c r="CD56" i="5"/>
  <c r="CF56" i="5"/>
  <c r="CG56" i="5"/>
  <c r="CH56" i="5"/>
  <c r="CI56" i="5"/>
  <c r="CJ56" i="5"/>
  <c r="CK56" i="5"/>
  <c r="CL56" i="5"/>
  <c r="CM56" i="5"/>
  <c r="CN56" i="5"/>
  <c r="CO56" i="5"/>
  <c r="CP56" i="5"/>
  <c r="CQ56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W34" i="5"/>
  <c r="BX34" i="5"/>
  <c r="BY34" i="5"/>
  <c r="BZ34" i="5"/>
  <c r="CA34" i="5"/>
  <c r="CB34" i="5"/>
  <c r="CC34" i="5"/>
  <c r="CD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W49" i="5"/>
  <c r="BX49" i="5"/>
  <c r="BY49" i="5"/>
  <c r="BZ49" i="5"/>
  <c r="CA49" i="5"/>
  <c r="CB49" i="5"/>
  <c r="CC49" i="5"/>
  <c r="CD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BC54" i="5"/>
  <c r="BD54" i="5"/>
  <c r="BE54" i="5"/>
  <c r="BF54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T54" i="5"/>
  <c r="BU54" i="5"/>
  <c r="BW54" i="5"/>
  <c r="BX54" i="5"/>
  <c r="BY54" i="5"/>
  <c r="BZ54" i="5"/>
  <c r="CA54" i="5"/>
  <c r="CB54" i="5"/>
  <c r="CC54" i="5"/>
  <c r="CD54" i="5"/>
  <c r="CF54" i="5"/>
  <c r="CG54" i="5"/>
  <c r="CH54" i="5"/>
  <c r="CI54" i="5"/>
  <c r="CJ54" i="5"/>
  <c r="CK54" i="5"/>
  <c r="CL54" i="5"/>
  <c r="CM54" i="5"/>
  <c r="CN54" i="5"/>
  <c r="CO54" i="5"/>
  <c r="CP54" i="5"/>
  <c r="CQ54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W69" i="5"/>
  <c r="BX69" i="5"/>
  <c r="BY69" i="5"/>
  <c r="BZ69" i="5"/>
  <c r="CA69" i="5"/>
  <c r="CB69" i="5"/>
  <c r="CC69" i="5"/>
  <c r="CD69" i="5"/>
  <c r="CF69" i="5"/>
  <c r="CG69" i="5"/>
  <c r="CH69" i="5"/>
  <c r="CI69" i="5"/>
  <c r="CJ69" i="5"/>
  <c r="CK69" i="5"/>
  <c r="CL69" i="5"/>
  <c r="CM69" i="5"/>
  <c r="CN69" i="5"/>
  <c r="CO69" i="5"/>
  <c r="CP69" i="5"/>
  <c r="CQ69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W51" i="5"/>
  <c r="BX51" i="5"/>
  <c r="BY51" i="5"/>
  <c r="BZ51" i="5"/>
  <c r="CA51" i="5"/>
  <c r="CB51" i="5"/>
  <c r="CC51" i="5"/>
  <c r="CD51" i="5"/>
  <c r="CF51" i="5"/>
  <c r="CG51" i="5"/>
  <c r="CH51" i="5"/>
  <c r="CI51" i="5"/>
  <c r="CJ51" i="5"/>
  <c r="CK51" i="5"/>
  <c r="CL51" i="5"/>
  <c r="CM51" i="5"/>
  <c r="CN51" i="5"/>
  <c r="CO51" i="5"/>
  <c r="CP51" i="5"/>
  <c r="CQ51" i="5"/>
  <c r="BC75" i="5"/>
  <c r="BD75" i="5"/>
  <c r="BE75" i="5"/>
  <c r="BF75" i="5"/>
  <c r="BG75" i="5"/>
  <c r="BH75" i="5"/>
  <c r="BI75" i="5"/>
  <c r="BJ75" i="5"/>
  <c r="BK75" i="5"/>
  <c r="BL75" i="5"/>
  <c r="BM75" i="5"/>
  <c r="BN75" i="5"/>
  <c r="BO75" i="5"/>
  <c r="BP75" i="5"/>
  <c r="BQ75" i="5"/>
  <c r="BR75" i="5"/>
  <c r="BS75" i="5"/>
  <c r="BT75" i="5"/>
  <c r="BU75" i="5"/>
  <c r="BW75" i="5"/>
  <c r="BX75" i="5"/>
  <c r="BY75" i="5"/>
  <c r="BZ75" i="5"/>
  <c r="CA75" i="5"/>
  <c r="CB75" i="5"/>
  <c r="CC75" i="5"/>
  <c r="CD75" i="5"/>
  <c r="CF75" i="5"/>
  <c r="CG75" i="5"/>
  <c r="CH75" i="5"/>
  <c r="CI75" i="5"/>
  <c r="CJ75" i="5"/>
  <c r="CK75" i="5"/>
  <c r="CL75" i="5"/>
  <c r="CM75" i="5"/>
  <c r="CN75" i="5"/>
  <c r="CO75" i="5"/>
  <c r="CP75" i="5"/>
  <c r="CQ75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W39" i="5"/>
  <c r="BX39" i="5"/>
  <c r="BY39" i="5"/>
  <c r="BZ39" i="5"/>
  <c r="CA39" i="5"/>
  <c r="CB39" i="5"/>
  <c r="CC39" i="5"/>
  <c r="CD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BC67" i="5"/>
  <c r="BD67" i="5"/>
  <c r="BE67" i="5"/>
  <c r="BF67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T67" i="5"/>
  <c r="BU67" i="5"/>
  <c r="BW67" i="5"/>
  <c r="BX67" i="5"/>
  <c r="BY67" i="5"/>
  <c r="BZ67" i="5"/>
  <c r="CA67" i="5"/>
  <c r="CB67" i="5"/>
  <c r="CC67" i="5"/>
  <c r="CD67" i="5"/>
  <c r="CF67" i="5"/>
  <c r="CG67" i="5"/>
  <c r="CH67" i="5"/>
  <c r="CI67" i="5"/>
  <c r="CJ67" i="5"/>
  <c r="CK67" i="5"/>
  <c r="CL67" i="5"/>
  <c r="CM67" i="5"/>
  <c r="CN67" i="5"/>
  <c r="CO67" i="5"/>
  <c r="CP67" i="5"/>
  <c r="CQ6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W57" i="5"/>
  <c r="BX57" i="5"/>
  <c r="BY57" i="5"/>
  <c r="BZ57" i="5"/>
  <c r="CA57" i="5"/>
  <c r="CB57" i="5"/>
  <c r="CC57" i="5"/>
  <c r="CD57" i="5"/>
  <c r="CF57" i="5"/>
  <c r="CG57" i="5"/>
  <c r="CH57" i="5"/>
  <c r="CI57" i="5"/>
  <c r="CJ57" i="5"/>
  <c r="CK57" i="5"/>
  <c r="CL57" i="5"/>
  <c r="CM57" i="5"/>
  <c r="CN57" i="5"/>
  <c r="CO57" i="5"/>
  <c r="CP57" i="5"/>
  <c r="CQ57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W40" i="5"/>
  <c r="BX40" i="5"/>
  <c r="BY40" i="5"/>
  <c r="BZ40" i="5"/>
  <c r="CA40" i="5"/>
  <c r="CB40" i="5"/>
  <c r="CC40" i="5"/>
  <c r="CD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BC79" i="5"/>
  <c r="BD79" i="5"/>
  <c r="BE79" i="5"/>
  <c r="BF79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T79" i="5"/>
  <c r="BU79" i="5"/>
  <c r="BW79" i="5"/>
  <c r="BX79" i="5"/>
  <c r="BY79" i="5"/>
  <c r="BZ79" i="5"/>
  <c r="CA79" i="5"/>
  <c r="CB79" i="5"/>
  <c r="CC79" i="5"/>
  <c r="CD79" i="5"/>
  <c r="CF79" i="5"/>
  <c r="CG79" i="5"/>
  <c r="CH79" i="5"/>
  <c r="CI79" i="5"/>
  <c r="CJ79" i="5"/>
  <c r="CK79" i="5"/>
  <c r="CL79" i="5"/>
  <c r="CM79" i="5"/>
  <c r="CN79" i="5"/>
  <c r="CO79" i="5"/>
  <c r="CP79" i="5"/>
  <c r="CQ79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W61" i="5"/>
  <c r="BX61" i="5"/>
  <c r="BY61" i="5"/>
  <c r="BZ61" i="5"/>
  <c r="CA61" i="5"/>
  <c r="CB61" i="5"/>
  <c r="CC61" i="5"/>
  <c r="CD61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W28" i="5"/>
  <c r="BX28" i="5"/>
  <c r="BY28" i="5"/>
  <c r="BZ28" i="5"/>
  <c r="CA28" i="5"/>
  <c r="CB28" i="5"/>
  <c r="CC28" i="5"/>
  <c r="CD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BC82" i="5"/>
  <c r="BD82" i="5"/>
  <c r="BE82" i="5"/>
  <c r="BF82" i="5"/>
  <c r="BG82" i="5"/>
  <c r="BH82" i="5"/>
  <c r="BI82" i="5"/>
  <c r="BJ82" i="5"/>
  <c r="BK82" i="5"/>
  <c r="BL82" i="5"/>
  <c r="BM82" i="5"/>
  <c r="BN82" i="5"/>
  <c r="BO82" i="5"/>
  <c r="BP82" i="5"/>
  <c r="BQ82" i="5"/>
  <c r="BR82" i="5"/>
  <c r="BS82" i="5"/>
  <c r="BT82" i="5"/>
  <c r="BU82" i="5"/>
  <c r="BW82" i="5"/>
  <c r="BX82" i="5"/>
  <c r="BY82" i="5"/>
  <c r="BZ82" i="5"/>
  <c r="CA82" i="5"/>
  <c r="CB82" i="5"/>
  <c r="CC82" i="5"/>
  <c r="CD82" i="5"/>
  <c r="CF82" i="5"/>
  <c r="CG82" i="5"/>
  <c r="CH82" i="5"/>
  <c r="CI82" i="5"/>
  <c r="CJ82" i="5"/>
  <c r="CK82" i="5"/>
  <c r="CL82" i="5"/>
  <c r="CM82" i="5"/>
  <c r="CN82" i="5"/>
  <c r="CO82" i="5"/>
  <c r="CP82" i="5"/>
  <c r="CQ82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W41" i="5"/>
  <c r="BX41" i="5"/>
  <c r="BY41" i="5"/>
  <c r="BZ41" i="5"/>
  <c r="CA41" i="5"/>
  <c r="CB41" i="5"/>
  <c r="CC41" i="5"/>
  <c r="CD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W42" i="5"/>
  <c r="BX42" i="5"/>
  <c r="BY42" i="5"/>
  <c r="BZ42" i="5"/>
  <c r="CA42" i="5"/>
  <c r="CB42" i="5"/>
  <c r="CC42" i="5"/>
  <c r="CD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W43" i="5"/>
  <c r="BX43" i="5"/>
  <c r="BY43" i="5"/>
  <c r="BZ43" i="5"/>
  <c r="CA43" i="5"/>
  <c r="CB43" i="5"/>
  <c r="CC43" i="5"/>
  <c r="CD43" i="5"/>
  <c r="CF43" i="5"/>
  <c r="CG43" i="5"/>
  <c r="CH43" i="5"/>
  <c r="CI43" i="5"/>
  <c r="CJ43" i="5"/>
  <c r="CK43" i="5"/>
  <c r="CL43" i="5"/>
  <c r="CM43" i="5"/>
  <c r="CN43" i="5"/>
  <c r="CO43" i="5"/>
  <c r="CP43" i="5"/>
  <c r="CQ43" i="5"/>
  <c r="BC52" i="5"/>
  <c r="BD52" i="5"/>
  <c r="BE52" i="5"/>
  <c r="BF52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T52" i="5"/>
  <c r="BU52" i="5"/>
  <c r="BW52" i="5"/>
  <c r="BX52" i="5"/>
  <c r="BY52" i="5"/>
  <c r="BZ52" i="5"/>
  <c r="CA52" i="5"/>
  <c r="CB52" i="5"/>
  <c r="CC52" i="5"/>
  <c r="CD52" i="5"/>
  <c r="CF52" i="5"/>
  <c r="CG52" i="5"/>
  <c r="CH52" i="5"/>
  <c r="CI52" i="5"/>
  <c r="CJ52" i="5"/>
  <c r="CK52" i="5"/>
  <c r="CL52" i="5"/>
  <c r="CM52" i="5"/>
  <c r="CN52" i="5"/>
  <c r="CO52" i="5"/>
  <c r="CP52" i="5"/>
  <c r="CQ52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W38" i="5"/>
  <c r="BX38" i="5"/>
  <c r="BY38" i="5"/>
  <c r="BZ38" i="5"/>
  <c r="CA38" i="5"/>
  <c r="CB38" i="5"/>
  <c r="CC38" i="5"/>
  <c r="CD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W68" i="5"/>
  <c r="BX68" i="5"/>
  <c r="BY68" i="5"/>
  <c r="BZ68" i="5"/>
  <c r="CA68" i="5"/>
  <c r="CB68" i="5"/>
  <c r="CC68" i="5"/>
  <c r="CD68" i="5"/>
  <c r="CF68" i="5"/>
  <c r="CG68" i="5"/>
  <c r="CH68" i="5"/>
  <c r="CI68" i="5"/>
  <c r="CJ68" i="5"/>
  <c r="CK68" i="5"/>
  <c r="CL68" i="5"/>
  <c r="CM68" i="5"/>
  <c r="CN68" i="5"/>
  <c r="CO68" i="5"/>
  <c r="CP68" i="5"/>
  <c r="CQ68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W44" i="5"/>
  <c r="BX44" i="5"/>
  <c r="BY44" i="5"/>
  <c r="BZ44" i="5"/>
  <c r="CA44" i="5"/>
  <c r="CB44" i="5"/>
  <c r="CC44" i="5"/>
  <c r="CD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W65" i="5"/>
  <c r="BX65" i="5"/>
  <c r="BY65" i="5"/>
  <c r="BZ65" i="5"/>
  <c r="CA65" i="5"/>
  <c r="CB65" i="5"/>
  <c r="CC65" i="5"/>
  <c r="CD65" i="5"/>
  <c r="CF65" i="5"/>
  <c r="CG65" i="5"/>
  <c r="CH65" i="5"/>
  <c r="CI65" i="5"/>
  <c r="CJ65" i="5"/>
  <c r="CK65" i="5"/>
  <c r="CL65" i="5"/>
  <c r="CM65" i="5"/>
  <c r="CN65" i="5"/>
  <c r="CO65" i="5"/>
  <c r="CP65" i="5"/>
  <c r="CQ65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W53" i="5"/>
  <c r="BX53" i="5"/>
  <c r="BY53" i="5"/>
  <c r="BZ53" i="5"/>
  <c r="CA53" i="5"/>
  <c r="CB53" i="5"/>
  <c r="CC53" i="5"/>
  <c r="CD53" i="5"/>
  <c r="CF53" i="5"/>
  <c r="CG53" i="5"/>
  <c r="CH53" i="5"/>
  <c r="CI53" i="5"/>
  <c r="CJ53" i="5"/>
  <c r="CK53" i="5"/>
  <c r="CL53" i="5"/>
  <c r="CM53" i="5"/>
  <c r="CN53" i="5"/>
  <c r="CO53" i="5"/>
  <c r="CP53" i="5"/>
  <c r="CQ53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W45" i="5"/>
  <c r="BX45" i="5"/>
  <c r="BY45" i="5"/>
  <c r="BZ45" i="5"/>
  <c r="CA45" i="5"/>
  <c r="CB45" i="5"/>
  <c r="CC45" i="5"/>
  <c r="CD45" i="5"/>
  <c r="CF45" i="5"/>
  <c r="CG45" i="5"/>
  <c r="CH45" i="5"/>
  <c r="CI45" i="5"/>
  <c r="CJ45" i="5"/>
  <c r="CK45" i="5"/>
  <c r="CL45" i="5"/>
  <c r="CM45" i="5"/>
  <c r="CN45" i="5"/>
  <c r="CO45" i="5"/>
  <c r="CP45" i="5"/>
  <c r="CQ45" i="5"/>
  <c r="BC81" i="5"/>
  <c r="BD81" i="5"/>
  <c r="BE81" i="5"/>
  <c r="BF81" i="5"/>
  <c r="BG81" i="5"/>
  <c r="BH81" i="5"/>
  <c r="BI81" i="5"/>
  <c r="BJ81" i="5"/>
  <c r="BK81" i="5"/>
  <c r="BL81" i="5"/>
  <c r="BM81" i="5"/>
  <c r="BN81" i="5"/>
  <c r="BO81" i="5"/>
  <c r="BP81" i="5"/>
  <c r="BQ81" i="5"/>
  <c r="BR81" i="5"/>
  <c r="BS81" i="5"/>
  <c r="BT81" i="5"/>
  <c r="BU81" i="5"/>
  <c r="BW81" i="5"/>
  <c r="BX81" i="5"/>
  <c r="BY81" i="5"/>
  <c r="BZ81" i="5"/>
  <c r="CA81" i="5"/>
  <c r="CB81" i="5"/>
  <c r="CC81" i="5"/>
  <c r="CD81" i="5"/>
  <c r="CF81" i="5"/>
  <c r="CG81" i="5"/>
  <c r="CH81" i="5"/>
  <c r="CI81" i="5"/>
  <c r="CJ81" i="5"/>
  <c r="CK81" i="5"/>
  <c r="CL81" i="5"/>
  <c r="CM81" i="5"/>
  <c r="CN81" i="5"/>
  <c r="CO81" i="5"/>
  <c r="CP81" i="5"/>
  <c r="CQ81" i="5"/>
  <c r="AU99" i="5"/>
  <c r="AV99" i="5" s="1"/>
  <c r="AW99" i="5"/>
  <c r="AX99" i="5" s="1"/>
  <c r="BA99" i="5"/>
  <c r="BB99" i="5"/>
  <c r="BC99" i="5"/>
  <c r="BD99" i="5"/>
  <c r="BE99" i="5"/>
  <c r="BF99" i="5"/>
  <c r="BG99" i="5"/>
  <c r="BH99" i="5"/>
  <c r="BI99" i="5"/>
  <c r="BJ99" i="5"/>
  <c r="BK99" i="5"/>
  <c r="BL99" i="5"/>
  <c r="BM99" i="5"/>
  <c r="BN99" i="5"/>
  <c r="BO99" i="5"/>
  <c r="BP99" i="5"/>
  <c r="BQ99" i="5"/>
  <c r="BR99" i="5"/>
  <c r="BS99" i="5"/>
  <c r="BT99" i="5"/>
  <c r="BU99" i="5"/>
  <c r="BW99" i="5"/>
  <c r="BX99" i="5"/>
  <c r="BY99" i="5"/>
  <c r="BZ99" i="5"/>
  <c r="CA99" i="5"/>
  <c r="CB99" i="5"/>
  <c r="CC99" i="5"/>
  <c r="CD99" i="5"/>
  <c r="CF99" i="5"/>
  <c r="CG99" i="5"/>
  <c r="CH99" i="5"/>
  <c r="CI99" i="5"/>
  <c r="CJ99" i="5"/>
  <c r="CK99" i="5"/>
  <c r="CL99" i="5"/>
  <c r="CM99" i="5"/>
  <c r="CN99" i="5"/>
  <c r="CO99" i="5"/>
  <c r="CP99" i="5"/>
  <c r="CQ99" i="5"/>
  <c r="BC84" i="5"/>
  <c r="BD84" i="5"/>
  <c r="BE84" i="5"/>
  <c r="BF84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T84" i="5"/>
  <c r="BU84" i="5"/>
  <c r="BW84" i="5"/>
  <c r="BX84" i="5"/>
  <c r="BY84" i="5"/>
  <c r="BZ84" i="5"/>
  <c r="CA84" i="5"/>
  <c r="CB84" i="5"/>
  <c r="CC84" i="5"/>
  <c r="CD84" i="5"/>
  <c r="CF84" i="5"/>
  <c r="CG84" i="5"/>
  <c r="CH84" i="5"/>
  <c r="CI84" i="5"/>
  <c r="CJ84" i="5"/>
  <c r="CK84" i="5"/>
  <c r="CL84" i="5"/>
  <c r="CM84" i="5"/>
  <c r="CN84" i="5"/>
  <c r="CO84" i="5"/>
  <c r="CP84" i="5"/>
  <c r="CQ84" i="5"/>
  <c r="BC86" i="5"/>
  <c r="BD86" i="5"/>
  <c r="BE86" i="5"/>
  <c r="BF86" i="5"/>
  <c r="BG86" i="5"/>
  <c r="BH86" i="5"/>
  <c r="BI86" i="5"/>
  <c r="BJ86" i="5"/>
  <c r="BK86" i="5"/>
  <c r="BL86" i="5"/>
  <c r="BM86" i="5"/>
  <c r="BN86" i="5"/>
  <c r="BO86" i="5"/>
  <c r="BP86" i="5"/>
  <c r="BQ86" i="5"/>
  <c r="BR86" i="5"/>
  <c r="BS86" i="5"/>
  <c r="BT86" i="5"/>
  <c r="BU86" i="5"/>
  <c r="BW86" i="5"/>
  <c r="BX86" i="5"/>
  <c r="BY86" i="5"/>
  <c r="BZ86" i="5"/>
  <c r="CA86" i="5"/>
  <c r="CB86" i="5"/>
  <c r="CC86" i="5"/>
  <c r="CD86" i="5"/>
  <c r="CF86" i="5"/>
  <c r="CG86" i="5"/>
  <c r="CH86" i="5"/>
  <c r="CI86" i="5"/>
  <c r="CJ86" i="5"/>
  <c r="CK86" i="5"/>
  <c r="CL86" i="5"/>
  <c r="CM86" i="5"/>
  <c r="CN86" i="5"/>
  <c r="CO86" i="5"/>
  <c r="CP86" i="5"/>
  <c r="CQ86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W58" i="5"/>
  <c r="BX58" i="5"/>
  <c r="BY58" i="5"/>
  <c r="BZ58" i="5"/>
  <c r="CA58" i="5"/>
  <c r="CB58" i="5"/>
  <c r="CC58" i="5"/>
  <c r="CD58" i="5"/>
  <c r="CF58" i="5"/>
  <c r="CG58" i="5"/>
  <c r="CH58" i="5"/>
  <c r="CI58" i="5"/>
  <c r="CJ58" i="5"/>
  <c r="CK58" i="5"/>
  <c r="CL58" i="5"/>
  <c r="CM58" i="5"/>
  <c r="CN58" i="5"/>
  <c r="CO58" i="5"/>
  <c r="CP58" i="5"/>
  <c r="CQ58" i="5"/>
  <c r="BC80" i="5"/>
  <c r="BD80" i="5"/>
  <c r="BE80" i="5"/>
  <c r="BF80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T80" i="5"/>
  <c r="BU80" i="5"/>
  <c r="BW80" i="5"/>
  <c r="BX80" i="5"/>
  <c r="BY80" i="5"/>
  <c r="BZ80" i="5"/>
  <c r="CA80" i="5"/>
  <c r="CB80" i="5"/>
  <c r="CC80" i="5"/>
  <c r="CD80" i="5"/>
  <c r="CF80" i="5"/>
  <c r="CG80" i="5"/>
  <c r="CH80" i="5"/>
  <c r="CI80" i="5"/>
  <c r="CJ80" i="5"/>
  <c r="CK80" i="5"/>
  <c r="CL80" i="5"/>
  <c r="CM80" i="5"/>
  <c r="CN80" i="5"/>
  <c r="CO80" i="5"/>
  <c r="CP80" i="5"/>
  <c r="CQ80" i="5"/>
  <c r="BC60" i="5"/>
  <c r="BD60" i="5"/>
  <c r="BE60" i="5"/>
  <c r="BF60" i="5"/>
  <c r="BG60" i="5"/>
  <c r="BH60" i="5"/>
  <c r="BI60" i="5"/>
  <c r="BJ60" i="5"/>
  <c r="BK60" i="5"/>
  <c r="BL60" i="5"/>
  <c r="BM60" i="5"/>
  <c r="BN60" i="5"/>
  <c r="BO60" i="5"/>
  <c r="BP60" i="5"/>
  <c r="BQ60" i="5"/>
  <c r="BR60" i="5"/>
  <c r="BS60" i="5"/>
  <c r="BT60" i="5"/>
  <c r="BU60" i="5"/>
  <c r="BW60" i="5"/>
  <c r="BX60" i="5"/>
  <c r="BY60" i="5"/>
  <c r="BZ60" i="5"/>
  <c r="CA60" i="5"/>
  <c r="CB60" i="5"/>
  <c r="CC60" i="5"/>
  <c r="CD60" i="5"/>
  <c r="CF60" i="5"/>
  <c r="CG60" i="5"/>
  <c r="CH60" i="5"/>
  <c r="CI60" i="5"/>
  <c r="CJ60" i="5"/>
  <c r="CK60" i="5"/>
  <c r="CL60" i="5"/>
  <c r="CM60" i="5"/>
  <c r="CN60" i="5"/>
  <c r="CO60" i="5"/>
  <c r="CP60" i="5"/>
  <c r="CQ60" i="5"/>
  <c r="BC71" i="5"/>
  <c r="BD71" i="5"/>
  <c r="BE71" i="5"/>
  <c r="BF71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T71" i="5"/>
  <c r="BU71" i="5"/>
  <c r="BW71" i="5"/>
  <c r="BX71" i="5"/>
  <c r="BY71" i="5"/>
  <c r="BZ71" i="5"/>
  <c r="CA71" i="5"/>
  <c r="CB71" i="5"/>
  <c r="CC71" i="5"/>
  <c r="CD71" i="5"/>
  <c r="CF71" i="5"/>
  <c r="CG71" i="5"/>
  <c r="CH71" i="5"/>
  <c r="CI71" i="5"/>
  <c r="CJ71" i="5"/>
  <c r="CK71" i="5"/>
  <c r="CL71" i="5"/>
  <c r="CM71" i="5"/>
  <c r="CN71" i="5"/>
  <c r="CO71" i="5"/>
  <c r="CP71" i="5"/>
  <c r="CQ71" i="5"/>
  <c r="AU96" i="5"/>
  <c r="AW96" i="5"/>
  <c r="AX96" i="5" s="1"/>
  <c r="BA96" i="5"/>
  <c r="BB96" i="5"/>
  <c r="BC96" i="5"/>
  <c r="BD96" i="5"/>
  <c r="BE96" i="5"/>
  <c r="BF96" i="5"/>
  <c r="BG96" i="5"/>
  <c r="BH96" i="5"/>
  <c r="BI96" i="5"/>
  <c r="BJ96" i="5"/>
  <c r="BK96" i="5"/>
  <c r="BL96" i="5"/>
  <c r="BM96" i="5"/>
  <c r="BN96" i="5"/>
  <c r="BO96" i="5"/>
  <c r="BP96" i="5"/>
  <c r="BQ96" i="5"/>
  <c r="BR96" i="5"/>
  <c r="BS96" i="5"/>
  <c r="BT96" i="5"/>
  <c r="BU96" i="5"/>
  <c r="BW96" i="5"/>
  <c r="BX96" i="5"/>
  <c r="BY96" i="5"/>
  <c r="BZ96" i="5"/>
  <c r="CA96" i="5"/>
  <c r="CB96" i="5"/>
  <c r="CC96" i="5"/>
  <c r="CD96" i="5"/>
  <c r="CF96" i="5"/>
  <c r="CG96" i="5"/>
  <c r="CH96" i="5"/>
  <c r="CI96" i="5"/>
  <c r="CJ96" i="5"/>
  <c r="CK96" i="5"/>
  <c r="CL96" i="5"/>
  <c r="CM96" i="5"/>
  <c r="CN96" i="5"/>
  <c r="CO96" i="5"/>
  <c r="CP96" i="5"/>
  <c r="CQ96" i="5"/>
  <c r="BC85" i="5"/>
  <c r="BD85" i="5"/>
  <c r="BE85" i="5"/>
  <c r="BF85" i="5"/>
  <c r="BG85" i="5"/>
  <c r="BH85" i="5"/>
  <c r="BI85" i="5"/>
  <c r="BJ85" i="5"/>
  <c r="BK85" i="5"/>
  <c r="BL85" i="5"/>
  <c r="BM85" i="5"/>
  <c r="BN85" i="5"/>
  <c r="BO85" i="5"/>
  <c r="BP85" i="5"/>
  <c r="BQ85" i="5"/>
  <c r="BR85" i="5"/>
  <c r="BS85" i="5"/>
  <c r="BT85" i="5"/>
  <c r="BU85" i="5"/>
  <c r="BW85" i="5"/>
  <c r="BX85" i="5"/>
  <c r="BY85" i="5"/>
  <c r="BZ85" i="5"/>
  <c r="CA85" i="5"/>
  <c r="CB85" i="5"/>
  <c r="CC85" i="5"/>
  <c r="CD85" i="5"/>
  <c r="CF85" i="5"/>
  <c r="CG85" i="5"/>
  <c r="CH85" i="5"/>
  <c r="CI85" i="5"/>
  <c r="CJ85" i="5"/>
  <c r="CK85" i="5"/>
  <c r="CL85" i="5"/>
  <c r="CM85" i="5"/>
  <c r="CN85" i="5"/>
  <c r="CO85" i="5"/>
  <c r="CP85" i="5"/>
  <c r="CQ85" i="5"/>
  <c r="BC87" i="5"/>
  <c r="BD87" i="5"/>
  <c r="BE87" i="5"/>
  <c r="BF87" i="5"/>
  <c r="BG87" i="5"/>
  <c r="BH87" i="5"/>
  <c r="BI87" i="5"/>
  <c r="BJ87" i="5"/>
  <c r="BK87" i="5"/>
  <c r="BL87" i="5"/>
  <c r="BM87" i="5"/>
  <c r="BN87" i="5"/>
  <c r="BO87" i="5"/>
  <c r="BP87" i="5"/>
  <c r="BQ87" i="5"/>
  <c r="BR87" i="5"/>
  <c r="BS87" i="5"/>
  <c r="BT87" i="5"/>
  <c r="BU87" i="5"/>
  <c r="BW87" i="5"/>
  <c r="BX87" i="5"/>
  <c r="BY87" i="5"/>
  <c r="BZ87" i="5"/>
  <c r="CA87" i="5"/>
  <c r="CB87" i="5"/>
  <c r="CC87" i="5"/>
  <c r="CD87" i="5"/>
  <c r="CF87" i="5"/>
  <c r="CG87" i="5"/>
  <c r="CH87" i="5"/>
  <c r="CI87" i="5"/>
  <c r="CJ87" i="5"/>
  <c r="CK87" i="5"/>
  <c r="CL87" i="5"/>
  <c r="CM87" i="5"/>
  <c r="CN87" i="5"/>
  <c r="CO87" i="5"/>
  <c r="CP87" i="5"/>
  <c r="CQ87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W66" i="5"/>
  <c r="BX66" i="5"/>
  <c r="BY66" i="5"/>
  <c r="BZ66" i="5"/>
  <c r="CA66" i="5"/>
  <c r="CB66" i="5"/>
  <c r="CC66" i="5"/>
  <c r="CD66" i="5"/>
  <c r="CF66" i="5"/>
  <c r="CG66" i="5"/>
  <c r="CH66" i="5"/>
  <c r="CI66" i="5"/>
  <c r="CJ66" i="5"/>
  <c r="CK66" i="5"/>
  <c r="CL66" i="5"/>
  <c r="CM66" i="5"/>
  <c r="CN66" i="5"/>
  <c r="CO66" i="5"/>
  <c r="CP66" i="5"/>
  <c r="CQ66" i="5"/>
  <c r="BC74" i="5"/>
  <c r="BD74" i="5"/>
  <c r="BE74" i="5"/>
  <c r="BF74" i="5"/>
  <c r="BG74" i="5"/>
  <c r="BH74" i="5"/>
  <c r="BI74" i="5"/>
  <c r="BJ74" i="5"/>
  <c r="BK74" i="5"/>
  <c r="BL74" i="5"/>
  <c r="BM74" i="5"/>
  <c r="BN74" i="5"/>
  <c r="BO74" i="5"/>
  <c r="BP74" i="5"/>
  <c r="BQ74" i="5"/>
  <c r="BR74" i="5"/>
  <c r="BS74" i="5"/>
  <c r="BT74" i="5"/>
  <c r="BU74" i="5"/>
  <c r="BW74" i="5"/>
  <c r="BX74" i="5"/>
  <c r="BY74" i="5"/>
  <c r="BZ74" i="5"/>
  <c r="CA74" i="5"/>
  <c r="CB74" i="5"/>
  <c r="CC74" i="5"/>
  <c r="CD74" i="5"/>
  <c r="CF74" i="5"/>
  <c r="CG74" i="5"/>
  <c r="CH74" i="5"/>
  <c r="CI74" i="5"/>
  <c r="CJ74" i="5"/>
  <c r="CK74" i="5"/>
  <c r="CL74" i="5"/>
  <c r="CM74" i="5"/>
  <c r="CN74" i="5"/>
  <c r="CO74" i="5"/>
  <c r="CP74" i="5"/>
  <c r="CQ74" i="5"/>
  <c r="BC76" i="5"/>
  <c r="BD76" i="5"/>
  <c r="BE76" i="5"/>
  <c r="BF76" i="5"/>
  <c r="BG76" i="5"/>
  <c r="BH76" i="5"/>
  <c r="BI76" i="5"/>
  <c r="BJ76" i="5"/>
  <c r="BK76" i="5"/>
  <c r="BL76" i="5"/>
  <c r="BM76" i="5"/>
  <c r="BN76" i="5"/>
  <c r="BO76" i="5"/>
  <c r="BP76" i="5"/>
  <c r="BQ76" i="5"/>
  <c r="BR76" i="5"/>
  <c r="BS76" i="5"/>
  <c r="BT76" i="5"/>
  <c r="BU76" i="5"/>
  <c r="BW76" i="5"/>
  <c r="BX76" i="5"/>
  <c r="BY76" i="5"/>
  <c r="BZ76" i="5"/>
  <c r="CA76" i="5"/>
  <c r="CB76" i="5"/>
  <c r="CC76" i="5"/>
  <c r="CD76" i="5"/>
  <c r="CF76" i="5"/>
  <c r="CG76" i="5"/>
  <c r="CH76" i="5"/>
  <c r="CI76" i="5"/>
  <c r="CJ76" i="5"/>
  <c r="CK76" i="5"/>
  <c r="CL76" i="5"/>
  <c r="CM76" i="5"/>
  <c r="CN76" i="5"/>
  <c r="CO76" i="5"/>
  <c r="CP76" i="5"/>
  <c r="CQ76" i="5"/>
  <c r="BC95" i="5"/>
  <c r="BD95" i="5"/>
  <c r="BE95" i="5"/>
  <c r="BF95" i="5"/>
  <c r="BG95" i="5"/>
  <c r="BH95" i="5"/>
  <c r="BI95" i="5"/>
  <c r="BJ95" i="5"/>
  <c r="BK95" i="5"/>
  <c r="BL95" i="5"/>
  <c r="BM95" i="5"/>
  <c r="BN95" i="5"/>
  <c r="BO95" i="5"/>
  <c r="BP95" i="5"/>
  <c r="BQ95" i="5"/>
  <c r="BR95" i="5"/>
  <c r="BS95" i="5"/>
  <c r="BT95" i="5"/>
  <c r="BU95" i="5"/>
  <c r="BW95" i="5"/>
  <c r="BX95" i="5"/>
  <c r="BY95" i="5"/>
  <c r="BZ95" i="5"/>
  <c r="CA95" i="5"/>
  <c r="CB95" i="5"/>
  <c r="CC95" i="5"/>
  <c r="CD95" i="5"/>
  <c r="CF95" i="5"/>
  <c r="CG95" i="5"/>
  <c r="CH95" i="5"/>
  <c r="CI95" i="5"/>
  <c r="CJ95" i="5"/>
  <c r="CK95" i="5"/>
  <c r="CL95" i="5"/>
  <c r="CM95" i="5"/>
  <c r="CN95" i="5"/>
  <c r="CO95" i="5"/>
  <c r="CP95" i="5"/>
  <c r="CQ95" i="5"/>
  <c r="BC93" i="5"/>
  <c r="BD93" i="5"/>
  <c r="BE93" i="5"/>
  <c r="BF93" i="5"/>
  <c r="BG93" i="5"/>
  <c r="BH93" i="5"/>
  <c r="BI93" i="5"/>
  <c r="BJ93" i="5"/>
  <c r="BK93" i="5"/>
  <c r="BL93" i="5"/>
  <c r="BM93" i="5"/>
  <c r="BN93" i="5"/>
  <c r="BO93" i="5"/>
  <c r="BP93" i="5"/>
  <c r="BQ93" i="5"/>
  <c r="BR93" i="5"/>
  <c r="BS93" i="5"/>
  <c r="BT93" i="5"/>
  <c r="BU93" i="5"/>
  <c r="BW93" i="5"/>
  <c r="BX93" i="5"/>
  <c r="BY93" i="5"/>
  <c r="BZ93" i="5"/>
  <c r="CA93" i="5"/>
  <c r="CB93" i="5"/>
  <c r="CC93" i="5"/>
  <c r="CD93" i="5"/>
  <c r="CF93" i="5"/>
  <c r="CG93" i="5"/>
  <c r="CH93" i="5"/>
  <c r="CI93" i="5"/>
  <c r="CJ93" i="5"/>
  <c r="CK93" i="5"/>
  <c r="CL93" i="5"/>
  <c r="CM93" i="5"/>
  <c r="CN93" i="5"/>
  <c r="CO93" i="5"/>
  <c r="CP93" i="5"/>
  <c r="CQ93" i="5"/>
  <c r="BC48" i="5"/>
  <c r="BD48" i="5"/>
  <c r="BE48" i="5"/>
  <c r="BF48" i="5"/>
  <c r="BG48" i="5"/>
  <c r="BH48" i="5"/>
  <c r="BI48" i="5"/>
  <c r="BJ48" i="5"/>
  <c r="BK48" i="5"/>
  <c r="BL48" i="5"/>
  <c r="BM48" i="5"/>
  <c r="BN48" i="5"/>
  <c r="BO48" i="5"/>
  <c r="BP48" i="5"/>
  <c r="BQ48" i="5"/>
  <c r="BR48" i="5"/>
  <c r="BS48" i="5"/>
  <c r="BT48" i="5"/>
  <c r="BU48" i="5"/>
  <c r="BW48" i="5"/>
  <c r="BX48" i="5"/>
  <c r="BY48" i="5"/>
  <c r="BZ48" i="5"/>
  <c r="CA48" i="5"/>
  <c r="CB48" i="5"/>
  <c r="CC48" i="5"/>
  <c r="CD48" i="5"/>
  <c r="CF48" i="5"/>
  <c r="CG48" i="5"/>
  <c r="CH48" i="5"/>
  <c r="CI48" i="5"/>
  <c r="CJ48" i="5"/>
  <c r="CK48" i="5"/>
  <c r="CL48" i="5"/>
  <c r="CM48" i="5"/>
  <c r="CN48" i="5"/>
  <c r="CO48" i="5"/>
  <c r="CP48" i="5"/>
  <c r="CQ48" i="5"/>
  <c r="BC73" i="5"/>
  <c r="BD73" i="5"/>
  <c r="BE73" i="5"/>
  <c r="BF73" i="5"/>
  <c r="BG73" i="5"/>
  <c r="BH73" i="5"/>
  <c r="BI73" i="5"/>
  <c r="BJ73" i="5"/>
  <c r="BK73" i="5"/>
  <c r="BL73" i="5"/>
  <c r="BM73" i="5"/>
  <c r="BN73" i="5"/>
  <c r="BO73" i="5"/>
  <c r="BP73" i="5"/>
  <c r="BQ73" i="5"/>
  <c r="BR73" i="5"/>
  <c r="BS73" i="5"/>
  <c r="BT73" i="5"/>
  <c r="BU73" i="5"/>
  <c r="BW73" i="5"/>
  <c r="BX73" i="5"/>
  <c r="BY73" i="5"/>
  <c r="BZ73" i="5"/>
  <c r="CA73" i="5"/>
  <c r="CB73" i="5"/>
  <c r="CC73" i="5"/>
  <c r="CD73" i="5"/>
  <c r="CF73" i="5"/>
  <c r="CG73" i="5"/>
  <c r="CH73" i="5"/>
  <c r="CI73" i="5"/>
  <c r="CJ73" i="5"/>
  <c r="CK73" i="5"/>
  <c r="CL73" i="5"/>
  <c r="CM73" i="5"/>
  <c r="CN73" i="5"/>
  <c r="CO73" i="5"/>
  <c r="CP73" i="5"/>
  <c r="CQ73" i="5"/>
  <c r="BC98" i="5"/>
  <c r="BD98" i="5"/>
  <c r="BE98" i="5"/>
  <c r="BF98" i="5"/>
  <c r="BG98" i="5"/>
  <c r="BH98" i="5"/>
  <c r="BI98" i="5"/>
  <c r="BJ98" i="5"/>
  <c r="BK98" i="5"/>
  <c r="BL98" i="5"/>
  <c r="BM98" i="5"/>
  <c r="BN98" i="5"/>
  <c r="BO98" i="5"/>
  <c r="BP98" i="5"/>
  <c r="BQ98" i="5"/>
  <c r="BR98" i="5"/>
  <c r="BS98" i="5"/>
  <c r="BT98" i="5"/>
  <c r="BU98" i="5"/>
  <c r="BW98" i="5"/>
  <c r="BX98" i="5"/>
  <c r="BY98" i="5"/>
  <c r="BZ98" i="5"/>
  <c r="CA98" i="5"/>
  <c r="CB98" i="5"/>
  <c r="CC98" i="5"/>
  <c r="CD98" i="5"/>
  <c r="CF98" i="5"/>
  <c r="CG98" i="5"/>
  <c r="CH98" i="5"/>
  <c r="CI98" i="5"/>
  <c r="CJ98" i="5"/>
  <c r="CK98" i="5"/>
  <c r="CL98" i="5"/>
  <c r="CM98" i="5"/>
  <c r="CN98" i="5"/>
  <c r="CO98" i="5"/>
  <c r="CP98" i="5"/>
  <c r="CQ98" i="5"/>
  <c r="BC94" i="5"/>
  <c r="BD94" i="5"/>
  <c r="BE94" i="5"/>
  <c r="BF94" i="5"/>
  <c r="BG94" i="5"/>
  <c r="BH94" i="5"/>
  <c r="BI94" i="5"/>
  <c r="BJ94" i="5"/>
  <c r="BK94" i="5"/>
  <c r="BL94" i="5"/>
  <c r="BM94" i="5"/>
  <c r="BN94" i="5"/>
  <c r="BO94" i="5"/>
  <c r="BP94" i="5"/>
  <c r="BQ94" i="5"/>
  <c r="BR94" i="5"/>
  <c r="BS94" i="5"/>
  <c r="BT94" i="5"/>
  <c r="BU94" i="5"/>
  <c r="BW94" i="5"/>
  <c r="BX94" i="5"/>
  <c r="BY94" i="5"/>
  <c r="BZ94" i="5"/>
  <c r="CA94" i="5"/>
  <c r="CB94" i="5"/>
  <c r="CC94" i="5"/>
  <c r="CD94" i="5"/>
  <c r="CF94" i="5"/>
  <c r="CG94" i="5"/>
  <c r="CH94" i="5"/>
  <c r="CI94" i="5"/>
  <c r="CJ94" i="5"/>
  <c r="CK94" i="5"/>
  <c r="CL94" i="5"/>
  <c r="CM94" i="5"/>
  <c r="CN94" i="5"/>
  <c r="CO94" i="5"/>
  <c r="CP94" i="5"/>
  <c r="CQ94" i="5"/>
  <c r="BC50" i="5"/>
  <c r="BD50" i="5"/>
  <c r="BE50" i="5"/>
  <c r="BF50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T50" i="5"/>
  <c r="BU50" i="5"/>
  <c r="BW50" i="5"/>
  <c r="BX50" i="5"/>
  <c r="BY50" i="5"/>
  <c r="BZ50" i="5"/>
  <c r="CA50" i="5"/>
  <c r="CB50" i="5"/>
  <c r="CC50" i="5"/>
  <c r="CD50" i="5"/>
  <c r="CF50" i="5"/>
  <c r="CG50" i="5"/>
  <c r="CH50" i="5"/>
  <c r="CI50" i="5"/>
  <c r="CJ50" i="5"/>
  <c r="CK50" i="5"/>
  <c r="CL50" i="5"/>
  <c r="CM50" i="5"/>
  <c r="CN50" i="5"/>
  <c r="CO50" i="5"/>
  <c r="CP50" i="5"/>
  <c r="CQ50" i="5"/>
  <c r="BC70" i="5"/>
  <c r="BD70" i="5"/>
  <c r="BE70" i="5"/>
  <c r="BF70" i="5"/>
  <c r="BG70" i="5"/>
  <c r="BH70" i="5"/>
  <c r="BI70" i="5"/>
  <c r="BJ70" i="5"/>
  <c r="BK70" i="5"/>
  <c r="BL70" i="5"/>
  <c r="BM70" i="5"/>
  <c r="BN70" i="5"/>
  <c r="BO70" i="5"/>
  <c r="BP70" i="5"/>
  <c r="BQ70" i="5"/>
  <c r="BR70" i="5"/>
  <c r="BS70" i="5"/>
  <c r="BT70" i="5"/>
  <c r="BU70" i="5"/>
  <c r="BW70" i="5"/>
  <c r="BX70" i="5"/>
  <c r="BY70" i="5"/>
  <c r="BZ70" i="5"/>
  <c r="CA70" i="5"/>
  <c r="CB70" i="5"/>
  <c r="CC70" i="5"/>
  <c r="CD70" i="5"/>
  <c r="CF70" i="5"/>
  <c r="CG70" i="5"/>
  <c r="CH70" i="5"/>
  <c r="CI70" i="5"/>
  <c r="CJ70" i="5"/>
  <c r="CK70" i="5"/>
  <c r="CL70" i="5"/>
  <c r="CM70" i="5"/>
  <c r="CN70" i="5"/>
  <c r="CO70" i="5"/>
  <c r="CP70" i="5"/>
  <c r="CQ70" i="5"/>
  <c r="BC88" i="5"/>
  <c r="BD88" i="5"/>
  <c r="BE88" i="5"/>
  <c r="BF88" i="5"/>
  <c r="BG88" i="5"/>
  <c r="BH88" i="5"/>
  <c r="BI88" i="5"/>
  <c r="BJ88" i="5"/>
  <c r="BK88" i="5"/>
  <c r="BL88" i="5"/>
  <c r="BM88" i="5"/>
  <c r="BN88" i="5"/>
  <c r="BO88" i="5"/>
  <c r="BP88" i="5"/>
  <c r="BQ88" i="5"/>
  <c r="BR88" i="5"/>
  <c r="BS88" i="5"/>
  <c r="BT88" i="5"/>
  <c r="BU88" i="5"/>
  <c r="BW88" i="5"/>
  <c r="BX88" i="5"/>
  <c r="BY88" i="5"/>
  <c r="BZ88" i="5"/>
  <c r="CA88" i="5"/>
  <c r="CB88" i="5"/>
  <c r="CC88" i="5"/>
  <c r="CD88" i="5"/>
  <c r="CF88" i="5"/>
  <c r="CG88" i="5"/>
  <c r="CH88" i="5"/>
  <c r="CI88" i="5"/>
  <c r="CJ88" i="5"/>
  <c r="CK88" i="5"/>
  <c r="CL88" i="5"/>
  <c r="CM88" i="5"/>
  <c r="CN88" i="5"/>
  <c r="CO88" i="5"/>
  <c r="CP88" i="5"/>
  <c r="CQ88" i="5"/>
  <c r="AU101" i="5"/>
  <c r="AV101" i="5" s="1"/>
  <c r="AW101" i="5"/>
  <c r="AX101" i="5" s="1"/>
  <c r="BA101" i="5"/>
  <c r="BB101" i="5"/>
  <c r="BC101" i="5"/>
  <c r="BD101" i="5"/>
  <c r="BE101" i="5"/>
  <c r="BF101" i="5"/>
  <c r="BG101" i="5"/>
  <c r="BH101" i="5"/>
  <c r="BI101" i="5"/>
  <c r="BJ101" i="5"/>
  <c r="BK101" i="5"/>
  <c r="BL101" i="5"/>
  <c r="BM101" i="5"/>
  <c r="BN101" i="5"/>
  <c r="BO101" i="5"/>
  <c r="BP101" i="5"/>
  <c r="BQ101" i="5"/>
  <c r="BR101" i="5"/>
  <c r="BS101" i="5"/>
  <c r="BT101" i="5"/>
  <c r="BU101" i="5"/>
  <c r="BW101" i="5"/>
  <c r="BX101" i="5"/>
  <c r="BY101" i="5"/>
  <c r="BZ101" i="5"/>
  <c r="CA101" i="5"/>
  <c r="CB101" i="5"/>
  <c r="CC101" i="5"/>
  <c r="CD101" i="5"/>
  <c r="CF101" i="5"/>
  <c r="CG101" i="5"/>
  <c r="CH101" i="5"/>
  <c r="CI101" i="5"/>
  <c r="CJ101" i="5"/>
  <c r="CK101" i="5"/>
  <c r="CL101" i="5"/>
  <c r="CM101" i="5"/>
  <c r="CN101" i="5"/>
  <c r="CO101" i="5"/>
  <c r="CP101" i="5"/>
  <c r="CQ101" i="5"/>
  <c r="BC89" i="5"/>
  <c r="BD89" i="5"/>
  <c r="BE89" i="5"/>
  <c r="BF89" i="5"/>
  <c r="BG89" i="5"/>
  <c r="BH89" i="5"/>
  <c r="BI89" i="5"/>
  <c r="BJ89" i="5"/>
  <c r="BK89" i="5"/>
  <c r="BL89" i="5"/>
  <c r="BM89" i="5"/>
  <c r="BN89" i="5"/>
  <c r="BO89" i="5"/>
  <c r="BP89" i="5"/>
  <c r="BQ89" i="5"/>
  <c r="BR89" i="5"/>
  <c r="BS89" i="5"/>
  <c r="BT89" i="5"/>
  <c r="BU89" i="5"/>
  <c r="BW89" i="5"/>
  <c r="BX89" i="5"/>
  <c r="BY89" i="5"/>
  <c r="BZ89" i="5"/>
  <c r="CA89" i="5"/>
  <c r="CB89" i="5"/>
  <c r="CC89" i="5"/>
  <c r="CD89" i="5"/>
  <c r="CF89" i="5"/>
  <c r="CG89" i="5"/>
  <c r="CH89" i="5"/>
  <c r="CI89" i="5"/>
  <c r="CJ89" i="5"/>
  <c r="CK89" i="5"/>
  <c r="CL89" i="5"/>
  <c r="CM89" i="5"/>
  <c r="CN89" i="5"/>
  <c r="CO89" i="5"/>
  <c r="CP89" i="5"/>
  <c r="CQ89" i="5"/>
  <c r="BC77" i="5"/>
  <c r="BD77" i="5"/>
  <c r="BE77" i="5"/>
  <c r="BF77" i="5"/>
  <c r="BG77" i="5"/>
  <c r="BH77" i="5"/>
  <c r="BI77" i="5"/>
  <c r="BJ77" i="5"/>
  <c r="BK77" i="5"/>
  <c r="BL77" i="5"/>
  <c r="BM77" i="5"/>
  <c r="BN77" i="5"/>
  <c r="BO77" i="5"/>
  <c r="BP77" i="5"/>
  <c r="BQ77" i="5"/>
  <c r="BR77" i="5"/>
  <c r="BS77" i="5"/>
  <c r="BT77" i="5"/>
  <c r="BU77" i="5"/>
  <c r="BW77" i="5"/>
  <c r="BX77" i="5"/>
  <c r="BY77" i="5"/>
  <c r="BZ77" i="5"/>
  <c r="CA77" i="5"/>
  <c r="CB77" i="5"/>
  <c r="CC77" i="5"/>
  <c r="CD77" i="5"/>
  <c r="CF77" i="5"/>
  <c r="CG77" i="5"/>
  <c r="CH77" i="5"/>
  <c r="CI77" i="5"/>
  <c r="CJ77" i="5"/>
  <c r="CK77" i="5"/>
  <c r="CL77" i="5"/>
  <c r="CM77" i="5"/>
  <c r="CN77" i="5"/>
  <c r="CO77" i="5"/>
  <c r="CP77" i="5"/>
  <c r="CQ77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W24" i="5"/>
  <c r="BX24" i="5"/>
  <c r="BY24" i="5"/>
  <c r="BZ24" i="5"/>
  <c r="CA24" i="5"/>
  <c r="CB24" i="5"/>
  <c r="CC24" i="5"/>
  <c r="CD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BC59" i="5"/>
  <c r="BD59" i="5"/>
  <c r="BE59" i="5"/>
  <c r="BF59" i="5"/>
  <c r="BG59" i="5"/>
  <c r="BH59" i="5"/>
  <c r="BI59" i="5"/>
  <c r="BJ59" i="5"/>
  <c r="BK59" i="5"/>
  <c r="BL59" i="5"/>
  <c r="BM59" i="5"/>
  <c r="BN59" i="5"/>
  <c r="BO59" i="5"/>
  <c r="BP59" i="5"/>
  <c r="BQ59" i="5"/>
  <c r="BR59" i="5"/>
  <c r="BS59" i="5"/>
  <c r="BT59" i="5"/>
  <c r="BU59" i="5"/>
  <c r="BW59" i="5"/>
  <c r="BX59" i="5"/>
  <c r="BY59" i="5"/>
  <c r="BZ59" i="5"/>
  <c r="CA59" i="5"/>
  <c r="CB59" i="5"/>
  <c r="CC59" i="5"/>
  <c r="CD59" i="5"/>
  <c r="CF59" i="5"/>
  <c r="CG59" i="5"/>
  <c r="CH59" i="5"/>
  <c r="CI59" i="5"/>
  <c r="CJ59" i="5"/>
  <c r="CK59" i="5"/>
  <c r="CL59" i="5"/>
  <c r="CM59" i="5"/>
  <c r="CN59" i="5"/>
  <c r="CO59" i="5"/>
  <c r="CP59" i="5"/>
  <c r="CQ59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W47" i="5"/>
  <c r="BX47" i="5"/>
  <c r="BY47" i="5"/>
  <c r="BZ47" i="5"/>
  <c r="CA47" i="5"/>
  <c r="CB47" i="5"/>
  <c r="CC47" i="5"/>
  <c r="CD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BC78" i="5"/>
  <c r="BD78" i="5"/>
  <c r="BE78" i="5"/>
  <c r="BF78" i="5"/>
  <c r="BG78" i="5"/>
  <c r="BH78" i="5"/>
  <c r="BI78" i="5"/>
  <c r="BJ78" i="5"/>
  <c r="BK78" i="5"/>
  <c r="BL78" i="5"/>
  <c r="BM78" i="5"/>
  <c r="BN78" i="5"/>
  <c r="BO78" i="5"/>
  <c r="BP78" i="5"/>
  <c r="BQ78" i="5"/>
  <c r="BR78" i="5"/>
  <c r="BS78" i="5"/>
  <c r="BT78" i="5"/>
  <c r="BU78" i="5"/>
  <c r="BW78" i="5"/>
  <c r="BX78" i="5"/>
  <c r="BY78" i="5"/>
  <c r="BZ78" i="5"/>
  <c r="CA78" i="5"/>
  <c r="CB78" i="5"/>
  <c r="CC78" i="5"/>
  <c r="CD78" i="5"/>
  <c r="CF78" i="5"/>
  <c r="CG78" i="5"/>
  <c r="CH78" i="5"/>
  <c r="CI78" i="5"/>
  <c r="CJ78" i="5"/>
  <c r="CK78" i="5"/>
  <c r="CL78" i="5"/>
  <c r="CM78" i="5"/>
  <c r="CN78" i="5"/>
  <c r="CO78" i="5"/>
  <c r="CP78" i="5"/>
  <c r="CQ78" i="5"/>
  <c r="BC64" i="5"/>
  <c r="BD64" i="5"/>
  <c r="BE64" i="5"/>
  <c r="BF64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T64" i="5"/>
  <c r="BU64" i="5"/>
  <c r="BW64" i="5"/>
  <c r="BX64" i="5"/>
  <c r="BY64" i="5"/>
  <c r="BZ64" i="5"/>
  <c r="CA64" i="5"/>
  <c r="CB64" i="5"/>
  <c r="CC64" i="5"/>
  <c r="CD64" i="5"/>
  <c r="CF64" i="5"/>
  <c r="CG64" i="5"/>
  <c r="CH64" i="5"/>
  <c r="CI64" i="5"/>
  <c r="CJ64" i="5"/>
  <c r="CK64" i="5"/>
  <c r="CL64" i="5"/>
  <c r="CM64" i="5"/>
  <c r="CN64" i="5"/>
  <c r="CO64" i="5"/>
  <c r="CP64" i="5"/>
  <c r="CQ64" i="5"/>
  <c r="BC72" i="5"/>
  <c r="BD72" i="5"/>
  <c r="BE72" i="5"/>
  <c r="BF72" i="5"/>
  <c r="BG72" i="5"/>
  <c r="BH72" i="5"/>
  <c r="BI72" i="5"/>
  <c r="BJ72" i="5"/>
  <c r="BK72" i="5"/>
  <c r="BL72" i="5"/>
  <c r="BM72" i="5"/>
  <c r="BN72" i="5"/>
  <c r="BO72" i="5"/>
  <c r="BP72" i="5"/>
  <c r="BQ72" i="5"/>
  <c r="BR72" i="5"/>
  <c r="BS72" i="5"/>
  <c r="BT72" i="5"/>
  <c r="BU72" i="5"/>
  <c r="BW72" i="5"/>
  <c r="BX72" i="5"/>
  <c r="BY72" i="5"/>
  <c r="BZ72" i="5"/>
  <c r="CA72" i="5"/>
  <c r="CB72" i="5"/>
  <c r="CC72" i="5"/>
  <c r="CD72" i="5"/>
  <c r="CF72" i="5"/>
  <c r="CG72" i="5"/>
  <c r="CH72" i="5"/>
  <c r="CI72" i="5"/>
  <c r="CJ72" i="5"/>
  <c r="CK72" i="5"/>
  <c r="CL72" i="5"/>
  <c r="CM72" i="5"/>
  <c r="CN72" i="5"/>
  <c r="CO72" i="5"/>
  <c r="CP72" i="5"/>
  <c r="CQ72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W33" i="5"/>
  <c r="BX33" i="5"/>
  <c r="BY33" i="5"/>
  <c r="BZ33" i="5"/>
  <c r="CA33" i="5"/>
  <c r="CB33" i="5"/>
  <c r="CC33" i="5"/>
  <c r="CD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BC83" i="5"/>
  <c r="BD83" i="5"/>
  <c r="BE83" i="5"/>
  <c r="BF83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T83" i="5"/>
  <c r="BU83" i="5"/>
  <c r="BW83" i="5"/>
  <c r="BX83" i="5"/>
  <c r="BY83" i="5"/>
  <c r="BZ83" i="5"/>
  <c r="CA83" i="5"/>
  <c r="CB83" i="5"/>
  <c r="CC83" i="5"/>
  <c r="CD83" i="5"/>
  <c r="CF83" i="5"/>
  <c r="CG83" i="5"/>
  <c r="CH83" i="5"/>
  <c r="CI83" i="5"/>
  <c r="CJ83" i="5"/>
  <c r="CK83" i="5"/>
  <c r="CL83" i="5"/>
  <c r="CM83" i="5"/>
  <c r="CN83" i="5"/>
  <c r="CO83" i="5"/>
  <c r="CP83" i="5"/>
  <c r="CQ83" i="5"/>
  <c r="AU100" i="5"/>
  <c r="AV100" i="5" s="1"/>
  <c r="AW100" i="5"/>
  <c r="AX100" i="5" s="1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BM100" i="5"/>
  <c r="BN100" i="5"/>
  <c r="BO100" i="5"/>
  <c r="BP100" i="5"/>
  <c r="BQ100" i="5"/>
  <c r="BR100" i="5"/>
  <c r="BS100" i="5"/>
  <c r="BT100" i="5"/>
  <c r="BU100" i="5"/>
  <c r="BW100" i="5"/>
  <c r="BX100" i="5"/>
  <c r="BY100" i="5"/>
  <c r="BZ100" i="5"/>
  <c r="CA100" i="5"/>
  <c r="CB100" i="5"/>
  <c r="CC100" i="5"/>
  <c r="CD100" i="5"/>
  <c r="CF100" i="5"/>
  <c r="CG100" i="5"/>
  <c r="CH100" i="5"/>
  <c r="CI100" i="5"/>
  <c r="CJ100" i="5"/>
  <c r="CK100" i="5"/>
  <c r="CL100" i="5"/>
  <c r="CM100" i="5"/>
  <c r="CN100" i="5"/>
  <c r="CO100" i="5"/>
  <c r="CP100" i="5"/>
  <c r="CQ100" i="5"/>
  <c r="BC90" i="5"/>
  <c r="BD90" i="5"/>
  <c r="BE90" i="5"/>
  <c r="BF90" i="5"/>
  <c r="BG90" i="5"/>
  <c r="BH90" i="5"/>
  <c r="BI90" i="5"/>
  <c r="BJ90" i="5"/>
  <c r="BK90" i="5"/>
  <c r="BL90" i="5"/>
  <c r="BM90" i="5"/>
  <c r="BN90" i="5"/>
  <c r="BO90" i="5"/>
  <c r="BP90" i="5"/>
  <c r="BQ90" i="5"/>
  <c r="BR90" i="5"/>
  <c r="BS90" i="5"/>
  <c r="BT90" i="5"/>
  <c r="BU90" i="5"/>
  <c r="BW90" i="5"/>
  <c r="BX90" i="5"/>
  <c r="BY90" i="5"/>
  <c r="BZ90" i="5"/>
  <c r="CA90" i="5"/>
  <c r="CB90" i="5"/>
  <c r="CC90" i="5"/>
  <c r="CD90" i="5"/>
  <c r="CF90" i="5"/>
  <c r="CG90" i="5"/>
  <c r="CH90" i="5"/>
  <c r="CI90" i="5"/>
  <c r="CJ90" i="5"/>
  <c r="CK90" i="5"/>
  <c r="CL90" i="5"/>
  <c r="CM90" i="5"/>
  <c r="CN90" i="5"/>
  <c r="CO90" i="5"/>
  <c r="CP90" i="5"/>
  <c r="CQ90" i="5"/>
  <c r="BC92" i="5"/>
  <c r="BD92" i="5"/>
  <c r="BE92" i="5"/>
  <c r="BF92" i="5"/>
  <c r="BG92" i="5"/>
  <c r="BH92" i="5"/>
  <c r="BI92" i="5"/>
  <c r="BJ92" i="5"/>
  <c r="BK92" i="5"/>
  <c r="BL92" i="5"/>
  <c r="BM92" i="5"/>
  <c r="BN92" i="5"/>
  <c r="BO92" i="5"/>
  <c r="BP92" i="5"/>
  <c r="BQ92" i="5"/>
  <c r="BR92" i="5"/>
  <c r="BS92" i="5"/>
  <c r="BT92" i="5"/>
  <c r="BU92" i="5"/>
  <c r="BW92" i="5"/>
  <c r="BX92" i="5"/>
  <c r="BY92" i="5"/>
  <c r="BZ92" i="5"/>
  <c r="CA92" i="5"/>
  <c r="CB92" i="5"/>
  <c r="CC92" i="5"/>
  <c r="CD92" i="5"/>
  <c r="CF92" i="5"/>
  <c r="CG92" i="5"/>
  <c r="CH92" i="5"/>
  <c r="CI92" i="5"/>
  <c r="CJ92" i="5"/>
  <c r="CK92" i="5"/>
  <c r="CL92" i="5"/>
  <c r="CM92" i="5"/>
  <c r="CN92" i="5"/>
  <c r="CO92" i="5"/>
  <c r="CP92" i="5"/>
  <c r="CQ92" i="5"/>
  <c r="AU102" i="5"/>
  <c r="AV102" i="5" s="1"/>
  <c r="AW102" i="5"/>
  <c r="AX102" i="5" s="1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BM102" i="5"/>
  <c r="BN102" i="5"/>
  <c r="BO102" i="5"/>
  <c r="BP102" i="5"/>
  <c r="BQ102" i="5"/>
  <c r="BR102" i="5"/>
  <c r="BS102" i="5"/>
  <c r="BT102" i="5"/>
  <c r="BU102" i="5"/>
  <c r="BW102" i="5"/>
  <c r="BX102" i="5"/>
  <c r="BY102" i="5"/>
  <c r="BZ102" i="5"/>
  <c r="CA102" i="5"/>
  <c r="CB102" i="5"/>
  <c r="CC102" i="5"/>
  <c r="CD102" i="5"/>
  <c r="CF102" i="5"/>
  <c r="CG102" i="5"/>
  <c r="CH102" i="5"/>
  <c r="CI102" i="5"/>
  <c r="CJ102" i="5"/>
  <c r="CK102" i="5"/>
  <c r="CL102" i="5"/>
  <c r="CM102" i="5"/>
  <c r="CN102" i="5"/>
  <c r="CO102" i="5"/>
  <c r="CP102" i="5"/>
  <c r="CQ102" i="5"/>
  <c r="BC91" i="5"/>
  <c r="BD91" i="5"/>
  <c r="BE91" i="5"/>
  <c r="BF91" i="5"/>
  <c r="BG91" i="5"/>
  <c r="BH91" i="5"/>
  <c r="BI91" i="5"/>
  <c r="BJ91" i="5"/>
  <c r="BK91" i="5"/>
  <c r="BL91" i="5"/>
  <c r="BM91" i="5"/>
  <c r="BN91" i="5"/>
  <c r="BO91" i="5"/>
  <c r="BP91" i="5"/>
  <c r="BQ91" i="5"/>
  <c r="BR91" i="5"/>
  <c r="BS91" i="5"/>
  <c r="BT91" i="5"/>
  <c r="BU91" i="5"/>
  <c r="BW91" i="5"/>
  <c r="BX91" i="5"/>
  <c r="BY91" i="5"/>
  <c r="BZ91" i="5"/>
  <c r="CA91" i="5"/>
  <c r="CB91" i="5"/>
  <c r="CC91" i="5"/>
  <c r="CD91" i="5"/>
  <c r="CF91" i="5"/>
  <c r="CG91" i="5"/>
  <c r="CH91" i="5"/>
  <c r="CI91" i="5"/>
  <c r="CJ91" i="5"/>
  <c r="CK91" i="5"/>
  <c r="CL91" i="5"/>
  <c r="CM91" i="5"/>
  <c r="CN91" i="5"/>
  <c r="CO91" i="5"/>
  <c r="CP91" i="5"/>
  <c r="CQ91" i="5"/>
  <c r="AU97" i="5"/>
  <c r="AV97" i="5" s="1"/>
  <c r="AW97" i="5"/>
  <c r="AX97" i="5" s="1"/>
  <c r="BA97" i="5"/>
  <c r="BB97" i="5"/>
  <c r="BC97" i="5"/>
  <c r="BD97" i="5"/>
  <c r="BE97" i="5"/>
  <c r="BF97" i="5"/>
  <c r="BG97" i="5"/>
  <c r="BH97" i="5"/>
  <c r="BI97" i="5"/>
  <c r="BJ97" i="5"/>
  <c r="BK97" i="5"/>
  <c r="BL97" i="5"/>
  <c r="BM97" i="5"/>
  <c r="BN97" i="5"/>
  <c r="BO97" i="5"/>
  <c r="BP97" i="5"/>
  <c r="BQ97" i="5"/>
  <c r="BR97" i="5"/>
  <c r="BS97" i="5"/>
  <c r="BT97" i="5"/>
  <c r="BU97" i="5"/>
  <c r="BW97" i="5"/>
  <c r="BX97" i="5"/>
  <c r="BY97" i="5"/>
  <c r="BZ97" i="5"/>
  <c r="CA97" i="5"/>
  <c r="CB97" i="5"/>
  <c r="CC97" i="5"/>
  <c r="CD97" i="5"/>
  <c r="CF97" i="5"/>
  <c r="CG97" i="5"/>
  <c r="CH97" i="5"/>
  <c r="CI97" i="5"/>
  <c r="CJ97" i="5"/>
  <c r="CK97" i="5"/>
  <c r="CL97" i="5"/>
  <c r="CM97" i="5"/>
  <c r="CN97" i="5"/>
  <c r="CO97" i="5"/>
  <c r="CP97" i="5"/>
  <c r="CQ97" i="5"/>
  <c r="AU103" i="5"/>
  <c r="AV103" i="5" s="1"/>
  <c r="AW103" i="5"/>
  <c r="AX103" i="5" s="1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BM103" i="5"/>
  <c r="BN103" i="5"/>
  <c r="BO103" i="5"/>
  <c r="BP103" i="5"/>
  <c r="BQ103" i="5"/>
  <c r="BR103" i="5"/>
  <c r="BS103" i="5"/>
  <c r="BT103" i="5"/>
  <c r="BU103" i="5"/>
  <c r="BW103" i="5"/>
  <c r="BX103" i="5"/>
  <c r="BY103" i="5"/>
  <c r="BZ103" i="5"/>
  <c r="CA103" i="5"/>
  <c r="CB103" i="5"/>
  <c r="CC103" i="5"/>
  <c r="CD103" i="5"/>
  <c r="CF103" i="5"/>
  <c r="CG103" i="5"/>
  <c r="CH103" i="5"/>
  <c r="CI103" i="5"/>
  <c r="CJ103" i="5"/>
  <c r="CK103" i="5"/>
  <c r="CL103" i="5"/>
  <c r="CM103" i="5"/>
  <c r="CN103" i="5"/>
  <c r="CO103" i="5"/>
  <c r="CP103" i="5"/>
  <c r="CQ103" i="5"/>
  <c r="A32" i="5"/>
  <c r="F32" i="5"/>
  <c r="A18" i="5"/>
  <c r="F18" i="5"/>
  <c r="A21" i="5"/>
  <c r="F21" i="5"/>
  <c r="A30" i="5"/>
  <c r="F30" i="5"/>
  <c r="A37" i="5"/>
  <c r="F37" i="5"/>
  <c r="A31" i="5"/>
  <c r="F31" i="5"/>
  <c r="A16" i="5"/>
  <c r="F16" i="5"/>
  <c r="A19" i="5"/>
  <c r="F19" i="5"/>
  <c r="A22" i="5"/>
  <c r="F22" i="5"/>
  <c r="A15" i="5"/>
  <c r="F15" i="5"/>
  <c r="A23" i="5"/>
  <c r="F23" i="5"/>
  <c r="A55" i="5"/>
  <c r="F55" i="5"/>
  <c r="A35" i="5"/>
  <c r="F35" i="5"/>
  <c r="A63" i="5"/>
  <c r="F63" i="5"/>
  <c r="A62" i="5"/>
  <c r="F62" i="5"/>
  <c r="A36" i="5"/>
  <c r="F36" i="5"/>
  <c r="A56" i="5"/>
  <c r="F56" i="5"/>
  <c r="A34" i="5"/>
  <c r="F34" i="5"/>
  <c r="A49" i="5"/>
  <c r="F49" i="5"/>
  <c r="A54" i="5"/>
  <c r="F54" i="5"/>
  <c r="A69" i="5"/>
  <c r="F69" i="5"/>
  <c r="A51" i="5"/>
  <c r="F51" i="5"/>
  <c r="A75" i="5"/>
  <c r="F75" i="5"/>
  <c r="A39" i="5"/>
  <c r="F39" i="5"/>
  <c r="A67" i="5"/>
  <c r="F67" i="5"/>
  <c r="A57" i="5"/>
  <c r="F57" i="5"/>
  <c r="A40" i="5"/>
  <c r="F40" i="5"/>
  <c r="A79" i="5"/>
  <c r="F79" i="5"/>
  <c r="A61" i="5"/>
  <c r="F61" i="5"/>
  <c r="A28" i="5"/>
  <c r="F28" i="5"/>
  <c r="A82" i="5"/>
  <c r="F82" i="5"/>
  <c r="A41" i="5"/>
  <c r="F41" i="5"/>
  <c r="A42" i="5"/>
  <c r="F42" i="5"/>
  <c r="A43" i="5"/>
  <c r="F43" i="5"/>
  <c r="A52" i="5"/>
  <c r="F52" i="5"/>
  <c r="A38" i="5"/>
  <c r="F38" i="5"/>
  <c r="A68" i="5"/>
  <c r="F68" i="5"/>
  <c r="A44" i="5"/>
  <c r="B44" i="5" s="1"/>
  <c r="BV44" i="5" s="1"/>
  <c r="F44" i="5"/>
  <c r="A65" i="5"/>
  <c r="F65" i="5"/>
  <c r="A53" i="5"/>
  <c r="F53" i="5"/>
  <c r="A45" i="5"/>
  <c r="F45" i="5"/>
  <c r="A81" i="5"/>
  <c r="F81" i="5"/>
  <c r="A99" i="5"/>
  <c r="F99" i="5"/>
  <c r="A84" i="5"/>
  <c r="F84" i="5"/>
  <c r="A86" i="5"/>
  <c r="F86" i="5"/>
  <c r="A58" i="5"/>
  <c r="F58" i="5"/>
  <c r="A80" i="5"/>
  <c r="F80" i="5"/>
  <c r="A60" i="5"/>
  <c r="F60" i="5"/>
  <c r="A71" i="5"/>
  <c r="F71" i="5"/>
  <c r="A96" i="5"/>
  <c r="F96" i="5"/>
  <c r="A85" i="5"/>
  <c r="F85" i="5"/>
  <c r="A87" i="5"/>
  <c r="F87" i="5"/>
  <c r="A66" i="5"/>
  <c r="F66" i="5"/>
  <c r="A74" i="5"/>
  <c r="F74" i="5"/>
  <c r="A76" i="5"/>
  <c r="F76" i="5"/>
  <c r="A95" i="5"/>
  <c r="F95" i="5"/>
  <c r="A93" i="5"/>
  <c r="F93" i="5"/>
  <c r="A48" i="5"/>
  <c r="F48" i="5"/>
  <c r="A73" i="5"/>
  <c r="F73" i="5"/>
  <c r="A98" i="5"/>
  <c r="F98" i="5"/>
  <c r="A94" i="5"/>
  <c r="F94" i="5"/>
  <c r="A50" i="5"/>
  <c r="F50" i="5"/>
  <c r="A70" i="5"/>
  <c r="F70" i="5"/>
  <c r="A88" i="5"/>
  <c r="F88" i="5"/>
  <c r="A101" i="5"/>
  <c r="F101" i="5"/>
  <c r="A89" i="5"/>
  <c r="F89" i="5"/>
  <c r="A77" i="5"/>
  <c r="F77" i="5"/>
  <c r="A24" i="5"/>
  <c r="F24" i="5"/>
  <c r="A59" i="5"/>
  <c r="F59" i="5"/>
  <c r="A47" i="5"/>
  <c r="F47" i="5"/>
  <c r="A78" i="5"/>
  <c r="F78" i="5"/>
  <c r="A64" i="5"/>
  <c r="F64" i="5"/>
  <c r="A72" i="5"/>
  <c r="F72" i="5"/>
  <c r="A33" i="5"/>
  <c r="F33" i="5"/>
  <c r="A83" i="5"/>
  <c r="F83" i="5"/>
  <c r="A100" i="5"/>
  <c r="F100" i="5"/>
  <c r="A90" i="5"/>
  <c r="F90" i="5"/>
  <c r="A92" i="5"/>
  <c r="F92" i="5"/>
  <c r="A102" i="5"/>
  <c r="F102" i="5"/>
  <c r="A91" i="5"/>
  <c r="F91" i="5"/>
  <c r="A97" i="5"/>
  <c r="F97" i="5"/>
  <c r="A103" i="5"/>
  <c r="F103" i="5"/>
  <c r="A27" i="5"/>
  <c r="F27" i="5"/>
  <c r="A29" i="5"/>
  <c r="B29" i="5" s="1"/>
  <c r="BV29" i="5" s="1"/>
  <c r="F29" i="5"/>
  <c r="A60" i="6"/>
  <c r="D60" i="6"/>
  <c r="BA60" i="6"/>
  <c r="BB60" i="6" s="1"/>
  <c r="BC60" i="6"/>
  <c r="BD60" i="6" s="1"/>
  <c r="BG60" i="6"/>
  <c r="BH60" i="6"/>
  <c r="BI60" i="6"/>
  <c r="BK60" i="6"/>
  <c r="BL60" i="6"/>
  <c r="BM60" i="6"/>
  <c r="BN60" i="6"/>
  <c r="BO60" i="6"/>
  <c r="BP60" i="6"/>
  <c r="A46" i="5"/>
  <c r="F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W46" i="5"/>
  <c r="BX46" i="5"/>
  <c r="BY46" i="5"/>
  <c r="BZ46" i="5"/>
  <c r="CA46" i="5"/>
  <c r="CB46" i="5"/>
  <c r="CC46" i="5"/>
  <c r="CD46" i="5"/>
  <c r="CF46" i="5"/>
  <c r="CG46" i="5"/>
  <c r="CH46" i="5"/>
  <c r="CI46" i="5"/>
  <c r="CJ46" i="5"/>
  <c r="CK46" i="5"/>
  <c r="CL46" i="5"/>
  <c r="CM46" i="5"/>
  <c r="CN46" i="5"/>
  <c r="CO46" i="5"/>
  <c r="CP46" i="5"/>
  <c r="CQ46" i="5"/>
  <c r="P38" i="38"/>
  <c r="O38" i="38"/>
  <c r="N38" i="38"/>
  <c r="M38" i="38"/>
  <c r="L38" i="38"/>
  <c r="K38" i="38"/>
  <c r="J38" i="38"/>
  <c r="P37" i="38"/>
  <c r="O37" i="38"/>
  <c r="N37" i="38"/>
  <c r="M37" i="38"/>
  <c r="L37" i="38"/>
  <c r="K37" i="38"/>
  <c r="J37" i="38"/>
  <c r="P36" i="38"/>
  <c r="O36" i="38"/>
  <c r="N36" i="38"/>
  <c r="M36" i="38"/>
  <c r="L36" i="38"/>
  <c r="K36" i="38"/>
  <c r="J36" i="38"/>
  <c r="P35" i="38"/>
  <c r="O35" i="38"/>
  <c r="N35" i="38"/>
  <c r="M35" i="38"/>
  <c r="L35" i="38"/>
  <c r="K35" i="38"/>
  <c r="J35" i="38"/>
  <c r="P34" i="38"/>
  <c r="O34" i="38"/>
  <c r="N34" i="38"/>
  <c r="M34" i="38"/>
  <c r="L34" i="38"/>
  <c r="K34" i="38"/>
  <c r="J34" i="38"/>
  <c r="P33" i="38"/>
  <c r="O33" i="38"/>
  <c r="N33" i="38"/>
  <c r="M33" i="38"/>
  <c r="L33" i="38"/>
  <c r="K33" i="38"/>
  <c r="J33" i="38"/>
  <c r="P32" i="38"/>
  <c r="O32" i="38"/>
  <c r="N32" i="38"/>
  <c r="M32" i="38"/>
  <c r="L32" i="38"/>
  <c r="K32" i="38"/>
  <c r="J32" i="38"/>
  <c r="P31" i="38"/>
  <c r="O31" i="38"/>
  <c r="N31" i="38"/>
  <c r="M31" i="38"/>
  <c r="L31" i="38"/>
  <c r="K31" i="38"/>
  <c r="J31" i="38"/>
  <c r="P30" i="38"/>
  <c r="O30" i="38"/>
  <c r="N30" i="38"/>
  <c r="M30" i="38"/>
  <c r="L30" i="38"/>
  <c r="K30" i="38"/>
  <c r="J30" i="38"/>
  <c r="AY27" i="38"/>
  <c r="AX27" i="38"/>
  <c r="AW27" i="38"/>
  <c r="AV27" i="38"/>
  <c r="AU27" i="38"/>
  <c r="AJ27" i="38"/>
  <c r="AI27" i="38"/>
  <c r="AH27" i="38"/>
  <c r="AG27" i="38"/>
  <c r="AF27" i="38"/>
  <c r="AE27" i="38"/>
  <c r="AD27" i="38"/>
  <c r="T27" i="38"/>
  <c r="S27" i="38"/>
  <c r="R27" i="38"/>
  <c r="Q27" i="38"/>
  <c r="P27" i="38"/>
  <c r="O27" i="38"/>
  <c r="N27" i="38"/>
  <c r="M27" i="38"/>
  <c r="L27" i="38"/>
  <c r="K27" i="38"/>
  <c r="J27" i="38"/>
  <c r="E27" i="38"/>
  <c r="D27" i="38"/>
  <c r="AY26" i="38"/>
  <c r="AX26" i="38"/>
  <c r="AW26" i="38"/>
  <c r="AV26" i="38"/>
  <c r="AU26" i="38"/>
  <c r="AJ26" i="38"/>
  <c r="AI26" i="38"/>
  <c r="AH26" i="38"/>
  <c r="AG26" i="38"/>
  <c r="AF26" i="38"/>
  <c r="AE26" i="38"/>
  <c r="AD26" i="38"/>
  <c r="T26" i="38"/>
  <c r="S26" i="38"/>
  <c r="R26" i="38"/>
  <c r="Q26" i="38"/>
  <c r="P26" i="38"/>
  <c r="O26" i="38"/>
  <c r="N26" i="38"/>
  <c r="M26" i="38"/>
  <c r="L26" i="38"/>
  <c r="K26" i="38"/>
  <c r="J26" i="38"/>
  <c r="E26" i="38"/>
  <c r="D26" i="38"/>
  <c r="AY25" i="38"/>
  <c r="AX25" i="38"/>
  <c r="AW25" i="38"/>
  <c r="AV25" i="38"/>
  <c r="AU25" i="38"/>
  <c r="AJ25" i="38"/>
  <c r="AI25" i="38"/>
  <c r="AH25" i="38"/>
  <c r="AG25" i="38"/>
  <c r="AF25" i="38"/>
  <c r="AE25" i="38"/>
  <c r="AD25" i="38"/>
  <c r="T25" i="38"/>
  <c r="S25" i="38"/>
  <c r="R25" i="38"/>
  <c r="Q25" i="38"/>
  <c r="P25" i="38"/>
  <c r="O25" i="38"/>
  <c r="N25" i="38"/>
  <c r="M25" i="38"/>
  <c r="L25" i="38"/>
  <c r="K25" i="38"/>
  <c r="J25" i="38"/>
  <c r="E25" i="38"/>
  <c r="D25" i="38"/>
  <c r="AY22" i="38"/>
  <c r="AX22" i="38"/>
  <c r="AW22" i="38"/>
  <c r="AV22" i="38"/>
  <c r="AU22" i="38"/>
  <c r="AJ22" i="38"/>
  <c r="AI22" i="38"/>
  <c r="AH22" i="38"/>
  <c r="AG22" i="38"/>
  <c r="AF22" i="38"/>
  <c r="AE22" i="38"/>
  <c r="AD22" i="38"/>
  <c r="T22" i="38"/>
  <c r="S22" i="38"/>
  <c r="R22" i="38"/>
  <c r="Q22" i="38"/>
  <c r="P22" i="38"/>
  <c r="O22" i="38"/>
  <c r="N22" i="38"/>
  <c r="M22" i="38"/>
  <c r="L22" i="38"/>
  <c r="K22" i="38"/>
  <c r="J22" i="38"/>
  <c r="E22" i="38"/>
  <c r="D22" i="38"/>
  <c r="AY21" i="38"/>
  <c r="AX21" i="38"/>
  <c r="AW21" i="38"/>
  <c r="AV21" i="38"/>
  <c r="AU21" i="38"/>
  <c r="AJ21" i="38"/>
  <c r="AI21" i="38"/>
  <c r="AH21" i="38"/>
  <c r="AG21" i="38"/>
  <c r="AF21" i="38"/>
  <c r="AE21" i="38"/>
  <c r="AD21" i="38"/>
  <c r="T21" i="38"/>
  <c r="S21" i="38"/>
  <c r="R21" i="38"/>
  <c r="Q21" i="38"/>
  <c r="P21" i="38"/>
  <c r="O21" i="38"/>
  <c r="N21" i="38"/>
  <c r="M21" i="38"/>
  <c r="L21" i="38"/>
  <c r="K21" i="38"/>
  <c r="J21" i="38"/>
  <c r="E21" i="38"/>
  <c r="D21" i="38"/>
  <c r="AY20" i="38"/>
  <c r="AX20" i="38"/>
  <c r="AW20" i="38"/>
  <c r="AV20" i="38"/>
  <c r="AU20" i="38"/>
  <c r="AJ20" i="38"/>
  <c r="AI20" i="38"/>
  <c r="AH20" i="38"/>
  <c r="AG20" i="38"/>
  <c r="AF20" i="38"/>
  <c r="AE20" i="38"/>
  <c r="AD20" i="38"/>
  <c r="T20" i="38"/>
  <c r="S20" i="38"/>
  <c r="R20" i="38"/>
  <c r="Q20" i="38"/>
  <c r="P20" i="38"/>
  <c r="O20" i="38"/>
  <c r="N20" i="38"/>
  <c r="M20" i="38"/>
  <c r="L20" i="38"/>
  <c r="K20" i="38"/>
  <c r="J20" i="38"/>
  <c r="E20" i="38"/>
  <c r="D20" i="38"/>
  <c r="AY19" i="38"/>
  <c r="AX19" i="38"/>
  <c r="AW19" i="38"/>
  <c r="AV19" i="38"/>
  <c r="AU19" i="38"/>
  <c r="AJ19" i="38"/>
  <c r="AI19" i="38"/>
  <c r="AH19" i="38"/>
  <c r="AG19" i="38"/>
  <c r="AF19" i="38"/>
  <c r="AE19" i="38"/>
  <c r="AD19" i="38"/>
  <c r="T19" i="38"/>
  <c r="S19" i="38"/>
  <c r="R19" i="38"/>
  <c r="Q19" i="38"/>
  <c r="P19" i="38"/>
  <c r="O19" i="38"/>
  <c r="N19" i="38"/>
  <c r="M19" i="38"/>
  <c r="L19" i="38"/>
  <c r="K19" i="38"/>
  <c r="J19" i="38"/>
  <c r="E19" i="38"/>
  <c r="D19" i="38"/>
  <c r="AY18" i="38"/>
  <c r="AX18" i="38"/>
  <c r="AW18" i="38"/>
  <c r="AV18" i="38"/>
  <c r="AU18" i="38"/>
  <c r="AJ18" i="38"/>
  <c r="AI18" i="38"/>
  <c r="AH18" i="38"/>
  <c r="AG18" i="38"/>
  <c r="AF18" i="38"/>
  <c r="AE18" i="38"/>
  <c r="AD18" i="38"/>
  <c r="T18" i="38"/>
  <c r="S18" i="38"/>
  <c r="R18" i="38"/>
  <c r="Q18" i="38"/>
  <c r="P18" i="38"/>
  <c r="O18" i="38"/>
  <c r="N18" i="38"/>
  <c r="M18" i="38"/>
  <c r="L18" i="38"/>
  <c r="K18" i="38"/>
  <c r="J18" i="38"/>
  <c r="E18" i="38"/>
  <c r="D18" i="38"/>
  <c r="AY17" i="38"/>
  <c r="AX17" i="38"/>
  <c r="AW17" i="38"/>
  <c r="AV17" i="38"/>
  <c r="AU17" i="38"/>
  <c r="AJ17" i="38"/>
  <c r="AI17" i="38"/>
  <c r="AH17" i="38"/>
  <c r="AG17" i="38"/>
  <c r="AF17" i="38"/>
  <c r="AE17" i="38"/>
  <c r="AD17" i="38"/>
  <c r="T17" i="38"/>
  <c r="S17" i="38"/>
  <c r="R17" i="38"/>
  <c r="Q17" i="38"/>
  <c r="P17" i="38"/>
  <c r="O17" i="38"/>
  <c r="N17" i="38"/>
  <c r="M17" i="38"/>
  <c r="L17" i="38"/>
  <c r="K17" i="38"/>
  <c r="J17" i="38"/>
  <c r="E17" i="38"/>
  <c r="D17" i="38"/>
  <c r="AY14" i="38"/>
  <c r="AX14" i="38"/>
  <c r="AW14" i="38"/>
  <c r="AV14" i="38"/>
  <c r="AU14" i="38"/>
  <c r="AJ14" i="38"/>
  <c r="AI14" i="38"/>
  <c r="AH14" i="38"/>
  <c r="AG14" i="38"/>
  <c r="AF14" i="38"/>
  <c r="AE14" i="38"/>
  <c r="AD14" i="38"/>
  <c r="T14" i="38"/>
  <c r="S14" i="38"/>
  <c r="R14" i="38"/>
  <c r="Q14" i="38"/>
  <c r="P14" i="38"/>
  <c r="O14" i="38"/>
  <c r="N14" i="38"/>
  <c r="M14" i="38"/>
  <c r="L14" i="38"/>
  <c r="K14" i="38"/>
  <c r="J14" i="38"/>
  <c r="E14" i="38"/>
  <c r="D14" i="38"/>
  <c r="AY13" i="38"/>
  <c r="AX13" i="38"/>
  <c r="AW13" i="38"/>
  <c r="AV13" i="38"/>
  <c r="AU13" i="38"/>
  <c r="AJ13" i="38"/>
  <c r="AI13" i="38"/>
  <c r="AH13" i="38"/>
  <c r="AG13" i="38"/>
  <c r="AF13" i="38"/>
  <c r="AE13" i="38"/>
  <c r="AD13" i="38"/>
  <c r="T13" i="38"/>
  <c r="S13" i="38"/>
  <c r="R13" i="38"/>
  <c r="Q13" i="38"/>
  <c r="P13" i="38"/>
  <c r="O13" i="38"/>
  <c r="N13" i="38"/>
  <c r="M13" i="38"/>
  <c r="L13" i="38"/>
  <c r="K13" i="38"/>
  <c r="J13" i="38"/>
  <c r="E13" i="38"/>
  <c r="D13" i="38"/>
  <c r="AY12" i="38"/>
  <c r="AX12" i="38"/>
  <c r="AW12" i="38"/>
  <c r="AV12" i="38"/>
  <c r="AU12" i="38"/>
  <c r="AJ12" i="38"/>
  <c r="AI12" i="38"/>
  <c r="AH12" i="38"/>
  <c r="AG12" i="38"/>
  <c r="AF12" i="38"/>
  <c r="AE12" i="38"/>
  <c r="AD12" i="38"/>
  <c r="T12" i="38"/>
  <c r="S12" i="38"/>
  <c r="R12" i="38"/>
  <c r="Q12" i="38"/>
  <c r="P12" i="38"/>
  <c r="O12" i="38"/>
  <c r="N12" i="38"/>
  <c r="M12" i="38"/>
  <c r="L12" i="38"/>
  <c r="K12" i="38"/>
  <c r="J12" i="38"/>
  <c r="E12" i="38"/>
  <c r="D12" i="38"/>
  <c r="AY11" i="38"/>
  <c r="AX11" i="38"/>
  <c r="AW11" i="38"/>
  <c r="AV11" i="38"/>
  <c r="AU11" i="38"/>
  <c r="AJ11" i="38"/>
  <c r="AI11" i="38"/>
  <c r="AH11" i="38"/>
  <c r="AG11" i="38"/>
  <c r="AF11" i="38"/>
  <c r="AE11" i="38"/>
  <c r="AD11" i="38"/>
  <c r="T11" i="38"/>
  <c r="S11" i="38"/>
  <c r="R11" i="38"/>
  <c r="Q11" i="38"/>
  <c r="P11" i="38"/>
  <c r="O11" i="38"/>
  <c r="N11" i="38"/>
  <c r="M11" i="38"/>
  <c r="L11" i="38"/>
  <c r="K11" i="38"/>
  <c r="J11" i="38"/>
  <c r="E11" i="38"/>
  <c r="D11" i="38"/>
  <c r="AY10" i="38"/>
  <c r="AX10" i="38"/>
  <c r="AW10" i="38"/>
  <c r="AV10" i="38"/>
  <c r="AU10" i="38"/>
  <c r="AJ10" i="38"/>
  <c r="AI10" i="38"/>
  <c r="AH10" i="38"/>
  <c r="AG10" i="38"/>
  <c r="AF10" i="38"/>
  <c r="AE10" i="38"/>
  <c r="AD10" i="38"/>
  <c r="T10" i="38"/>
  <c r="S10" i="38"/>
  <c r="R10" i="38"/>
  <c r="Q10" i="38"/>
  <c r="P10" i="38"/>
  <c r="O10" i="38"/>
  <c r="N10" i="38"/>
  <c r="M10" i="38"/>
  <c r="L10" i="38"/>
  <c r="K10" i="38"/>
  <c r="J10" i="38"/>
  <c r="E10" i="38"/>
  <c r="D10" i="38"/>
  <c r="AY9" i="38"/>
  <c r="AX9" i="38"/>
  <c r="AW9" i="38"/>
  <c r="AV9" i="38"/>
  <c r="AU9" i="38"/>
  <c r="AJ9" i="38"/>
  <c r="AI9" i="38"/>
  <c r="AH9" i="38"/>
  <c r="AG9" i="38"/>
  <c r="AF9" i="38"/>
  <c r="AE9" i="38"/>
  <c r="AD9" i="38"/>
  <c r="T9" i="38"/>
  <c r="S9" i="38"/>
  <c r="R9" i="38"/>
  <c r="Q9" i="38"/>
  <c r="P9" i="38"/>
  <c r="O9" i="38"/>
  <c r="N9" i="38"/>
  <c r="M9" i="38"/>
  <c r="L9" i="38"/>
  <c r="K9" i="38"/>
  <c r="J9" i="38"/>
  <c r="E9" i="38"/>
  <c r="D9" i="38"/>
  <c r="AY8" i="38"/>
  <c r="AX8" i="38"/>
  <c r="AW8" i="38"/>
  <c r="AV8" i="38"/>
  <c r="AU8" i="38"/>
  <c r="AJ8" i="38"/>
  <c r="AI8" i="38"/>
  <c r="AH8" i="38"/>
  <c r="AG8" i="38"/>
  <c r="AF8" i="38"/>
  <c r="AE8" i="38"/>
  <c r="AD8" i="38"/>
  <c r="T8" i="38"/>
  <c r="S8" i="38"/>
  <c r="R8" i="38"/>
  <c r="Q8" i="38"/>
  <c r="P8" i="38"/>
  <c r="O8" i="38"/>
  <c r="N8" i="38"/>
  <c r="M8" i="38"/>
  <c r="L8" i="38"/>
  <c r="K8" i="38"/>
  <c r="J8" i="38"/>
  <c r="E8" i="38"/>
  <c r="D8" i="38"/>
  <c r="AY7" i="38"/>
  <c r="AX7" i="38"/>
  <c r="AW7" i="38"/>
  <c r="AV7" i="38"/>
  <c r="AU7" i="38"/>
  <c r="AJ7" i="38"/>
  <c r="AI7" i="38"/>
  <c r="AH7" i="38"/>
  <c r="AG7" i="38"/>
  <c r="AF7" i="38"/>
  <c r="AE7" i="38"/>
  <c r="AD7" i="38"/>
  <c r="T7" i="38"/>
  <c r="S7" i="38"/>
  <c r="R7" i="38"/>
  <c r="Q7" i="38"/>
  <c r="P7" i="38"/>
  <c r="O7" i="38"/>
  <c r="N7" i="38"/>
  <c r="M7" i="38"/>
  <c r="L7" i="38"/>
  <c r="K7" i="38"/>
  <c r="J7" i="38"/>
  <c r="E7" i="38"/>
  <c r="D7" i="38"/>
  <c r="AY6" i="38"/>
  <c r="AX6" i="38"/>
  <c r="AW6" i="38"/>
  <c r="AV6" i="38"/>
  <c r="AU6" i="38"/>
  <c r="AJ6" i="38"/>
  <c r="AI6" i="38"/>
  <c r="AH6" i="38"/>
  <c r="AG6" i="38"/>
  <c r="AF6" i="38"/>
  <c r="AE6" i="38"/>
  <c r="AD6" i="38"/>
  <c r="T6" i="38"/>
  <c r="S6" i="38"/>
  <c r="R6" i="38"/>
  <c r="Q6" i="38"/>
  <c r="P6" i="38"/>
  <c r="O6" i="38"/>
  <c r="N6" i="38"/>
  <c r="M6" i="38"/>
  <c r="L6" i="38"/>
  <c r="K6" i="38"/>
  <c r="J6" i="38"/>
  <c r="E6" i="38"/>
  <c r="D6" i="38"/>
  <c r="AY24" i="37"/>
  <c r="AX24" i="37"/>
  <c r="AW24" i="37"/>
  <c r="AV24" i="37"/>
  <c r="AU24" i="37"/>
  <c r="AJ24" i="37"/>
  <c r="AI24" i="37"/>
  <c r="AH24" i="37"/>
  <c r="AG24" i="37"/>
  <c r="AF24" i="37"/>
  <c r="AE24" i="37"/>
  <c r="AD24" i="37"/>
  <c r="T24" i="37"/>
  <c r="S24" i="37"/>
  <c r="R24" i="37"/>
  <c r="Q24" i="37"/>
  <c r="P24" i="37"/>
  <c r="O24" i="37"/>
  <c r="N24" i="37"/>
  <c r="M24" i="37"/>
  <c r="L24" i="37"/>
  <c r="K24" i="37"/>
  <c r="J24" i="37"/>
  <c r="E24" i="37"/>
  <c r="D24" i="37"/>
  <c r="AY19" i="37"/>
  <c r="AX19" i="37"/>
  <c r="AW19" i="37"/>
  <c r="AV19" i="37"/>
  <c r="AU19" i="37"/>
  <c r="AJ19" i="37"/>
  <c r="AI19" i="37"/>
  <c r="AH19" i="37"/>
  <c r="AG19" i="37"/>
  <c r="AF19" i="37"/>
  <c r="AE19" i="37"/>
  <c r="AD19" i="37"/>
  <c r="T19" i="37"/>
  <c r="S19" i="37"/>
  <c r="R19" i="37"/>
  <c r="Q19" i="37"/>
  <c r="P19" i="37"/>
  <c r="O19" i="37"/>
  <c r="N19" i="37"/>
  <c r="M19" i="37"/>
  <c r="L19" i="37"/>
  <c r="K19" i="37"/>
  <c r="J19" i="37"/>
  <c r="E19" i="37"/>
  <c r="D19" i="37"/>
  <c r="AY18" i="37"/>
  <c r="AX18" i="37"/>
  <c r="AW18" i="37"/>
  <c r="AV18" i="37"/>
  <c r="AU18" i="37"/>
  <c r="AJ18" i="37"/>
  <c r="AI18" i="37"/>
  <c r="AH18" i="37"/>
  <c r="AG18" i="37"/>
  <c r="AF18" i="37"/>
  <c r="AE18" i="37"/>
  <c r="AD18" i="37"/>
  <c r="T18" i="37"/>
  <c r="S18" i="37"/>
  <c r="R18" i="37"/>
  <c r="Q18" i="37"/>
  <c r="P18" i="37"/>
  <c r="O18" i="37"/>
  <c r="N18" i="37"/>
  <c r="M18" i="37"/>
  <c r="L18" i="37"/>
  <c r="K18" i="37"/>
  <c r="J18" i="37"/>
  <c r="E18" i="37"/>
  <c r="D18" i="37"/>
  <c r="AG77" i="38"/>
  <c r="AF77" i="38"/>
  <c r="AE77" i="38"/>
  <c r="AD77" i="38"/>
  <c r="AC77" i="38"/>
  <c r="AB77" i="38"/>
  <c r="AA77" i="38"/>
  <c r="Z77" i="38"/>
  <c r="Y77" i="38"/>
  <c r="X77" i="38"/>
  <c r="W77" i="38"/>
  <c r="V77" i="38"/>
  <c r="U77" i="38"/>
  <c r="T77" i="38"/>
  <c r="S77" i="38"/>
  <c r="R77" i="38"/>
  <c r="Q77" i="38"/>
  <c r="P77" i="38"/>
  <c r="O77" i="38"/>
  <c r="N77" i="38"/>
  <c r="M77" i="38"/>
  <c r="L77" i="38"/>
  <c r="K77" i="38"/>
  <c r="I77" i="38"/>
  <c r="E77" i="38"/>
  <c r="D77" i="38"/>
  <c r="AG76" i="38"/>
  <c r="AF76" i="38"/>
  <c r="AE76" i="38"/>
  <c r="AD76" i="38"/>
  <c r="AC76" i="38"/>
  <c r="AB76" i="38"/>
  <c r="AA76" i="38"/>
  <c r="Z76" i="38"/>
  <c r="Y76" i="38"/>
  <c r="X76" i="38"/>
  <c r="W76" i="38"/>
  <c r="V76" i="38"/>
  <c r="U76" i="38"/>
  <c r="T76" i="38"/>
  <c r="S76" i="38"/>
  <c r="R76" i="38"/>
  <c r="Q76" i="38"/>
  <c r="P76" i="38"/>
  <c r="O76" i="38"/>
  <c r="N76" i="38"/>
  <c r="M76" i="38"/>
  <c r="L76" i="38"/>
  <c r="K76" i="38"/>
  <c r="I76" i="38"/>
  <c r="E76" i="38"/>
  <c r="D76" i="38"/>
  <c r="AG75" i="38"/>
  <c r="AF75" i="38"/>
  <c r="AE75" i="38"/>
  <c r="AD75" i="38"/>
  <c r="AC75" i="38"/>
  <c r="AB75" i="38"/>
  <c r="AA75" i="38"/>
  <c r="Z75" i="38"/>
  <c r="Y75" i="38"/>
  <c r="X75" i="38"/>
  <c r="W75" i="38"/>
  <c r="V75" i="38"/>
  <c r="U75" i="38"/>
  <c r="T75" i="38"/>
  <c r="S75" i="38"/>
  <c r="R75" i="38"/>
  <c r="Q75" i="38"/>
  <c r="P75" i="38"/>
  <c r="O75" i="38"/>
  <c r="N75" i="38"/>
  <c r="M75" i="38"/>
  <c r="L75" i="38"/>
  <c r="K75" i="38"/>
  <c r="I75" i="38"/>
  <c r="E75" i="38"/>
  <c r="D75" i="38"/>
  <c r="AG74" i="38"/>
  <c r="AF74" i="38"/>
  <c r="AE74" i="38"/>
  <c r="AD74" i="38"/>
  <c r="AC74" i="38"/>
  <c r="AB74" i="38"/>
  <c r="AA74" i="38"/>
  <c r="Z74" i="38"/>
  <c r="Y74" i="38"/>
  <c r="X74" i="38"/>
  <c r="W74" i="38"/>
  <c r="V74" i="38"/>
  <c r="U74" i="38"/>
  <c r="T74" i="38"/>
  <c r="S74" i="38"/>
  <c r="R74" i="38"/>
  <c r="Q74" i="38"/>
  <c r="P74" i="38"/>
  <c r="O74" i="38"/>
  <c r="N74" i="38"/>
  <c r="M74" i="38"/>
  <c r="L74" i="38"/>
  <c r="K74" i="38"/>
  <c r="I74" i="38"/>
  <c r="E74" i="38"/>
  <c r="D74" i="38"/>
  <c r="AG73" i="38"/>
  <c r="AF73" i="38"/>
  <c r="AE73" i="38"/>
  <c r="AD73" i="38"/>
  <c r="AC73" i="38"/>
  <c r="AB73" i="38"/>
  <c r="AA73" i="38"/>
  <c r="Z73" i="38"/>
  <c r="Y73" i="38"/>
  <c r="X73" i="38"/>
  <c r="W73" i="38"/>
  <c r="V73" i="38"/>
  <c r="U73" i="38"/>
  <c r="T73" i="38"/>
  <c r="S73" i="38"/>
  <c r="R73" i="38"/>
  <c r="Q73" i="38"/>
  <c r="P73" i="38"/>
  <c r="O73" i="38"/>
  <c r="N73" i="38"/>
  <c r="M73" i="38"/>
  <c r="L73" i="38"/>
  <c r="K73" i="38"/>
  <c r="I73" i="38"/>
  <c r="E73" i="38"/>
  <c r="D73" i="38"/>
  <c r="AG72" i="38"/>
  <c r="AF72" i="38"/>
  <c r="AE72" i="38"/>
  <c r="AD72" i="38"/>
  <c r="AC72" i="38"/>
  <c r="AB72" i="38"/>
  <c r="AA72" i="38"/>
  <c r="Z72" i="38"/>
  <c r="Y72" i="38"/>
  <c r="X72" i="38"/>
  <c r="W72" i="38"/>
  <c r="V72" i="38"/>
  <c r="U72" i="38"/>
  <c r="T72" i="38"/>
  <c r="S72" i="38"/>
  <c r="R72" i="38"/>
  <c r="Q72" i="38"/>
  <c r="P72" i="38"/>
  <c r="O72" i="38"/>
  <c r="N72" i="38"/>
  <c r="M72" i="38"/>
  <c r="L72" i="38"/>
  <c r="K72" i="38"/>
  <c r="I72" i="38"/>
  <c r="E72" i="38"/>
  <c r="D72" i="38"/>
  <c r="AG71" i="38"/>
  <c r="AF71" i="38"/>
  <c r="AE71" i="38"/>
  <c r="AD71" i="38"/>
  <c r="AC71" i="38"/>
  <c r="AB71" i="38"/>
  <c r="AA71" i="38"/>
  <c r="Z71" i="38"/>
  <c r="Y71" i="38"/>
  <c r="X71" i="38"/>
  <c r="W71" i="38"/>
  <c r="V71" i="38"/>
  <c r="U71" i="38"/>
  <c r="T71" i="38"/>
  <c r="S71" i="38"/>
  <c r="R71" i="38"/>
  <c r="Q71" i="38"/>
  <c r="P71" i="38"/>
  <c r="O71" i="38"/>
  <c r="N71" i="38"/>
  <c r="M71" i="38"/>
  <c r="L71" i="38"/>
  <c r="K71" i="38"/>
  <c r="I71" i="38"/>
  <c r="E71" i="38"/>
  <c r="D71" i="38"/>
  <c r="AG70" i="38"/>
  <c r="AF70" i="38"/>
  <c r="AE70" i="38"/>
  <c r="AD70" i="38"/>
  <c r="AC70" i="38"/>
  <c r="AB70" i="38"/>
  <c r="AA70" i="38"/>
  <c r="Z70" i="38"/>
  <c r="Y70" i="38"/>
  <c r="X70" i="38"/>
  <c r="W70" i="38"/>
  <c r="V70" i="38"/>
  <c r="U70" i="38"/>
  <c r="T70" i="38"/>
  <c r="S70" i="38"/>
  <c r="R70" i="38"/>
  <c r="Q70" i="38"/>
  <c r="P70" i="38"/>
  <c r="O70" i="38"/>
  <c r="N70" i="38"/>
  <c r="M70" i="38"/>
  <c r="L70" i="38"/>
  <c r="K70" i="38"/>
  <c r="I70" i="38"/>
  <c r="E70" i="38"/>
  <c r="D70" i="38"/>
  <c r="AG69" i="38"/>
  <c r="AF69" i="38"/>
  <c r="AE69" i="38"/>
  <c r="AD69" i="38"/>
  <c r="AC69" i="38"/>
  <c r="AB69" i="38"/>
  <c r="AA69" i="38"/>
  <c r="Z69" i="38"/>
  <c r="Y69" i="38"/>
  <c r="X69" i="38"/>
  <c r="W69" i="38"/>
  <c r="V69" i="38"/>
  <c r="U69" i="38"/>
  <c r="T69" i="38"/>
  <c r="S69" i="38"/>
  <c r="R69" i="38"/>
  <c r="Q69" i="38"/>
  <c r="P69" i="38"/>
  <c r="O69" i="38"/>
  <c r="N69" i="38"/>
  <c r="M69" i="38"/>
  <c r="L69" i="38"/>
  <c r="K69" i="38"/>
  <c r="I69" i="38"/>
  <c r="E69" i="38"/>
  <c r="D69" i="38"/>
  <c r="AG68" i="38"/>
  <c r="AF68" i="38"/>
  <c r="AE68" i="38"/>
  <c r="AD68" i="38"/>
  <c r="AC68" i="38"/>
  <c r="AB68" i="38"/>
  <c r="AA68" i="38"/>
  <c r="Z68" i="38"/>
  <c r="Y68" i="38"/>
  <c r="X68" i="38"/>
  <c r="W68" i="38"/>
  <c r="V68" i="38"/>
  <c r="U68" i="38"/>
  <c r="T68" i="38"/>
  <c r="S68" i="38"/>
  <c r="R68" i="38"/>
  <c r="Q68" i="38"/>
  <c r="P68" i="38"/>
  <c r="O68" i="38"/>
  <c r="N68" i="38"/>
  <c r="M68" i="38"/>
  <c r="L68" i="38"/>
  <c r="K68" i="38"/>
  <c r="I68" i="38"/>
  <c r="E68" i="38"/>
  <c r="D68" i="38"/>
  <c r="AG65" i="38"/>
  <c r="AF65" i="38"/>
  <c r="AE65" i="38"/>
  <c r="AD65" i="38"/>
  <c r="AC65" i="38"/>
  <c r="AB65" i="38"/>
  <c r="AA65" i="38"/>
  <c r="Z65" i="38"/>
  <c r="Y65" i="38"/>
  <c r="X65" i="38"/>
  <c r="W65" i="38"/>
  <c r="V65" i="38"/>
  <c r="U65" i="38"/>
  <c r="T65" i="38"/>
  <c r="S65" i="38"/>
  <c r="R65" i="38"/>
  <c r="Q65" i="38"/>
  <c r="P65" i="38"/>
  <c r="O65" i="38"/>
  <c r="N65" i="38"/>
  <c r="M65" i="38"/>
  <c r="L65" i="38"/>
  <c r="K65" i="38"/>
  <c r="I65" i="38"/>
  <c r="E65" i="38"/>
  <c r="D65" i="38"/>
  <c r="AG64" i="38"/>
  <c r="AF64" i="38"/>
  <c r="AE64" i="38"/>
  <c r="AD64" i="38"/>
  <c r="AC64" i="38"/>
  <c r="AB64" i="38"/>
  <c r="AA64" i="38"/>
  <c r="Z64" i="38"/>
  <c r="Y64" i="38"/>
  <c r="X64" i="38"/>
  <c r="W64" i="38"/>
  <c r="V64" i="38"/>
  <c r="U64" i="38"/>
  <c r="T64" i="38"/>
  <c r="S64" i="38"/>
  <c r="R64" i="38"/>
  <c r="Q64" i="38"/>
  <c r="P64" i="38"/>
  <c r="O64" i="38"/>
  <c r="N64" i="38"/>
  <c r="M64" i="38"/>
  <c r="L64" i="38"/>
  <c r="K64" i="38"/>
  <c r="I64" i="38"/>
  <c r="E64" i="38"/>
  <c r="D64" i="38"/>
  <c r="AG61" i="38"/>
  <c r="AF61" i="38"/>
  <c r="AE61" i="38"/>
  <c r="AD61" i="38"/>
  <c r="AC61" i="38"/>
  <c r="AB61" i="38"/>
  <c r="AA61" i="38"/>
  <c r="Z61" i="38"/>
  <c r="Y61" i="38"/>
  <c r="X61" i="38"/>
  <c r="W61" i="38"/>
  <c r="V61" i="38"/>
  <c r="U61" i="38"/>
  <c r="T61" i="38"/>
  <c r="S61" i="38"/>
  <c r="R61" i="38"/>
  <c r="Q61" i="38"/>
  <c r="P61" i="38"/>
  <c r="O61" i="38"/>
  <c r="N61" i="38"/>
  <c r="M61" i="38"/>
  <c r="L61" i="38"/>
  <c r="K61" i="38"/>
  <c r="I61" i="38"/>
  <c r="E61" i="38"/>
  <c r="D61" i="38"/>
  <c r="AG60" i="38"/>
  <c r="AF60" i="38"/>
  <c r="AE60" i="38"/>
  <c r="AD60" i="38"/>
  <c r="AC60" i="38"/>
  <c r="AB60" i="38"/>
  <c r="AA60" i="38"/>
  <c r="Z60" i="38"/>
  <c r="Y60" i="38"/>
  <c r="X60" i="38"/>
  <c r="W60" i="38"/>
  <c r="V60" i="38"/>
  <c r="U60" i="38"/>
  <c r="T60" i="38"/>
  <c r="S60" i="38"/>
  <c r="R60" i="38"/>
  <c r="Q60" i="38"/>
  <c r="P60" i="38"/>
  <c r="O60" i="38"/>
  <c r="N60" i="38"/>
  <c r="M60" i="38"/>
  <c r="L60" i="38"/>
  <c r="K60" i="38"/>
  <c r="I60" i="38"/>
  <c r="E60" i="38"/>
  <c r="D60" i="38"/>
  <c r="AG59" i="38"/>
  <c r="AF59" i="38"/>
  <c r="AE59" i="38"/>
  <c r="AD59" i="38"/>
  <c r="AC59" i="38"/>
  <c r="AB59" i="38"/>
  <c r="AA59" i="38"/>
  <c r="Z59" i="38"/>
  <c r="Y59" i="38"/>
  <c r="X59" i="38"/>
  <c r="W59" i="38"/>
  <c r="V59" i="38"/>
  <c r="U59" i="38"/>
  <c r="T59" i="38"/>
  <c r="S59" i="38"/>
  <c r="R59" i="38"/>
  <c r="Q59" i="38"/>
  <c r="P59" i="38"/>
  <c r="O59" i="38"/>
  <c r="N59" i="38"/>
  <c r="M59" i="38"/>
  <c r="L59" i="38"/>
  <c r="K59" i="38"/>
  <c r="I59" i="38"/>
  <c r="E59" i="38"/>
  <c r="D59" i="38"/>
  <c r="AG58" i="38"/>
  <c r="AF58" i="38"/>
  <c r="AE58" i="38"/>
  <c r="AD58" i="38"/>
  <c r="AC58" i="38"/>
  <c r="AB58" i="38"/>
  <c r="AA58" i="38"/>
  <c r="Z58" i="38"/>
  <c r="Y58" i="38"/>
  <c r="X58" i="38"/>
  <c r="W58" i="38"/>
  <c r="V58" i="38"/>
  <c r="U58" i="38"/>
  <c r="T58" i="38"/>
  <c r="S58" i="38"/>
  <c r="R58" i="38"/>
  <c r="Q58" i="38"/>
  <c r="P58" i="38"/>
  <c r="O58" i="38"/>
  <c r="N58" i="38"/>
  <c r="M58" i="38"/>
  <c r="L58" i="38"/>
  <c r="K58" i="38"/>
  <c r="I58" i="38"/>
  <c r="E58" i="38"/>
  <c r="D58" i="38"/>
  <c r="E77" i="32"/>
  <c r="E76" i="32"/>
  <c r="E75" i="32"/>
  <c r="E74" i="32"/>
  <c r="E73" i="32"/>
  <c r="E72" i="32"/>
  <c r="E71" i="32"/>
  <c r="E70" i="32"/>
  <c r="E69" i="32"/>
  <c r="E68" i="32"/>
  <c r="E65" i="32"/>
  <c r="E64" i="32"/>
  <c r="E61" i="32"/>
  <c r="E60" i="32"/>
  <c r="E59" i="32"/>
  <c r="E58" i="32"/>
  <c r="E77" i="33"/>
  <c r="E76" i="33"/>
  <c r="E75" i="33"/>
  <c r="E65" i="33"/>
  <c r="E61" i="33"/>
  <c r="E77" i="34"/>
  <c r="E76" i="34"/>
  <c r="E68" i="34"/>
  <c r="E65" i="34"/>
  <c r="E61" i="34"/>
  <c r="AG74" i="37"/>
  <c r="AF74" i="37"/>
  <c r="AE74" i="37"/>
  <c r="AD74" i="37"/>
  <c r="AC74" i="37"/>
  <c r="AB74" i="37"/>
  <c r="AA74" i="37"/>
  <c r="Z74" i="37"/>
  <c r="Y74" i="37"/>
  <c r="X74" i="37"/>
  <c r="W74" i="37"/>
  <c r="V74" i="37"/>
  <c r="U74" i="37"/>
  <c r="T74" i="37"/>
  <c r="S74" i="37"/>
  <c r="R74" i="37"/>
  <c r="Q74" i="37"/>
  <c r="P74" i="37"/>
  <c r="A16" i="6"/>
  <c r="B16" i="6" s="1"/>
  <c r="BJ16" i="6" s="1"/>
  <c r="D16" i="6"/>
  <c r="BA16" i="6"/>
  <c r="BB16" i="6" s="1"/>
  <c r="BC16" i="6"/>
  <c r="BD16" i="6" s="1"/>
  <c r="BG16" i="6"/>
  <c r="BH16" i="6"/>
  <c r="BI16" i="6"/>
  <c r="BK16" i="6"/>
  <c r="BL16" i="6"/>
  <c r="BM16" i="6"/>
  <c r="BN16" i="6"/>
  <c r="BO16" i="6"/>
  <c r="BP16" i="6"/>
  <c r="A22" i="6"/>
  <c r="B22" i="6" s="1"/>
  <c r="BJ22" i="6" s="1"/>
  <c r="D22" i="6"/>
  <c r="BA22" i="6"/>
  <c r="BC22" i="6"/>
  <c r="BD22" i="6" s="1"/>
  <c r="BG22" i="6"/>
  <c r="BH22" i="6"/>
  <c r="BI22" i="6"/>
  <c r="BK22" i="6"/>
  <c r="BL22" i="6"/>
  <c r="BM22" i="6"/>
  <c r="BN22" i="6"/>
  <c r="BO22" i="6"/>
  <c r="BP22" i="6"/>
  <c r="A14" i="5"/>
  <c r="F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W14" i="5"/>
  <c r="BX14" i="5"/>
  <c r="BY14" i="5"/>
  <c r="BZ14" i="5"/>
  <c r="CA14" i="5"/>
  <c r="CB14" i="5"/>
  <c r="CC14" i="5"/>
  <c r="CD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A12" i="5"/>
  <c r="F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W12" i="5"/>
  <c r="BX12" i="5"/>
  <c r="BY12" i="5"/>
  <c r="BZ12" i="5"/>
  <c r="CA12" i="5"/>
  <c r="CB12" i="5"/>
  <c r="CC12" i="5"/>
  <c r="CD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A20" i="5"/>
  <c r="A17" i="5"/>
  <c r="F20" i="5"/>
  <c r="F17" i="5"/>
  <c r="BC20" i="5"/>
  <c r="BC17" i="5"/>
  <c r="BD20" i="5"/>
  <c r="BD17" i="5"/>
  <c r="BE20" i="5"/>
  <c r="BE17" i="5"/>
  <c r="BF20" i="5"/>
  <c r="BF17" i="5"/>
  <c r="BG20" i="5"/>
  <c r="BG17" i="5"/>
  <c r="BH20" i="5"/>
  <c r="BH17" i="5"/>
  <c r="BI20" i="5"/>
  <c r="BI17" i="5"/>
  <c r="BJ20" i="5"/>
  <c r="BJ17" i="5"/>
  <c r="BK20" i="5"/>
  <c r="BK17" i="5"/>
  <c r="BL20" i="5"/>
  <c r="BL17" i="5"/>
  <c r="BM20" i="5"/>
  <c r="BM17" i="5"/>
  <c r="BN20" i="5"/>
  <c r="BN17" i="5"/>
  <c r="BO20" i="5"/>
  <c r="BO17" i="5"/>
  <c r="BP20" i="5"/>
  <c r="BP17" i="5"/>
  <c r="BQ20" i="5"/>
  <c r="BQ17" i="5"/>
  <c r="BR20" i="5"/>
  <c r="BR17" i="5"/>
  <c r="BS20" i="5"/>
  <c r="BS17" i="5"/>
  <c r="BT20" i="5"/>
  <c r="BT17" i="5"/>
  <c r="BU20" i="5"/>
  <c r="BU17" i="5"/>
  <c r="BW20" i="5"/>
  <c r="BW17" i="5"/>
  <c r="BX20" i="5"/>
  <c r="BX17" i="5"/>
  <c r="BY20" i="5"/>
  <c r="BY17" i="5"/>
  <c r="BZ20" i="5"/>
  <c r="BZ17" i="5"/>
  <c r="CA20" i="5"/>
  <c r="CA17" i="5"/>
  <c r="CB20" i="5"/>
  <c r="CB17" i="5"/>
  <c r="CC20" i="5"/>
  <c r="CC17" i="5"/>
  <c r="CD20" i="5"/>
  <c r="CD17" i="5"/>
  <c r="CF20" i="5"/>
  <c r="CF17" i="5"/>
  <c r="CG20" i="5"/>
  <c r="CG17" i="5"/>
  <c r="CH20" i="5"/>
  <c r="CH17" i="5"/>
  <c r="CI20" i="5"/>
  <c r="CI17" i="5"/>
  <c r="CJ20" i="5"/>
  <c r="CJ17" i="5"/>
  <c r="CK20" i="5"/>
  <c r="CK17" i="5"/>
  <c r="CL20" i="5"/>
  <c r="CL17" i="5"/>
  <c r="CM20" i="5"/>
  <c r="CM17" i="5"/>
  <c r="CN20" i="5"/>
  <c r="CN17" i="5"/>
  <c r="CO20" i="5"/>
  <c r="CO17" i="5"/>
  <c r="CP20" i="5"/>
  <c r="CP17" i="5"/>
  <c r="CQ20" i="5"/>
  <c r="CQ17" i="5"/>
  <c r="P6" i="7"/>
  <c r="P7" i="7"/>
  <c r="A7" i="7" s="1"/>
  <c r="P8" i="7"/>
  <c r="P9" i="7"/>
  <c r="P10" i="7"/>
  <c r="P11" i="7"/>
  <c r="P12" i="7"/>
  <c r="J77" i="38"/>
  <c r="H77" i="38"/>
  <c r="G77" i="38"/>
  <c r="F77" i="38"/>
  <c r="J76" i="38"/>
  <c r="H76" i="38"/>
  <c r="G76" i="38"/>
  <c r="F76" i="38"/>
  <c r="J75" i="38"/>
  <c r="H75" i="38"/>
  <c r="G75" i="38"/>
  <c r="F75" i="38"/>
  <c r="J74" i="38"/>
  <c r="H74" i="38"/>
  <c r="G74" i="38"/>
  <c r="F74" i="38"/>
  <c r="J73" i="38"/>
  <c r="H73" i="38"/>
  <c r="G73" i="38"/>
  <c r="F73" i="38"/>
  <c r="J72" i="38"/>
  <c r="H72" i="38"/>
  <c r="G72" i="38"/>
  <c r="F72" i="38"/>
  <c r="J71" i="38"/>
  <c r="H71" i="38"/>
  <c r="G71" i="38"/>
  <c r="F71" i="38"/>
  <c r="J70" i="38"/>
  <c r="H70" i="38"/>
  <c r="G70" i="38"/>
  <c r="F70" i="38"/>
  <c r="J69" i="38"/>
  <c r="H69" i="38"/>
  <c r="G69" i="38"/>
  <c r="F69" i="38"/>
  <c r="J68" i="38"/>
  <c r="H68" i="38"/>
  <c r="G68" i="38"/>
  <c r="F68" i="38"/>
  <c r="J65" i="38"/>
  <c r="H65" i="38"/>
  <c r="G65" i="38"/>
  <c r="F65" i="38"/>
  <c r="J64" i="38"/>
  <c r="H64" i="38"/>
  <c r="G64" i="38"/>
  <c r="F64" i="38"/>
  <c r="J61" i="38"/>
  <c r="H61" i="38"/>
  <c r="G61" i="38"/>
  <c r="F61" i="38"/>
  <c r="J60" i="38"/>
  <c r="H60" i="38"/>
  <c r="G60" i="38"/>
  <c r="F60" i="38"/>
  <c r="J59" i="38"/>
  <c r="H59" i="38"/>
  <c r="G59" i="38"/>
  <c r="F59" i="38"/>
  <c r="J58" i="38"/>
  <c r="H58" i="38"/>
  <c r="G58" i="38"/>
  <c r="F58" i="38"/>
  <c r="C52" i="38"/>
  <c r="D52" i="38" s="1"/>
  <c r="C51" i="38"/>
  <c r="D51" i="38" s="1"/>
  <c r="R49" i="38"/>
  <c r="Q49" i="38"/>
  <c r="P49" i="38"/>
  <c r="O49" i="38"/>
  <c r="N49" i="38"/>
  <c r="M49" i="38"/>
  <c r="L49" i="38"/>
  <c r="K49" i="38"/>
  <c r="J49" i="38"/>
  <c r="H49" i="38"/>
  <c r="G49" i="38"/>
  <c r="F49" i="38"/>
  <c r="E49" i="38"/>
  <c r="R48" i="38"/>
  <c r="Q48" i="38"/>
  <c r="P48" i="38"/>
  <c r="O48" i="38"/>
  <c r="N48" i="38"/>
  <c r="M48" i="38"/>
  <c r="L48" i="38"/>
  <c r="K48" i="38"/>
  <c r="J48" i="38"/>
  <c r="H48" i="38"/>
  <c r="G48" i="38"/>
  <c r="F48" i="38"/>
  <c r="E48" i="38"/>
  <c r="R47" i="38"/>
  <c r="Q47" i="38"/>
  <c r="P47" i="38"/>
  <c r="O47" i="38"/>
  <c r="N47" i="38"/>
  <c r="M47" i="38"/>
  <c r="L47" i="38"/>
  <c r="K47" i="38"/>
  <c r="J47" i="38"/>
  <c r="H47" i="38"/>
  <c r="G47" i="38"/>
  <c r="F47" i="38"/>
  <c r="E47" i="38"/>
  <c r="R46" i="38"/>
  <c r="X46" i="38" s="1"/>
  <c r="Q46" i="38"/>
  <c r="W46" i="38" s="1"/>
  <c r="P46" i="38"/>
  <c r="O46" i="38"/>
  <c r="N46" i="38"/>
  <c r="M46" i="38"/>
  <c r="L46" i="38"/>
  <c r="K46" i="38"/>
  <c r="J46" i="38"/>
  <c r="H46" i="38"/>
  <c r="G46" i="38"/>
  <c r="F46" i="38"/>
  <c r="E46" i="38"/>
  <c r="R45" i="38"/>
  <c r="Q45" i="38"/>
  <c r="W41" i="38" s="1"/>
  <c r="P45" i="38"/>
  <c r="O45" i="38"/>
  <c r="N45" i="38"/>
  <c r="M45" i="38"/>
  <c r="L45" i="38"/>
  <c r="K45" i="38"/>
  <c r="J45" i="38"/>
  <c r="H45" i="38"/>
  <c r="G45" i="38"/>
  <c r="F45" i="38"/>
  <c r="E45" i="38"/>
  <c r="X44" i="38"/>
  <c r="W44" i="38"/>
  <c r="R44" i="38"/>
  <c r="X45" i="38" s="1"/>
  <c r="Q44" i="38"/>
  <c r="W45" i="38" s="1"/>
  <c r="P44" i="38"/>
  <c r="O44" i="38"/>
  <c r="N44" i="38"/>
  <c r="M44" i="38"/>
  <c r="L44" i="38"/>
  <c r="K44" i="38"/>
  <c r="J44" i="38"/>
  <c r="H44" i="38"/>
  <c r="G44" i="38"/>
  <c r="F44" i="38"/>
  <c r="E44" i="38"/>
  <c r="X43" i="38"/>
  <c r="W43" i="38"/>
  <c r="R43" i="38"/>
  <c r="X42" i="38" s="1"/>
  <c r="Q43" i="38"/>
  <c r="W42" i="38" s="1"/>
  <c r="P43" i="38"/>
  <c r="O43" i="38"/>
  <c r="N43" i="38"/>
  <c r="M43" i="38"/>
  <c r="L43" i="38"/>
  <c r="K43" i="38"/>
  <c r="J43" i="38"/>
  <c r="H43" i="38"/>
  <c r="G43" i="38"/>
  <c r="F43" i="38"/>
  <c r="E43" i="38"/>
  <c r="R42" i="38"/>
  <c r="X47" i="38" s="1"/>
  <c r="Q42" i="38"/>
  <c r="W47" i="38" s="1"/>
  <c r="P42" i="38"/>
  <c r="O42" i="38"/>
  <c r="N42" i="38"/>
  <c r="M42" i="38"/>
  <c r="L42" i="38"/>
  <c r="K42" i="38"/>
  <c r="J42" i="38"/>
  <c r="H42" i="38"/>
  <c r="G42" i="38"/>
  <c r="F42" i="38"/>
  <c r="E42" i="38"/>
  <c r="X41" i="38"/>
  <c r="R41" i="38"/>
  <c r="X48" i="38" s="1"/>
  <c r="Q41" i="38"/>
  <c r="W48" i="38" s="1"/>
  <c r="P41" i="38"/>
  <c r="O41" i="38"/>
  <c r="N41" i="38"/>
  <c r="M41" i="38"/>
  <c r="L41" i="38"/>
  <c r="K41" i="38"/>
  <c r="J41" i="38"/>
  <c r="H41" i="38"/>
  <c r="G41" i="38"/>
  <c r="F41" i="38"/>
  <c r="E41" i="38"/>
  <c r="R38" i="38"/>
  <c r="Q38" i="38"/>
  <c r="H38" i="38"/>
  <c r="G38" i="38"/>
  <c r="F38" i="38"/>
  <c r="E38" i="38"/>
  <c r="R37" i="38"/>
  <c r="Q37" i="38"/>
  <c r="H37" i="38"/>
  <c r="G37" i="38"/>
  <c r="F37" i="38"/>
  <c r="E37" i="38"/>
  <c r="R36" i="38"/>
  <c r="Q36" i="38"/>
  <c r="H36" i="38"/>
  <c r="G36" i="38"/>
  <c r="F36" i="38"/>
  <c r="E36" i="38"/>
  <c r="R35" i="38"/>
  <c r="Q35" i="38"/>
  <c r="H35" i="38"/>
  <c r="G35" i="38"/>
  <c r="F35" i="38"/>
  <c r="E35" i="38"/>
  <c r="R34" i="38"/>
  <c r="Q34" i="38"/>
  <c r="H34" i="38"/>
  <c r="G34" i="38"/>
  <c r="F34" i="38"/>
  <c r="E34" i="38"/>
  <c r="R33" i="38"/>
  <c r="Q33" i="38"/>
  <c r="H33" i="38"/>
  <c r="G33" i="38"/>
  <c r="F33" i="38"/>
  <c r="E33" i="38"/>
  <c r="R32" i="38"/>
  <c r="Q32" i="38"/>
  <c r="H32" i="38"/>
  <c r="G32" i="38"/>
  <c r="F32" i="38"/>
  <c r="E32" i="38"/>
  <c r="R31" i="38"/>
  <c r="Q31" i="38"/>
  <c r="H31" i="38"/>
  <c r="G31" i="38"/>
  <c r="F31" i="38"/>
  <c r="E31" i="38"/>
  <c r="R30" i="38"/>
  <c r="Q30" i="38"/>
  <c r="H30" i="38"/>
  <c r="G30" i="38"/>
  <c r="F30" i="38"/>
  <c r="E30" i="38"/>
  <c r="AZ27" i="38"/>
  <c r="AT27" i="38"/>
  <c r="AS27" i="38"/>
  <c r="AR27" i="38"/>
  <c r="AQ27" i="38"/>
  <c r="AP27" i="38"/>
  <c r="AO27" i="38"/>
  <c r="AN27" i="38"/>
  <c r="AM27" i="38"/>
  <c r="AL27" i="38"/>
  <c r="AK27" i="38"/>
  <c r="AC27" i="38"/>
  <c r="AB27" i="38"/>
  <c r="AA27" i="38"/>
  <c r="Z27" i="38"/>
  <c r="Y27" i="38"/>
  <c r="X27" i="38"/>
  <c r="W27" i="38"/>
  <c r="V27" i="38"/>
  <c r="U27" i="38"/>
  <c r="I27" i="38"/>
  <c r="H27" i="38"/>
  <c r="G27" i="38"/>
  <c r="F27" i="38"/>
  <c r="AZ26" i="38"/>
  <c r="AT26" i="38"/>
  <c r="AS26" i="38"/>
  <c r="AR26" i="38"/>
  <c r="AQ26" i="38"/>
  <c r="AP26" i="38"/>
  <c r="AO26" i="38"/>
  <c r="AN26" i="38"/>
  <c r="AM26" i="38"/>
  <c r="AL26" i="38"/>
  <c r="AK26" i="38"/>
  <c r="AC26" i="38"/>
  <c r="AB26" i="38"/>
  <c r="AA26" i="38"/>
  <c r="Z26" i="38"/>
  <c r="Y26" i="38"/>
  <c r="X26" i="38"/>
  <c r="W26" i="38"/>
  <c r="V26" i="38"/>
  <c r="U26" i="38"/>
  <c r="I26" i="38"/>
  <c r="H26" i="38"/>
  <c r="G26" i="38"/>
  <c r="F26" i="38"/>
  <c r="AZ25" i="38"/>
  <c r="AT25" i="38"/>
  <c r="AS25" i="38"/>
  <c r="AR25" i="38"/>
  <c r="AQ25" i="38"/>
  <c r="AP25" i="38"/>
  <c r="AO25" i="38"/>
  <c r="AN25" i="38"/>
  <c r="AM25" i="38"/>
  <c r="AL25" i="38"/>
  <c r="AK25" i="38"/>
  <c r="AC25" i="38"/>
  <c r="AB25" i="38"/>
  <c r="AA25" i="38"/>
  <c r="Z25" i="38"/>
  <c r="Y25" i="38"/>
  <c r="X25" i="38"/>
  <c r="W25" i="38"/>
  <c r="V25" i="38"/>
  <c r="U25" i="38"/>
  <c r="I25" i="38"/>
  <c r="H25" i="38"/>
  <c r="G25" i="38"/>
  <c r="F25" i="38"/>
  <c r="C24" i="38"/>
  <c r="AZ22" i="38"/>
  <c r="AT22" i="38"/>
  <c r="AS22" i="38"/>
  <c r="AR22" i="38"/>
  <c r="AQ22" i="38"/>
  <c r="AP22" i="38"/>
  <c r="AO22" i="38"/>
  <c r="AN22" i="38"/>
  <c r="AM22" i="38"/>
  <c r="AL22" i="38"/>
  <c r="AK22" i="38"/>
  <c r="AC22" i="38"/>
  <c r="AB22" i="38"/>
  <c r="AA22" i="38"/>
  <c r="Z22" i="38"/>
  <c r="Y22" i="38"/>
  <c r="X22" i="38"/>
  <c r="W22" i="38"/>
  <c r="V22" i="38"/>
  <c r="U22" i="38"/>
  <c r="I22" i="38"/>
  <c r="H22" i="38"/>
  <c r="G22" i="38"/>
  <c r="F22" i="38"/>
  <c r="AZ21" i="38"/>
  <c r="AT21" i="38"/>
  <c r="AS21" i="38"/>
  <c r="AR21" i="38"/>
  <c r="AQ21" i="38"/>
  <c r="AP21" i="38"/>
  <c r="AO21" i="38"/>
  <c r="AN21" i="38"/>
  <c r="AM21" i="38"/>
  <c r="AL21" i="38"/>
  <c r="AK21" i="38"/>
  <c r="AC21" i="38"/>
  <c r="AB21" i="38"/>
  <c r="AA21" i="38"/>
  <c r="Z21" i="38"/>
  <c r="Y21" i="38"/>
  <c r="X21" i="38"/>
  <c r="W21" i="38"/>
  <c r="V21" i="38"/>
  <c r="U21" i="38"/>
  <c r="I21" i="38"/>
  <c r="H21" i="38"/>
  <c r="G21" i="38"/>
  <c r="F21" i="38"/>
  <c r="AZ20" i="38"/>
  <c r="AT20" i="38"/>
  <c r="AS20" i="38"/>
  <c r="AR20" i="38"/>
  <c r="AQ20" i="38"/>
  <c r="AP20" i="38"/>
  <c r="AO20" i="38"/>
  <c r="AN20" i="38"/>
  <c r="AM20" i="38"/>
  <c r="AL20" i="38"/>
  <c r="AK20" i="38"/>
  <c r="AC20" i="38"/>
  <c r="AB20" i="38"/>
  <c r="AA20" i="38"/>
  <c r="Z20" i="38"/>
  <c r="Y20" i="38"/>
  <c r="X20" i="38"/>
  <c r="W20" i="38"/>
  <c r="V20" i="38"/>
  <c r="U20" i="38"/>
  <c r="I20" i="38"/>
  <c r="H20" i="38"/>
  <c r="G20" i="38"/>
  <c r="F20" i="38"/>
  <c r="AZ19" i="38"/>
  <c r="AT19" i="38"/>
  <c r="AS19" i="38"/>
  <c r="AR19" i="38"/>
  <c r="AQ19" i="38"/>
  <c r="AP19" i="38"/>
  <c r="AO19" i="38"/>
  <c r="AN19" i="38"/>
  <c r="AM19" i="38"/>
  <c r="AL19" i="38"/>
  <c r="AK19" i="38"/>
  <c r="AC19" i="38"/>
  <c r="AB19" i="38"/>
  <c r="AA19" i="38"/>
  <c r="Z19" i="38"/>
  <c r="Y19" i="38"/>
  <c r="X19" i="38"/>
  <c r="W19" i="38"/>
  <c r="V19" i="38"/>
  <c r="U19" i="38"/>
  <c r="I19" i="38"/>
  <c r="H19" i="38"/>
  <c r="G19" i="38"/>
  <c r="F19" i="38"/>
  <c r="AZ18" i="38"/>
  <c r="AT18" i="38"/>
  <c r="AS18" i="38"/>
  <c r="AR18" i="38"/>
  <c r="AQ18" i="38"/>
  <c r="AP18" i="38"/>
  <c r="AO18" i="38"/>
  <c r="AN18" i="38"/>
  <c r="AM18" i="38"/>
  <c r="AL18" i="38"/>
  <c r="AK18" i="38"/>
  <c r="AC18" i="38"/>
  <c r="AB18" i="38"/>
  <c r="AA18" i="38"/>
  <c r="Z18" i="38"/>
  <c r="Y18" i="38"/>
  <c r="X18" i="38"/>
  <c r="W18" i="38"/>
  <c r="V18" i="38"/>
  <c r="U18" i="38"/>
  <c r="I18" i="38"/>
  <c r="H18" i="38"/>
  <c r="G18" i="38"/>
  <c r="F18" i="38"/>
  <c r="AZ17" i="38"/>
  <c r="AT17" i="38"/>
  <c r="AS17" i="38"/>
  <c r="AR17" i="38"/>
  <c r="AQ17" i="38"/>
  <c r="AP17" i="38"/>
  <c r="AO17" i="38"/>
  <c r="AN17" i="38"/>
  <c r="AM17" i="38"/>
  <c r="AL17" i="38"/>
  <c r="AK17" i="38"/>
  <c r="AC17" i="38"/>
  <c r="AB17" i="38"/>
  <c r="AA17" i="38"/>
  <c r="Z17" i="38"/>
  <c r="Y17" i="38"/>
  <c r="X17" i="38"/>
  <c r="W17" i="38"/>
  <c r="V17" i="38"/>
  <c r="U17" i="38"/>
  <c r="I17" i="38"/>
  <c r="H17" i="38"/>
  <c r="G17" i="38"/>
  <c r="F17" i="38"/>
  <c r="C16" i="38"/>
  <c r="AZ14" i="38"/>
  <c r="AT14" i="38"/>
  <c r="AS14" i="38"/>
  <c r="AR14" i="38"/>
  <c r="AQ14" i="38"/>
  <c r="AP14" i="38"/>
  <c r="AO14" i="38"/>
  <c r="AN14" i="38"/>
  <c r="AM14" i="38"/>
  <c r="AL14" i="38"/>
  <c r="AK14" i="38"/>
  <c r="AC14" i="38"/>
  <c r="AB14" i="38"/>
  <c r="AA14" i="38"/>
  <c r="Z14" i="38"/>
  <c r="Y14" i="38"/>
  <c r="X14" i="38"/>
  <c r="W14" i="38"/>
  <c r="V14" i="38"/>
  <c r="U14" i="38"/>
  <c r="I14" i="38"/>
  <c r="H14" i="38"/>
  <c r="G14" i="38"/>
  <c r="F14" i="38"/>
  <c r="AZ13" i="38"/>
  <c r="AT13" i="38"/>
  <c r="AS13" i="38"/>
  <c r="AR13" i="38"/>
  <c r="AQ13" i="38"/>
  <c r="AP13" i="38"/>
  <c r="AO13" i="38"/>
  <c r="AN13" i="38"/>
  <c r="AM13" i="38"/>
  <c r="AL13" i="38"/>
  <c r="AK13" i="38"/>
  <c r="AC13" i="38"/>
  <c r="AB13" i="38"/>
  <c r="AA13" i="38"/>
  <c r="Z13" i="38"/>
  <c r="Y13" i="38"/>
  <c r="X13" i="38"/>
  <c r="W13" i="38"/>
  <c r="V13" i="38"/>
  <c r="U13" i="38"/>
  <c r="I13" i="38"/>
  <c r="H13" i="38"/>
  <c r="G13" i="38"/>
  <c r="F13" i="38"/>
  <c r="AZ12" i="38"/>
  <c r="AT12" i="38"/>
  <c r="AS12" i="38"/>
  <c r="AR12" i="38"/>
  <c r="AQ12" i="38"/>
  <c r="AP12" i="38"/>
  <c r="AO12" i="38"/>
  <c r="AN12" i="38"/>
  <c r="AM12" i="38"/>
  <c r="AL12" i="38"/>
  <c r="AK12" i="38"/>
  <c r="AC12" i="38"/>
  <c r="AB12" i="38"/>
  <c r="AA12" i="38"/>
  <c r="Z12" i="38"/>
  <c r="Y12" i="38"/>
  <c r="X12" i="38"/>
  <c r="W12" i="38"/>
  <c r="V12" i="38"/>
  <c r="U12" i="38"/>
  <c r="I12" i="38"/>
  <c r="H12" i="38"/>
  <c r="G12" i="38"/>
  <c r="F12" i="38"/>
  <c r="AZ11" i="38"/>
  <c r="AT11" i="38"/>
  <c r="AS11" i="38"/>
  <c r="AR11" i="38"/>
  <c r="AQ11" i="38"/>
  <c r="AP11" i="38"/>
  <c r="AO11" i="38"/>
  <c r="AN11" i="38"/>
  <c r="AM11" i="38"/>
  <c r="AL11" i="38"/>
  <c r="AK11" i="38"/>
  <c r="AC11" i="38"/>
  <c r="AB11" i="38"/>
  <c r="AA11" i="38"/>
  <c r="Z11" i="38"/>
  <c r="Y11" i="38"/>
  <c r="X11" i="38"/>
  <c r="W11" i="38"/>
  <c r="V11" i="38"/>
  <c r="U11" i="38"/>
  <c r="I11" i="38"/>
  <c r="H11" i="38"/>
  <c r="G11" i="38"/>
  <c r="F11" i="38"/>
  <c r="AZ10" i="38"/>
  <c r="AT10" i="38"/>
  <c r="AS10" i="38"/>
  <c r="AR10" i="38"/>
  <c r="AQ10" i="38"/>
  <c r="AP10" i="38"/>
  <c r="AO10" i="38"/>
  <c r="AN10" i="38"/>
  <c r="AM10" i="38"/>
  <c r="AL10" i="38"/>
  <c r="AK10" i="38"/>
  <c r="AC10" i="38"/>
  <c r="AB10" i="38"/>
  <c r="AA10" i="38"/>
  <c r="Z10" i="38"/>
  <c r="Y10" i="38"/>
  <c r="X10" i="38"/>
  <c r="W10" i="38"/>
  <c r="V10" i="38"/>
  <c r="U10" i="38"/>
  <c r="I10" i="38"/>
  <c r="H10" i="38"/>
  <c r="G10" i="38"/>
  <c r="F10" i="38"/>
  <c r="AZ9" i="38"/>
  <c r="AT9" i="38"/>
  <c r="AS9" i="38"/>
  <c r="AR9" i="38"/>
  <c r="AQ9" i="38"/>
  <c r="AP9" i="38"/>
  <c r="AO9" i="38"/>
  <c r="AN9" i="38"/>
  <c r="AM9" i="38"/>
  <c r="AL9" i="38"/>
  <c r="AK9" i="38"/>
  <c r="AC9" i="38"/>
  <c r="AB9" i="38"/>
  <c r="AA9" i="38"/>
  <c r="Z9" i="38"/>
  <c r="Y9" i="38"/>
  <c r="X9" i="38"/>
  <c r="W9" i="38"/>
  <c r="V9" i="38"/>
  <c r="U9" i="38"/>
  <c r="I9" i="38"/>
  <c r="H9" i="38"/>
  <c r="G9" i="38"/>
  <c r="F9" i="38"/>
  <c r="AZ8" i="38"/>
  <c r="AT8" i="38"/>
  <c r="AS8" i="38"/>
  <c r="AR8" i="38"/>
  <c r="AQ8" i="38"/>
  <c r="AP8" i="38"/>
  <c r="AO8" i="38"/>
  <c r="AN8" i="38"/>
  <c r="AM8" i="38"/>
  <c r="AL8" i="38"/>
  <c r="AK8" i="38"/>
  <c r="AC8" i="38"/>
  <c r="AB8" i="38"/>
  <c r="AA8" i="38"/>
  <c r="Z8" i="38"/>
  <c r="Y8" i="38"/>
  <c r="X8" i="38"/>
  <c r="W8" i="38"/>
  <c r="V8" i="38"/>
  <c r="U8" i="38"/>
  <c r="I8" i="38"/>
  <c r="H8" i="38"/>
  <c r="G8" i="38"/>
  <c r="F8" i="38"/>
  <c r="AZ7" i="38"/>
  <c r="AT7" i="38"/>
  <c r="AS7" i="38"/>
  <c r="AR7" i="38"/>
  <c r="AQ7" i="38"/>
  <c r="AP7" i="38"/>
  <c r="AO7" i="38"/>
  <c r="AN7" i="38"/>
  <c r="AM7" i="38"/>
  <c r="AL7" i="38"/>
  <c r="AK7" i="38"/>
  <c r="AC7" i="38"/>
  <c r="AB7" i="38"/>
  <c r="AA7" i="38"/>
  <c r="Z7" i="38"/>
  <c r="Y7" i="38"/>
  <c r="X7" i="38"/>
  <c r="W7" i="38"/>
  <c r="V7" i="38"/>
  <c r="U7" i="38"/>
  <c r="I7" i="38"/>
  <c r="H7" i="38"/>
  <c r="G7" i="38"/>
  <c r="F7" i="38"/>
  <c r="AZ6" i="38"/>
  <c r="AT6" i="38"/>
  <c r="AS6" i="38"/>
  <c r="AR6" i="38"/>
  <c r="AQ6" i="38"/>
  <c r="AP6" i="38"/>
  <c r="AO6" i="38"/>
  <c r="AN6" i="38"/>
  <c r="AM6" i="38"/>
  <c r="AL6" i="38"/>
  <c r="AK6" i="38"/>
  <c r="AC6" i="38"/>
  <c r="AB6" i="38"/>
  <c r="AA6" i="38"/>
  <c r="Z6" i="38"/>
  <c r="Y6" i="38"/>
  <c r="X6" i="38"/>
  <c r="W6" i="38"/>
  <c r="V6" i="38"/>
  <c r="U6" i="38"/>
  <c r="I6" i="38"/>
  <c r="I5" i="38" s="1"/>
  <c r="H6" i="38"/>
  <c r="G6" i="38"/>
  <c r="F6" i="38"/>
  <c r="C5" i="38"/>
  <c r="A83" i="6"/>
  <c r="A49" i="6"/>
  <c r="A20" i="6"/>
  <c r="A40" i="6"/>
  <c r="A75" i="6"/>
  <c r="A86" i="6"/>
  <c r="A80" i="6"/>
  <c r="D83" i="6"/>
  <c r="D49" i="6"/>
  <c r="D20" i="6"/>
  <c r="D40" i="6"/>
  <c r="D75" i="6"/>
  <c r="D86" i="6"/>
  <c r="D80" i="6"/>
  <c r="BA83" i="6"/>
  <c r="BB83" i="6" s="1"/>
  <c r="BA49" i="6"/>
  <c r="BB49" i="6" s="1"/>
  <c r="BA20" i="6"/>
  <c r="BB20" i="6" s="1"/>
  <c r="BA40" i="6"/>
  <c r="BB40" i="6" s="1"/>
  <c r="BA75" i="6"/>
  <c r="BB75" i="6" s="1"/>
  <c r="BA86" i="6"/>
  <c r="BB86" i="6" s="1"/>
  <c r="BA80" i="6"/>
  <c r="BB80" i="6" s="1"/>
  <c r="BC83" i="6"/>
  <c r="BD83" i="6" s="1"/>
  <c r="BC49" i="6"/>
  <c r="BD49" i="6" s="1"/>
  <c r="BC20" i="6"/>
  <c r="BD20" i="6" s="1"/>
  <c r="BC40" i="6"/>
  <c r="BD40" i="6" s="1"/>
  <c r="BC75" i="6"/>
  <c r="BD75" i="6" s="1"/>
  <c r="BC86" i="6"/>
  <c r="BD86" i="6" s="1"/>
  <c r="BC80" i="6"/>
  <c r="BD80" i="6" s="1"/>
  <c r="BG83" i="6"/>
  <c r="BG49" i="6"/>
  <c r="BG20" i="6"/>
  <c r="BG40" i="6"/>
  <c r="BG75" i="6"/>
  <c r="BG86" i="6"/>
  <c r="BG80" i="6"/>
  <c r="BH83" i="6"/>
  <c r="BH49" i="6"/>
  <c r="BH20" i="6"/>
  <c r="BH40" i="6"/>
  <c r="BH75" i="6"/>
  <c r="BH86" i="6"/>
  <c r="BH80" i="6"/>
  <c r="BI83" i="6"/>
  <c r="BI49" i="6"/>
  <c r="BI20" i="6"/>
  <c r="BI40" i="6"/>
  <c r="BI75" i="6"/>
  <c r="BI86" i="6"/>
  <c r="BI80" i="6"/>
  <c r="BK83" i="6"/>
  <c r="BK49" i="6"/>
  <c r="BK20" i="6"/>
  <c r="BK40" i="6"/>
  <c r="BK75" i="6"/>
  <c r="BK86" i="6"/>
  <c r="BK80" i="6"/>
  <c r="BL83" i="6"/>
  <c r="BL49" i="6"/>
  <c r="BL20" i="6"/>
  <c r="BL40" i="6"/>
  <c r="BL75" i="6"/>
  <c r="BL86" i="6"/>
  <c r="BL80" i="6"/>
  <c r="BM83" i="6"/>
  <c r="BM49" i="6"/>
  <c r="BM20" i="6"/>
  <c r="BM40" i="6"/>
  <c r="BM75" i="6"/>
  <c r="BM86" i="6"/>
  <c r="BM80" i="6"/>
  <c r="BN83" i="6"/>
  <c r="BN49" i="6"/>
  <c r="BN20" i="6"/>
  <c r="BN40" i="6"/>
  <c r="BN75" i="6"/>
  <c r="BN86" i="6"/>
  <c r="BN80" i="6"/>
  <c r="BO83" i="6"/>
  <c r="BO49" i="6"/>
  <c r="BO20" i="6"/>
  <c r="BO40" i="6"/>
  <c r="BO75" i="6"/>
  <c r="BO86" i="6"/>
  <c r="BO80" i="6"/>
  <c r="BP83" i="6"/>
  <c r="BP49" i="6"/>
  <c r="BP20" i="6"/>
  <c r="BP40" i="6"/>
  <c r="BP75" i="6"/>
  <c r="BP86" i="6"/>
  <c r="BP80" i="6"/>
  <c r="AU11" i="22"/>
  <c r="AU12" i="22"/>
  <c r="AU13" i="22"/>
  <c r="AU14" i="22"/>
  <c r="AU15" i="22"/>
  <c r="AU16" i="22"/>
  <c r="AU17" i="22"/>
  <c r="AU18" i="22"/>
  <c r="AU19" i="22"/>
  <c r="AU20" i="22"/>
  <c r="AU21" i="22"/>
  <c r="AU22" i="22"/>
  <c r="AU23" i="22"/>
  <c r="AU24" i="22"/>
  <c r="AU25" i="22"/>
  <c r="AU26" i="22"/>
  <c r="AU27" i="22"/>
  <c r="AU28" i="22"/>
  <c r="AU29" i="22"/>
  <c r="AU30" i="22"/>
  <c r="AU31" i="22"/>
  <c r="AU32" i="22"/>
  <c r="AU33" i="22"/>
  <c r="AU34" i="22"/>
  <c r="AU35" i="22"/>
  <c r="AU36" i="22"/>
  <c r="AU37" i="22"/>
  <c r="AU38" i="22"/>
  <c r="AU39" i="22"/>
  <c r="AU40" i="22"/>
  <c r="AU41" i="22"/>
  <c r="AU42" i="22"/>
  <c r="AU43" i="22"/>
  <c r="AU44" i="22"/>
  <c r="AU45" i="22"/>
  <c r="AU46" i="22"/>
  <c r="AU47" i="22"/>
  <c r="AU48" i="22"/>
  <c r="AU49" i="22"/>
  <c r="AU50" i="22"/>
  <c r="AU51" i="22"/>
  <c r="AU52" i="22"/>
  <c r="AU53" i="22"/>
  <c r="AU54" i="22"/>
  <c r="AU55" i="22"/>
  <c r="AU56" i="22"/>
  <c r="AU57" i="22"/>
  <c r="AU58" i="22"/>
  <c r="AU59" i="22"/>
  <c r="AU60" i="22"/>
  <c r="AU61" i="22"/>
  <c r="AU62" i="22"/>
  <c r="AU63" i="22"/>
  <c r="AU64" i="22"/>
  <c r="AU65" i="22"/>
  <c r="AU66" i="22"/>
  <c r="AU67" i="22"/>
  <c r="AU68" i="22"/>
  <c r="AU69" i="22"/>
  <c r="AU70" i="22"/>
  <c r="AU71" i="22"/>
  <c r="AU72" i="22"/>
  <c r="AU73" i="22"/>
  <c r="AU74" i="22"/>
  <c r="AU75" i="22"/>
  <c r="AU76" i="22"/>
  <c r="AU77" i="22"/>
  <c r="AU78" i="22"/>
  <c r="AU79" i="22"/>
  <c r="AU80" i="22"/>
  <c r="AU81" i="22"/>
  <c r="AU82" i="22"/>
  <c r="AU83" i="22"/>
  <c r="AU84" i="22"/>
  <c r="AU85" i="22"/>
  <c r="AU86" i="22"/>
  <c r="AU87" i="22"/>
  <c r="AU88" i="22"/>
  <c r="AU89" i="22"/>
  <c r="AU90" i="22"/>
  <c r="AU91" i="22"/>
  <c r="AU92" i="22"/>
  <c r="AU93" i="22"/>
  <c r="AU94" i="22"/>
  <c r="AU95" i="22"/>
  <c r="AU96" i="22"/>
  <c r="AU97" i="22"/>
  <c r="AU98" i="22"/>
  <c r="AU99" i="22"/>
  <c r="AU100" i="22"/>
  <c r="AU101" i="22"/>
  <c r="AU102" i="22"/>
  <c r="AU103" i="22"/>
  <c r="AU104" i="22"/>
  <c r="AU105" i="22"/>
  <c r="AU106" i="22"/>
  <c r="AU107" i="22"/>
  <c r="AU108" i="22"/>
  <c r="AU109" i="22"/>
  <c r="AU110" i="22"/>
  <c r="AU111" i="22"/>
  <c r="AU112" i="22"/>
  <c r="AU113" i="22"/>
  <c r="AU114" i="22"/>
  <c r="AU115" i="22"/>
  <c r="AU116" i="22"/>
  <c r="AU117" i="22"/>
  <c r="AU118" i="22"/>
  <c r="AU119" i="22"/>
  <c r="AU120" i="22"/>
  <c r="AU121" i="22"/>
  <c r="AU122" i="22"/>
  <c r="AU123" i="22"/>
  <c r="AU124" i="22"/>
  <c r="R39" i="9"/>
  <c r="Q39" i="9"/>
  <c r="P77" i="7"/>
  <c r="AG74" i="9"/>
  <c r="AF74" i="9"/>
  <c r="AE74" i="9"/>
  <c r="AD74" i="9"/>
  <c r="AC74" i="9"/>
  <c r="AG73" i="9"/>
  <c r="AF73" i="9"/>
  <c r="AE73" i="9"/>
  <c r="AD73" i="9"/>
  <c r="AC73" i="9"/>
  <c r="AG62" i="9"/>
  <c r="AF62" i="9"/>
  <c r="AE62" i="9"/>
  <c r="AD62" i="9"/>
  <c r="AC62" i="9"/>
  <c r="AG58" i="9"/>
  <c r="AF58" i="9"/>
  <c r="AE58" i="9"/>
  <c r="AD58" i="9"/>
  <c r="AC58" i="9"/>
  <c r="AB58" i="9"/>
  <c r="AA58" i="9"/>
  <c r="Z58" i="9"/>
  <c r="AB62" i="9"/>
  <c r="AA62" i="9"/>
  <c r="Z62" i="9"/>
  <c r="AB74" i="9"/>
  <c r="AA74" i="9"/>
  <c r="Z74" i="9"/>
  <c r="AB73" i="9"/>
  <c r="AA73" i="9"/>
  <c r="Z73" i="9"/>
  <c r="Y74" i="9"/>
  <c r="X74" i="9"/>
  <c r="W74" i="9"/>
  <c r="V74" i="9"/>
  <c r="U74" i="9"/>
  <c r="T74" i="9"/>
  <c r="S74" i="9"/>
  <c r="R74" i="9"/>
  <c r="Q74" i="9"/>
  <c r="P74" i="9"/>
  <c r="O74" i="9"/>
  <c r="N74" i="9"/>
  <c r="Y73" i="9"/>
  <c r="X73" i="9"/>
  <c r="W73" i="9"/>
  <c r="V73" i="9"/>
  <c r="U73" i="9"/>
  <c r="T73" i="9"/>
  <c r="S73" i="9"/>
  <c r="R73" i="9"/>
  <c r="Q73" i="9"/>
  <c r="P73" i="9"/>
  <c r="O73" i="9"/>
  <c r="N73" i="9"/>
  <c r="Y62" i="9"/>
  <c r="X62" i="9"/>
  <c r="W62" i="9"/>
  <c r="V62" i="9"/>
  <c r="U62" i="9"/>
  <c r="T62" i="9"/>
  <c r="S62" i="9"/>
  <c r="R62" i="9"/>
  <c r="Q62" i="9"/>
  <c r="P62" i="9"/>
  <c r="O62" i="9"/>
  <c r="N62" i="9"/>
  <c r="Y58" i="9"/>
  <c r="X58" i="9"/>
  <c r="W58" i="9"/>
  <c r="V58" i="9"/>
  <c r="U58" i="9"/>
  <c r="T58" i="9"/>
  <c r="S58" i="9"/>
  <c r="R58" i="9"/>
  <c r="Q58" i="9"/>
  <c r="P58" i="9"/>
  <c r="O58" i="9"/>
  <c r="N58" i="9"/>
  <c r="M74" i="9"/>
  <c r="L74" i="9"/>
  <c r="K74" i="9"/>
  <c r="M73" i="9"/>
  <c r="L73" i="9"/>
  <c r="K73" i="9"/>
  <c r="M62" i="9"/>
  <c r="L62" i="9"/>
  <c r="K62" i="9"/>
  <c r="M58" i="9"/>
  <c r="L58" i="9"/>
  <c r="K58" i="9"/>
  <c r="J74" i="9"/>
  <c r="J73" i="9"/>
  <c r="E74" i="9"/>
  <c r="D74" i="9"/>
  <c r="E73" i="9"/>
  <c r="D73" i="9"/>
  <c r="E62" i="9"/>
  <c r="D62" i="9"/>
  <c r="E58" i="9"/>
  <c r="D58" i="9"/>
  <c r="I22" i="9"/>
  <c r="I23" i="9"/>
  <c r="I24" i="9"/>
  <c r="AY98" i="5" l="1"/>
  <c r="AZ98" i="5" s="1"/>
  <c r="AV98" i="5"/>
  <c r="AV93" i="5"/>
  <c r="AY93" i="5"/>
  <c r="AZ93" i="5" s="1"/>
  <c r="AV92" i="5"/>
  <c r="AY92" i="5"/>
  <c r="AZ92" i="5" s="1"/>
  <c r="AV90" i="5"/>
  <c r="AY90" i="5"/>
  <c r="AZ90" i="5" s="1"/>
  <c r="AV88" i="5"/>
  <c r="AY88" i="5"/>
  <c r="AZ88" i="5" s="1"/>
  <c r="AV86" i="5"/>
  <c r="AY86" i="5"/>
  <c r="AZ86" i="5" s="1"/>
  <c r="AV83" i="5"/>
  <c r="AY83" i="5"/>
  <c r="AZ83" i="5" s="1"/>
  <c r="AV82" i="5"/>
  <c r="AY82" i="5"/>
  <c r="AZ82" i="5" s="1"/>
  <c r="AV81" i="5"/>
  <c r="AY81" i="5"/>
  <c r="AZ81" i="5" s="1"/>
  <c r="AV78" i="5"/>
  <c r="AY78" i="5"/>
  <c r="AZ78" i="5" s="1"/>
  <c r="AV76" i="5"/>
  <c r="AY76" i="5"/>
  <c r="AZ76" i="5" s="1"/>
  <c r="AV74" i="5"/>
  <c r="AY74" i="5"/>
  <c r="AZ74" i="5" s="1"/>
  <c r="AV71" i="5"/>
  <c r="AY71" i="5"/>
  <c r="AZ71" i="5" s="1"/>
  <c r="AV72" i="5"/>
  <c r="AY72" i="5"/>
  <c r="AZ72" i="5" s="1"/>
  <c r="AV65" i="5"/>
  <c r="AY65" i="5"/>
  <c r="AZ65" i="5" s="1"/>
  <c r="AV64" i="5"/>
  <c r="AY64" i="5"/>
  <c r="AZ64" i="5" s="1"/>
  <c r="AV68" i="5"/>
  <c r="AY68" i="5"/>
  <c r="AZ68" i="5" s="1"/>
  <c r="AV62" i="5"/>
  <c r="AY62" i="5"/>
  <c r="AZ62" i="5" s="1"/>
  <c r="AV60" i="5"/>
  <c r="AY60" i="5"/>
  <c r="AZ60" i="5" s="1"/>
  <c r="AV58" i="5"/>
  <c r="AY58" i="5"/>
  <c r="AZ58" i="5" s="1"/>
  <c r="AV56" i="5"/>
  <c r="AY56" i="5"/>
  <c r="AZ56" i="5" s="1"/>
  <c r="AV54" i="5"/>
  <c r="AY54" i="5"/>
  <c r="AZ54" i="5" s="1"/>
  <c r="AV51" i="5"/>
  <c r="AY51" i="5"/>
  <c r="AZ51" i="5" s="1"/>
  <c r="AV49" i="5"/>
  <c r="AY49" i="5"/>
  <c r="AZ49" i="5" s="1"/>
  <c r="AV50" i="5"/>
  <c r="AY50" i="5"/>
  <c r="AZ50" i="5" s="1"/>
  <c r="AV46" i="5"/>
  <c r="AY46" i="5"/>
  <c r="AZ46" i="5" s="1"/>
  <c r="AV44" i="5"/>
  <c r="AY44" i="5"/>
  <c r="AZ44" i="5" s="1"/>
  <c r="AV42" i="5"/>
  <c r="AY42" i="5"/>
  <c r="AZ42" i="5" s="1"/>
  <c r="AV40" i="5"/>
  <c r="AY40" i="5"/>
  <c r="AZ40" i="5" s="1"/>
  <c r="AV38" i="5"/>
  <c r="AY38" i="5"/>
  <c r="AZ38" i="5" s="1"/>
  <c r="AV36" i="5"/>
  <c r="AY36" i="5"/>
  <c r="AZ36" i="5" s="1"/>
  <c r="AV34" i="5"/>
  <c r="AY34" i="5"/>
  <c r="AZ34" i="5" s="1"/>
  <c r="AV32" i="5"/>
  <c r="AY32" i="5"/>
  <c r="AZ32" i="5" s="1"/>
  <c r="AV30" i="5"/>
  <c r="AY30" i="5"/>
  <c r="AZ30" i="5" s="1"/>
  <c r="AV29" i="5"/>
  <c r="AY29" i="5"/>
  <c r="AZ29" i="5" s="1"/>
  <c r="AV26" i="5"/>
  <c r="AY26" i="5"/>
  <c r="AZ26" i="5" s="1"/>
  <c r="AV24" i="5"/>
  <c r="AY24" i="5"/>
  <c r="AZ24" i="5" s="1"/>
  <c r="AV22" i="5"/>
  <c r="AY22" i="5"/>
  <c r="AZ22" i="5" s="1"/>
  <c r="AV95" i="5"/>
  <c r="AY95" i="5"/>
  <c r="AZ95" i="5" s="1"/>
  <c r="AV94" i="5"/>
  <c r="AY94" i="5"/>
  <c r="AZ94" i="5" s="1"/>
  <c r="AV91" i="5"/>
  <c r="AY91" i="5"/>
  <c r="AZ91" i="5" s="1"/>
  <c r="AV89" i="5"/>
  <c r="AY89" i="5"/>
  <c r="AZ89" i="5" s="1"/>
  <c r="AV87" i="5"/>
  <c r="AY87" i="5"/>
  <c r="AZ87" i="5" s="1"/>
  <c r="AV85" i="5"/>
  <c r="AY85" i="5"/>
  <c r="AZ85" i="5" s="1"/>
  <c r="AV84" i="5"/>
  <c r="AY84" i="5"/>
  <c r="AZ84" i="5" s="1"/>
  <c r="AV79" i="5"/>
  <c r="AY79" i="5"/>
  <c r="AZ79" i="5" s="1"/>
  <c r="AV80" i="5"/>
  <c r="AY80" i="5"/>
  <c r="AZ80" i="5" s="1"/>
  <c r="AV75" i="5"/>
  <c r="AY75" i="5"/>
  <c r="AZ75" i="5" s="1"/>
  <c r="AV77" i="5"/>
  <c r="AY77" i="5"/>
  <c r="AZ77" i="5" s="1"/>
  <c r="AV73" i="5"/>
  <c r="AY73" i="5"/>
  <c r="AZ73" i="5" s="1"/>
  <c r="AV70" i="5"/>
  <c r="AY70" i="5"/>
  <c r="AZ70" i="5" s="1"/>
  <c r="AV67" i="5"/>
  <c r="AY67" i="5"/>
  <c r="AZ67" i="5" s="1"/>
  <c r="AV63" i="5"/>
  <c r="AY63" i="5"/>
  <c r="AZ63" i="5" s="1"/>
  <c r="AV66" i="5"/>
  <c r="AY66" i="5"/>
  <c r="AZ66" i="5" s="1"/>
  <c r="AV69" i="5"/>
  <c r="AY69" i="5"/>
  <c r="AZ69" i="5" s="1"/>
  <c r="AV61" i="5"/>
  <c r="AY61" i="5"/>
  <c r="AZ61" i="5" s="1"/>
  <c r="AV59" i="5"/>
  <c r="AY59" i="5"/>
  <c r="AZ59" i="5" s="1"/>
  <c r="AV57" i="5"/>
  <c r="AY57" i="5"/>
  <c r="AZ57" i="5" s="1"/>
  <c r="AV55" i="5"/>
  <c r="AY55" i="5"/>
  <c r="AZ55" i="5" s="1"/>
  <c r="AV53" i="5"/>
  <c r="AY53" i="5"/>
  <c r="AZ53" i="5" s="1"/>
  <c r="AV52" i="5"/>
  <c r="AY52" i="5"/>
  <c r="AZ52" i="5" s="1"/>
  <c r="AV48" i="5"/>
  <c r="AY48" i="5"/>
  <c r="AZ48" i="5" s="1"/>
  <c r="AV47" i="5"/>
  <c r="AY47" i="5"/>
  <c r="AZ47" i="5" s="1"/>
  <c r="AV45" i="5"/>
  <c r="AY45" i="5"/>
  <c r="AZ45" i="5" s="1"/>
  <c r="AV43" i="5"/>
  <c r="AY43" i="5"/>
  <c r="AZ43" i="5" s="1"/>
  <c r="AV41" i="5"/>
  <c r="AY41" i="5"/>
  <c r="AZ41" i="5" s="1"/>
  <c r="AV39" i="5"/>
  <c r="AY39" i="5"/>
  <c r="AZ39" i="5" s="1"/>
  <c r="AV37" i="5"/>
  <c r="AY37" i="5"/>
  <c r="AZ37" i="5" s="1"/>
  <c r="AV35" i="5"/>
  <c r="AY35" i="5"/>
  <c r="AZ35" i="5" s="1"/>
  <c r="AV33" i="5"/>
  <c r="AY33" i="5"/>
  <c r="AZ33" i="5" s="1"/>
  <c r="AV31" i="5"/>
  <c r="AY31" i="5"/>
  <c r="AZ31" i="5" s="1"/>
  <c r="AV27" i="5"/>
  <c r="AY27" i="5"/>
  <c r="AZ27" i="5" s="1"/>
  <c r="AV28" i="5"/>
  <c r="AY28" i="5"/>
  <c r="AZ28" i="5" s="1"/>
  <c r="AV25" i="5"/>
  <c r="AY25" i="5"/>
  <c r="AZ25" i="5" s="1"/>
  <c r="AV23" i="5"/>
  <c r="AY23" i="5"/>
  <c r="AZ23" i="5" s="1"/>
  <c r="AY21" i="5"/>
  <c r="AZ21" i="5" s="1"/>
  <c r="AY20" i="5"/>
  <c r="AZ20" i="5" s="1"/>
  <c r="AY19" i="5"/>
  <c r="AZ19" i="5" s="1"/>
  <c r="AY18" i="5"/>
  <c r="AZ18" i="5" s="1"/>
  <c r="AY17" i="5"/>
  <c r="AZ17" i="5" s="1"/>
  <c r="AY16" i="5"/>
  <c r="AZ16" i="5" s="1"/>
  <c r="AY15" i="5"/>
  <c r="AZ15" i="5" s="1"/>
  <c r="AY14" i="5"/>
  <c r="AZ14" i="5" s="1"/>
  <c r="AY13" i="5"/>
  <c r="AZ13" i="5" s="1"/>
  <c r="AY12" i="5"/>
  <c r="AZ12" i="5" s="1"/>
  <c r="AY11" i="5"/>
  <c r="AZ11" i="5" s="1"/>
  <c r="BE124" i="23"/>
  <c r="BF124" i="23" s="1"/>
  <c r="BE116" i="23"/>
  <c r="BF116" i="23" s="1"/>
  <c r="BE122" i="23"/>
  <c r="BF122" i="23" s="1"/>
  <c r="BE114" i="23"/>
  <c r="BF114" i="23" s="1"/>
  <c r="AX145" i="22"/>
  <c r="AX137" i="22"/>
  <c r="AX129" i="22"/>
  <c r="AX144" i="22"/>
  <c r="AX136" i="22"/>
  <c r="AX128" i="22"/>
  <c r="CE73" i="5"/>
  <c r="CR29" i="5"/>
  <c r="D27" i="5"/>
  <c r="E27" i="5"/>
  <c r="CR96" i="5"/>
  <c r="CE44" i="5"/>
  <c r="CR51" i="5"/>
  <c r="CE51" i="5"/>
  <c r="CR48" i="5"/>
  <c r="CE93" i="5"/>
  <c r="CE59" i="5"/>
  <c r="CE77" i="5"/>
  <c r="CR43" i="5"/>
  <c r="CE43" i="5"/>
  <c r="AY102" i="5"/>
  <c r="AZ102" i="5" s="1"/>
  <c r="CE100" i="5"/>
  <c r="CR18" i="5"/>
  <c r="D18" i="5"/>
  <c r="E18" i="5"/>
  <c r="CE91" i="5"/>
  <c r="CE88" i="5"/>
  <c r="CR57" i="5"/>
  <c r="CE57" i="5"/>
  <c r="CE50" i="5"/>
  <c r="CE76" i="5"/>
  <c r="CR44" i="5"/>
  <c r="CR15" i="5"/>
  <c r="CR31" i="5"/>
  <c r="CE47" i="5"/>
  <c r="E85" i="5"/>
  <c r="CR34" i="5"/>
  <c r="CE34" i="5"/>
  <c r="CE23" i="5"/>
  <c r="CE90" i="5"/>
  <c r="CE72" i="5"/>
  <c r="CE87" i="5"/>
  <c r="CR28" i="5"/>
  <c r="CE28" i="5"/>
  <c r="CE102" i="5"/>
  <c r="CR81" i="5"/>
  <c r="CE81" i="5"/>
  <c r="CR63" i="5"/>
  <c r="CE103" i="5"/>
  <c r="CE92" i="5"/>
  <c r="CR72" i="5"/>
  <c r="CE89" i="5"/>
  <c r="CE80" i="5"/>
  <c r="CE86" i="5"/>
  <c r="CE65" i="5"/>
  <c r="CE52" i="5"/>
  <c r="CE82" i="5"/>
  <c r="CE40" i="5"/>
  <c r="CE75" i="5"/>
  <c r="CE49" i="5"/>
  <c r="CE62" i="5"/>
  <c r="CE31" i="5"/>
  <c r="CR30" i="5"/>
  <c r="CR92" i="5"/>
  <c r="CE78" i="5"/>
  <c r="CR89" i="5"/>
  <c r="CR94" i="5"/>
  <c r="CE15" i="5"/>
  <c r="CR21" i="5"/>
  <c r="CE18" i="5"/>
  <c r="CE29" i="5"/>
  <c r="CR83" i="5"/>
  <c r="CE70" i="5"/>
  <c r="CE94" i="5"/>
  <c r="CE66" i="5"/>
  <c r="CE71" i="5"/>
  <c r="CE63" i="5"/>
  <c r="CE30" i="5"/>
  <c r="CR32" i="5"/>
  <c r="CR91" i="5"/>
  <c r="CE83" i="5"/>
  <c r="CR47" i="5"/>
  <c r="CR24" i="5"/>
  <c r="CE74" i="5"/>
  <c r="CR58" i="5"/>
  <c r="CE58" i="5"/>
  <c r="CR53" i="5"/>
  <c r="CR39" i="5"/>
  <c r="CE55" i="5"/>
  <c r="CE19" i="5"/>
  <c r="CR37" i="5"/>
  <c r="CE33" i="5"/>
  <c r="CE24" i="5"/>
  <c r="AY101" i="5"/>
  <c r="AZ101" i="5" s="1"/>
  <c r="CR50" i="5"/>
  <c r="CE98" i="5"/>
  <c r="CR74" i="5"/>
  <c r="CE85" i="5"/>
  <c r="CE84" i="5"/>
  <c r="CE45" i="5"/>
  <c r="CE53" i="5"/>
  <c r="CE68" i="5"/>
  <c r="CE38" i="5"/>
  <c r="CE42" i="5"/>
  <c r="CE41" i="5"/>
  <c r="CE61" i="5"/>
  <c r="CE79" i="5"/>
  <c r="CE67" i="5"/>
  <c r="CE39" i="5"/>
  <c r="CE69" i="5"/>
  <c r="CE54" i="5"/>
  <c r="CE56" i="5"/>
  <c r="CE36" i="5"/>
  <c r="CE35" i="5"/>
  <c r="CE27" i="5"/>
  <c r="CR97" i="5"/>
  <c r="CR33" i="5"/>
  <c r="CR64" i="5"/>
  <c r="CR101" i="5"/>
  <c r="CR70" i="5"/>
  <c r="CE60" i="5"/>
  <c r="CR23" i="5"/>
  <c r="CR22" i="5"/>
  <c r="CE37" i="5"/>
  <c r="CE21" i="5"/>
  <c r="CE97" i="5"/>
  <c r="AY100" i="5"/>
  <c r="AZ100" i="5" s="1"/>
  <c r="CE64" i="5"/>
  <c r="CE48" i="5"/>
  <c r="CE95" i="5"/>
  <c r="CE96" i="5"/>
  <c r="CE16" i="5"/>
  <c r="CR102" i="5"/>
  <c r="CR59" i="5"/>
  <c r="CR77" i="5"/>
  <c r="CR103" i="5"/>
  <c r="CE101" i="5"/>
  <c r="CR78" i="5"/>
  <c r="CR100" i="5"/>
  <c r="CR90" i="5"/>
  <c r="AV96" i="5"/>
  <c r="AY96" i="5"/>
  <c r="AZ96" i="5" s="1"/>
  <c r="CR73" i="5"/>
  <c r="CR99" i="5"/>
  <c r="CR45" i="5"/>
  <c r="CR38" i="5"/>
  <c r="CR40" i="5"/>
  <c r="CR67" i="5"/>
  <c r="CR54" i="5"/>
  <c r="CE22" i="5"/>
  <c r="CR16" i="5"/>
  <c r="CR27" i="5"/>
  <c r="AY103" i="5"/>
  <c r="AZ103" i="5" s="1"/>
  <c r="AY97" i="5"/>
  <c r="AZ97" i="5" s="1"/>
  <c r="CR88" i="5"/>
  <c r="CR76" i="5"/>
  <c r="CR98" i="5"/>
  <c r="CR85" i="5"/>
  <c r="CE99" i="5"/>
  <c r="CR65" i="5"/>
  <c r="CR68" i="5"/>
  <c r="CR41" i="5"/>
  <c r="CR75" i="5"/>
  <c r="CR69" i="5"/>
  <c r="CR36" i="5"/>
  <c r="CE32" i="5"/>
  <c r="CR95" i="5"/>
  <c r="CR80" i="5"/>
  <c r="CR55" i="5"/>
  <c r="CR93" i="5"/>
  <c r="CR87" i="5"/>
  <c r="CR84" i="5"/>
  <c r="CR52" i="5"/>
  <c r="CR42" i="5"/>
  <c r="CR79" i="5"/>
  <c r="CR49" i="5"/>
  <c r="CR56" i="5"/>
  <c r="CR19" i="5"/>
  <c r="CR66" i="5"/>
  <c r="CR60" i="5"/>
  <c r="CR86" i="5"/>
  <c r="CR71" i="5"/>
  <c r="CR82" i="5"/>
  <c r="CR61" i="5"/>
  <c r="CR62" i="5"/>
  <c r="CR35" i="5"/>
  <c r="AY99" i="5"/>
  <c r="AZ99" i="5" s="1"/>
  <c r="D85" i="5"/>
  <c r="E81" i="5"/>
  <c r="D32" i="5"/>
  <c r="D30" i="5"/>
  <c r="D69" i="5"/>
  <c r="E30" i="5"/>
  <c r="D81" i="5"/>
  <c r="E69" i="5"/>
  <c r="E32" i="5"/>
  <c r="E75" i="5"/>
  <c r="D75" i="5"/>
  <c r="BQ60" i="6"/>
  <c r="BE60" i="6"/>
  <c r="BF60" i="6" s="1"/>
  <c r="C53" i="38"/>
  <c r="D46" i="5"/>
  <c r="CR46" i="5"/>
  <c r="CE46" i="5"/>
  <c r="E46" i="5"/>
  <c r="BQ83" i="6"/>
  <c r="BQ75" i="6"/>
  <c r="BQ80" i="6"/>
  <c r="BQ49" i="6"/>
  <c r="BQ16" i="6"/>
  <c r="BE16" i="6"/>
  <c r="BF16" i="6" s="1"/>
  <c r="BQ22" i="6"/>
  <c r="BE22" i="6"/>
  <c r="BF22" i="6" s="1"/>
  <c r="BB22" i="6"/>
  <c r="CR14" i="5"/>
  <c r="D14" i="5"/>
  <c r="CE14" i="5"/>
  <c r="E14" i="5"/>
  <c r="CE12" i="5"/>
  <c r="CR12" i="5"/>
  <c r="D12" i="5"/>
  <c r="E12" i="5"/>
  <c r="CR17" i="5"/>
  <c r="D17" i="5"/>
  <c r="CE17" i="5"/>
  <c r="E17" i="5"/>
  <c r="CR20" i="5"/>
  <c r="CE20" i="5"/>
  <c r="D20" i="5"/>
  <c r="X34" i="38"/>
  <c r="E20" i="5"/>
  <c r="F16" i="38"/>
  <c r="G16" i="38"/>
  <c r="F5" i="38"/>
  <c r="G5" i="38"/>
  <c r="F24" i="38"/>
  <c r="W35" i="38"/>
  <c r="X37" i="38"/>
  <c r="H5" i="38"/>
  <c r="H16" i="38"/>
  <c r="W36" i="38"/>
  <c r="X36" i="38"/>
  <c r="W32" i="38"/>
  <c r="X33" i="38"/>
  <c r="W31" i="38"/>
  <c r="X32" i="38"/>
  <c r="W30" i="38"/>
  <c r="X31" i="38"/>
  <c r="X30" i="38"/>
  <c r="W37" i="38"/>
  <c r="W34" i="38"/>
  <c r="X35" i="38"/>
  <c r="W33" i="38"/>
  <c r="BQ86" i="6"/>
  <c r="BE40" i="6"/>
  <c r="BF40" i="6" s="1"/>
  <c r="BQ40" i="6"/>
  <c r="BQ20" i="6"/>
  <c r="BE80" i="6"/>
  <c r="BF80" i="6" s="1"/>
  <c r="BE49" i="6"/>
  <c r="BF49" i="6" s="1"/>
  <c r="BE20" i="6"/>
  <c r="BF20" i="6" s="1"/>
  <c r="BE86" i="6"/>
  <c r="BF86" i="6" s="1"/>
  <c r="BE83" i="6"/>
  <c r="BF83" i="6" s="1"/>
  <c r="BE75" i="6"/>
  <c r="BF75" i="6" s="1"/>
  <c r="BP95" i="6" l="1"/>
  <c r="BO95" i="6"/>
  <c r="BN95" i="6"/>
  <c r="BM95" i="6"/>
  <c r="BL95" i="6"/>
  <c r="BK95" i="6"/>
  <c r="BI95" i="6"/>
  <c r="BH95" i="6"/>
  <c r="BG95" i="6"/>
  <c r="BC95" i="6"/>
  <c r="BD95" i="6" s="1"/>
  <c r="BA95" i="6"/>
  <c r="BP64" i="6"/>
  <c r="BO64" i="6"/>
  <c r="BN64" i="6"/>
  <c r="BM64" i="6"/>
  <c r="BL64" i="6"/>
  <c r="BK64" i="6"/>
  <c r="BI64" i="6"/>
  <c r="BH64" i="6"/>
  <c r="BG64" i="6"/>
  <c r="BC64" i="6"/>
  <c r="BD64" i="6" s="1"/>
  <c r="BA64" i="6"/>
  <c r="BB64" i="6" s="1"/>
  <c r="BP90" i="6"/>
  <c r="BO90" i="6"/>
  <c r="BN90" i="6"/>
  <c r="BM90" i="6"/>
  <c r="BL90" i="6"/>
  <c r="BK90" i="6"/>
  <c r="BI90" i="6"/>
  <c r="BH90" i="6"/>
  <c r="BG90" i="6"/>
  <c r="BC90" i="6"/>
  <c r="BD90" i="6" s="1"/>
  <c r="BA90" i="6"/>
  <c r="BB90" i="6" s="1"/>
  <c r="BP55" i="6"/>
  <c r="BO55" i="6"/>
  <c r="BN55" i="6"/>
  <c r="BM55" i="6"/>
  <c r="BL55" i="6"/>
  <c r="BK55" i="6"/>
  <c r="BI55" i="6"/>
  <c r="BH55" i="6"/>
  <c r="BG55" i="6"/>
  <c r="BC55" i="6"/>
  <c r="BD55" i="6" s="1"/>
  <c r="BA55" i="6"/>
  <c r="BP35" i="6"/>
  <c r="BO35" i="6"/>
  <c r="BN35" i="6"/>
  <c r="BM35" i="6"/>
  <c r="BL35" i="6"/>
  <c r="BK35" i="6"/>
  <c r="BI35" i="6"/>
  <c r="BH35" i="6"/>
  <c r="BG35" i="6"/>
  <c r="BC35" i="6"/>
  <c r="BD35" i="6" s="1"/>
  <c r="BA35" i="6"/>
  <c r="BP84" i="6"/>
  <c r="BO84" i="6"/>
  <c r="BN84" i="6"/>
  <c r="BM84" i="6"/>
  <c r="BL84" i="6"/>
  <c r="BK84" i="6"/>
  <c r="BI84" i="6"/>
  <c r="BH84" i="6"/>
  <c r="BG84" i="6"/>
  <c r="BC84" i="6"/>
  <c r="BD84" i="6" s="1"/>
  <c r="BA84" i="6"/>
  <c r="BP92" i="6"/>
  <c r="BO92" i="6"/>
  <c r="BN92" i="6"/>
  <c r="BM92" i="6"/>
  <c r="BL92" i="6"/>
  <c r="BK92" i="6"/>
  <c r="BI92" i="6"/>
  <c r="BH92" i="6"/>
  <c r="BG92" i="6"/>
  <c r="BC92" i="6"/>
  <c r="BD92" i="6" s="1"/>
  <c r="BA92" i="6"/>
  <c r="BP85" i="6"/>
  <c r="BO85" i="6"/>
  <c r="BN85" i="6"/>
  <c r="BM85" i="6"/>
  <c r="BL85" i="6"/>
  <c r="BK85" i="6"/>
  <c r="BI85" i="6"/>
  <c r="BH85" i="6"/>
  <c r="BG85" i="6"/>
  <c r="BC85" i="6"/>
  <c r="BD85" i="6" s="1"/>
  <c r="BA85" i="6"/>
  <c r="BB85" i="6" s="1"/>
  <c r="BP76" i="6"/>
  <c r="BO76" i="6"/>
  <c r="BN76" i="6"/>
  <c r="BM76" i="6"/>
  <c r="BL76" i="6"/>
  <c r="BK76" i="6"/>
  <c r="BI76" i="6"/>
  <c r="BH76" i="6"/>
  <c r="BG76" i="6"/>
  <c r="BC76" i="6"/>
  <c r="BD76" i="6" s="1"/>
  <c r="BA76" i="6"/>
  <c r="BP34" i="6"/>
  <c r="BO34" i="6"/>
  <c r="BN34" i="6"/>
  <c r="BM34" i="6"/>
  <c r="BL34" i="6"/>
  <c r="BK34" i="6"/>
  <c r="BI34" i="6"/>
  <c r="BH34" i="6"/>
  <c r="BG34" i="6"/>
  <c r="BC34" i="6"/>
  <c r="BD34" i="6" s="1"/>
  <c r="BA34" i="6"/>
  <c r="BP73" i="6"/>
  <c r="BO73" i="6"/>
  <c r="BN73" i="6"/>
  <c r="BM73" i="6"/>
  <c r="BL73" i="6"/>
  <c r="BK73" i="6"/>
  <c r="BI73" i="6"/>
  <c r="BH73" i="6"/>
  <c r="BG73" i="6"/>
  <c r="BC73" i="6"/>
  <c r="BD73" i="6" s="1"/>
  <c r="BA73" i="6"/>
  <c r="BB73" i="6" s="1"/>
  <c r="BP57" i="6"/>
  <c r="BO57" i="6"/>
  <c r="BN57" i="6"/>
  <c r="BM57" i="6"/>
  <c r="BL57" i="6"/>
  <c r="BK57" i="6"/>
  <c r="BI57" i="6"/>
  <c r="BH57" i="6"/>
  <c r="BG57" i="6"/>
  <c r="BC57" i="6"/>
  <c r="BD57" i="6" s="1"/>
  <c r="BA57" i="6"/>
  <c r="BP91" i="6"/>
  <c r="BO91" i="6"/>
  <c r="BN91" i="6"/>
  <c r="BM91" i="6"/>
  <c r="BL91" i="6"/>
  <c r="BK91" i="6"/>
  <c r="BI91" i="6"/>
  <c r="BH91" i="6"/>
  <c r="BG91" i="6"/>
  <c r="BC91" i="6"/>
  <c r="BA91" i="6"/>
  <c r="BB91" i="6" s="1"/>
  <c r="BP89" i="6"/>
  <c r="BO89" i="6"/>
  <c r="BN89" i="6"/>
  <c r="BM89" i="6"/>
  <c r="BL89" i="6"/>
  <c r="BK89" i="6"/>
  <c r="BI89" i="6"/>
  <c r="BH89" i="6"/>
  <c r="BG89" i="6"/>
  <c r="BC89" i="6"/>
  <c r="BD89" i="6" s="1"/>
  <c r="BA89" i="6"/>
  <c r="BB89" i="6" s="1"/>
  <c r="BP96" i="6"/>
  <c r="BO96" i="6"/>
  <c r="BN96" i="6"/>
  <c r="BM96" i="6"/>
  <c r="BL96" i="6"/>
  <c r="BK96" i="6"/>
  <c r="BI96" i="6"/>
  <c r="BH96" i="6"/>
  <c r="BG96" i="6"/>
  <c r="BC96" i="6"/>
  <c r="BD96" i="6" s="1"/>
  <c r="BA96" i="6"/>
  <c r="BP61" i="6"/>
  <c r="BO61" i="6"/>
  <c r="BN61" i="6"/>
  <c r="BM61" i="6"/>
  <c r="BL61" i="6"/>
  <c r="BK61" i="6"/>
  <c r="BI61" i="6"/>
  <c r="BH61" i="6"/>
  <c r="BG61" i="6"/>
  <c r="BC61" i="6"/>
  <c r="BD61" i="6" s="1"/>
  <c r="BA61" i="6"/>
  <c r="BP78" i="6"/>
  <c r="BO78" i="6"/>
  <c r="BN78" i="6"/>
  <c r="BM78" i="6"/>
  <c r="BL78" i="6"/>
  <c r="BK78" i="6"/>
  <c r="BI78" i="6"/>
  <c r="BH78" i="6"/>
  <c r="BG78" i="6"/>
  <c r="BC78" i="6"/>
  <c r="BD78" i="6" s="1"/>
  <c r="BA78" i="6"/>
  <c r="BB78" i="6" s="1"/>
  <c r="BP43" i="6"/>
  <c r="BO43" i="6"/>
  <c r="BN43" i="6"/>
  <c r="BM43" i="6"/>
  <c r="BL43" i="6"/>
  <c r="BK43" i="6"/>
  <c r="BI43" i="6"/>
  <c r="BH43" i="6"/>
  <c r="BG43" i="6"/>
  <c r="BC43" i="6"/>
  <c r="BA43" i="6"/>
  <c r="BB43" i="6" s="1"/>
  <c r="BP56" i="6"/>
  <c r="BO56" i="6"/>
  <c r="BN56" i="6"/>
  <c r="BM56" i="6"/>
  <c r="BL56" i="6"/>
  <c r="BK56" i="6"/>
  <c r="BI56" i="6"/>
  <c r="BH56" i="6"/>
  <c r="BG56" i="6"/>
  <c r="BC56" i="6"/>
  <c r="BD56" i="6" s="1"/>
  <c r="BA56" i="6"/>
  <c r="BP25" i="6"/>
  <c r="BO25" i="6"/>
  <c r="BN25" i="6"/>
  <c r="BM25" i="6"/>
  <c r="BL25" i="6"/>
  <c r="BK25" i="6"/>
  <c r="BI25" i="6"/>
  <c r="BH25" i="6"/>
  <c r="BG25" i="6"/>
  <c r="BC25" i="6"/>
  <c r="BD25" i="6" s="1"/>
  <c r="BA25" i="6"/>
  <c r="BP71" i="6"/>
  <c r="BO71" i="6"/>
  <c r="BN71" i="6"/>
  <c r="BM71" i="6"/>
  <c r="BL71" i="6"/>
  <c r="BK71" i="6"/>
  <c r="BI71" i="6"/>
  <c r="BH71" i="6"/>
  <c r="BG71" i="6"/>
  <c r="BC71" i="6"/>
  <c r="BD71" i="6" s="1"/>
  <c r="BA71" i="6"/>
  <c r="BP63" i="6"/>
  <c r="BO63" i="6"/>
  <c r="BN63" i="6"/>
  <c r="BM63" i="6"/>
  <c r="BL63" i="6"/>
  <c r="BK63" i="6"/>
  <c r="BI63" i="6"/>
  <c r="BH63" i="6"/>
  <c r="BG63" i="6"/>
  <c r="BC63" i="6"/>
  <c r="BD63" i="6" s="1"/>
  <c r="BA63" i="6"/>
  <c r="BB63" i="6" s="1"/>
  <c r="BP45" i="6"/>
  <c r="BO45" i="6"/>
  <c r="BN45" i="6"/>
  <c r="BM45" i="6"/>
  <c r="BL45" i="6"/>
  <c r="BK45" i="6"/>
  <c r="BI45" i="6"/>
  <c r="BH45" i="6"/>
  <c r="BG45" i="6"/>
  <c r="BC45" i="6"/>
  <c r="BD45" i="6" s="1"/>
  <c r="BA45" i="6"/>
  <c r="BB45" i="6" s="1"/>
  <c r="BP70" i="6"/>
  <c r="BO70" i="6"/>
  <c r="BN70" i="6"/>
  <c r="BM70" i="6"/>
  <c r="BL70" i="6"/>
  <c r="BK70" i="6"/>
  <c r="BI70" i="6"/>
  <c r="BH70" i="6"/>
  <c r="BG70" i="6"/>
  <c r="BC70" i="6"/>
  <c r="BD70" i="6" s="1"/>
  <c r="BA70" i="6"/>
  <c r="BP44" i="6"/>
  <c r="BO44" i="6"/>
  <c r="BN44" i="6"/>
  <c r="BM44" i="6"/>
  <c r="BL44" i="6"/>
  <c r="BK44" i="6"/>
  <c r="BI44" i="6"/>
  <c r="BH44" i="6"/>
  <c r="BG44" i="6"/>
  <c r="BC44" i="6"/>
  <c r="BD44" i="6" s="1"/>
  <c r="BA44" i="6"/>
  <c r="BB44" i="6" s="1"/>
  <c r="BP72" i="6"/>
  <c r="BO72" i="6"/>
  <c r="BN72" i="6"/>
  <c r="BM72" i="6"/>
  <c r="BL72" i="6"/>
  <c r="BK72" i="6"/>
  <c r="BI72" i="6"/>
  <c r="BH72" i="6"/>
  <c r="BG72" i="6"/>
  <c r="BC72" i="6"/>
  <c r="BD72" i="6" s="1"/>
  <c r="BA72" i="6"/>
  <c r="BP59" i="6"/>
  <c r="BO59" i="6"/>
  <c r="BN59" i="6"/>
  <c r="BM59" i="6"/>
  <c r="BL59" i="6"/>
  <c r="BK59" i="6"/>
  <c r="BI59" i="6"/>
  <c r="BH59" i="6"/>
  <c r="BG59" i="6"/>
  <c r="BC59" i="6"/>
  <c r="BD59" i="6" s="1"/>
  <c r="BA59" i="6"/>
  <c r="BB59" i="6" s="1"/>
  <c r="BP93" i="6"/>
  <c r="BO93" i="6"/>
  <c r="BN93" i="6"/>
  <c r="BM93" i="6"/>
  <c r="BL93" i="6"/>
  <c r="BK93" i="6"/>
  <c r="BI93" i="6"/>
  <c r="BH93" i="6"/>
  <c r="BG93" i="6"/>
  <c r="BC93" i="6"/>
  <c r="BD93" i="6" s="1"/>
  <c r="BA93" i="6"/>
  <c r="BB93" i="6" s="1"/>
  <c r="BP66" i="6"/>
  <c r="BO66" i="6"/>
  <c r="BN66" i="6"/>
  <c r="BM66" i="6"/>
  <c r="BL66" i="6"/>
  <c r="BK66" i="6"/>
  <c r="BI66" i="6"/>
  <c r="BH66" i="6"/>
  <c r="BG66" i="6"/>
  <c r="BC66" i="6"/>
  <c r="BD66" i="6" s="1"/>
  <c r="BA66" i="6"/>
  <c r="BB66" i="6" s="1"/>
  <c r="BP13" i="6"/>
  <c r="BO13" i="6"/>
  <c r="BN13" i="6"/>
  <c r="BM13" i="6"/>
  <c r="BL13" i="6"/>
  <c r="BK13" i="6"/>
  <c r="BI13" i="6"/>
  <c r="BH13" i="6"/>
  <c r="BG13" i="6"/>
  <c r="BC13" i="6"/>
  <c r="BD13" i="6" s="1"/>
  <c r="BA13" i="6"/>
  <c r="BB13" i="6" s="1"/>
  <c r="BP62" i="6"/>
  <c r="BO62" i="6"/>
  <c r="BN62" i="6"/>
  <c r="BM62" i="6"/>
  <c r="BL62" i="6"/>
  <c r="BK62" i="6"/>
  <c r="BI62" i="6"/>
  <c r="BH62" i="6"/>
  <c r="BG62" i="6"/>
  <c r="BC62" i="6"/>
  <c r="BD62" i="6" s="1"/>
  <c r="BA62" i="6"/>
  <c r="BP68" i="6"/>
  <c r="BO68" i="6"/>
  <c r="BN68" i="6"/>
  <c r="BM68" i="6"/>
  <c r="BL68" i="6"/>
  <c r="BK68" i="6"/>
  <c r="BI68" i="6"/>
  <c r="BH68" i="6"/>
  <c r="BG68" i="6"/>
  <c r="BC68" i="6"/>
  <c r="BD68" i="6" s="1"/>
  <c r="BA68" i="6"/>
  <c r="BP54" i="6"/>
  <c r="BO54" i="6"/>
  <c r="BN54" i="6"/>
  <c r="BM54" i="6"/>
  <c r="BL54" i="6"/>
  <c r="BK54" i="6"/>
  <c r="BI54" i="6"/>
  <c r="BH54" i="6"/>
  <c r="BG54" i="6"/>
  <c r="BC54" i="6"/>
  <c r="BA54" i="6"/>
  <c r="BB54" i="6" s="1"/>
  <c r="BP94" i="6"/>
  <c r="BO94" i="6"/>
  <c r="BN94" i="6"/>
  <c r="BM94" i="6"/>
  <c r="BL94" i="6"/>
  <c r="BK94" i="6"/>
  <c r="BI94" i="6"/>
  <c r="BH94" i="6"/>
  <c r="BG94" i="6"/>
  <c r="BC94" i="6"/>
  <c r="BD94" i="6" s="1"/>
  <c r="BA94" i="6"/>
  <c r="BB94" i="6" s="1"/>
  <c r="BP79" i="6"/>
  <c r="BO79" i="6"/>
  <c r="BN79" i="6"/>
  <c r="BM79" i="6"/>
  <c r="BL79" i="6"/>
  <c r="BK79" i="6"/>
  <c r="BI79" i="6"/>
  <c r="BH79" i="6"/>
  <c r="BG79" i="6"/>
  <c r="BC79" i="6"/>
  <c r="BD79" i="6" s="1"/>
  <c r="BA79" i="6"/>
  <c r="BP47" i="6"/>
  <c r="BO47" i="6"/>
  <c r="BN47" i="6"/>
  <c r="BM47" i="6"/>
  <c r="BL47" i="6"/>
  <c r="BK47" i="6"/>
  <c r="BI47" i="6"/>
  <c r="BH47" i="6"/>
  <c r="BG47" i="6"/>
  <c r="BC47" i="6"/>
  <c r="BD47" i="6" s="1"/>
  <c r="BA47" i="6"/>
  <c r="BP27" i="6"/>
  <c r="BO27" i="6"/>
  <c r="BN27" i="6"/>
  <c r="BM27" i="6"/>
  <c r="BL27" i="6"/>
  <c r="BK27" i="6"/>
  <c r="BI27" i="6"/>
  <c r="BH27" i="6"/>
  <c r="BG27" i="6"/>
  <c r="BC27" i="6"/>
  <c r="BD27" i="6" s="1"/>
  <c r="BA27" i="6"/>
  <c r="BP48" i="6"/>
  <c r="BO48" i="6"/>
  <c r="BN48" i="6"/>
  <c r="BM48" i="6"/>
  <c r="BL48" i="6"/>
  <c r="BK48" i="6"/>
  <c r="BI48" i="6"/>
  <c r="BH48" i="6"/>
  <c r="BG48" i="6"/>
  <c r="BC48" i="6"/>
  <c r="BD48" i="6" s="1"/>
  <c r="BA48" i="6"/>
  <c r="BB48" i="6" s="1"/>
  <c r="BP87" i="6"/>
  <c r="BO87" i="6"/>
  <c r="BN87" i="6"/>
  <c r="BM87" i="6"/>
  <c r="BL87" i="6"/>
  <c r="BK87" i="6"/>
  <c r="BI87" i="6"/>
  <c r="BH87" i="6"/>
  <c r="BG87" i="6"/>
  <c r="BC87" i="6"/>
  <c r="BD87" i="6" s="1"/>
  <c r="BA87" i="6"/>
  <c r="BP77" i="6"/>
  <c r="BO77" i="6"/>
  <c r="BN77" i="6"/>
  <c r="BM77" i="6"/>
  <c r="BL77" i="6"/>
  <c r="BK77" i="6"/>
  <c r="BI77" i="6"/>
  <c r="BH77" i="6"/>
  <c r="BG77" i="6"/>
  <c r="BC77" i="6"/>
  <c r="BD77" i="6" s="1"/>
  <c r="BA77" i="6"/>
  <c r="BP88" i="6"/>
  <c r="BO88" i="6"/>
  <c r="BN88" i="6"/>
  <c r="BM88" i="6"/>
  <c r="BL88" i="6"/>
  <c r="BK88" i="6"/>
  <c r="BI88" i="6"/>
  <c r="BH88" i="6"/>
  <c r="BG88" i="6"/>
  <c r="BC88" i="6"/>
  <c r="BD88" i="6" s="1"/>
  <c r="BA88" i="6"/>
  <c r="BB88" i="6" s="1"/>
  <c r="BP53" i="6"/>
  <c r="BO53" i="6"/>
  <c r="BN53" i="6"/>
  <c r="BM53" i="6"/>
  <c r="BL53" i="6"/>
  <c r="BK53" i="6"/>
  <c r="BI53" i="6"/>
  <c r="BH53" i="6"/>
  <c r="BG53" i="6"/>
  <c r="BC53" i="6"/>
  <c r="BD53" i="6" s="1"/>
  <c r="BA53" i="6"/>
  <c r="BB53" i="6" s="1"/>
  <c r="BP37" i="6"/>
  <c r="BO37" i="6"/>
  <c r="BN37" i="6"/>
  <c r="BM37" i="6"/>
  <c r="BL37" i="6"/>
  <c r="BK37" i="6"/>
  <c r="BI37" i="6"/>
  <c r="BH37" i="6"/>
  <c r="BG37" i="6"/>
  <c r="BC37" i="6"/>
  <c r="BD37" i="6" s="1"/>
  <c r="BA37" i="6"/>
  <c r="BP74" i="6"/>
  <c r="BO74" i="6"/>
  <c r="BN74" i="6"/>
  <c r="BM74" i="6"/>
  <c r="BL74" i="6"/>
  <c r="BK74" i="6"/>
  <c r="BI74" i="6"/>
  <c r="BH74" i="6"/>
  <c r="BG74" i="6"/>
  <c r="BC74" i="6"/>
  <c r="BD74" i="6" s="1"/>
  <c r="BA74" i="6"/>
  <c r="BB74" i="6" s="1"/>
  <c r="BP50" i="6"/>
  <c r="BO50" i="6"/>
  <c r="BN50" i="6"/>
  <c r="BM50" i="6"/>
  <c r="BL50" i="6"/>
  <c r="BK50" i="6"/>
  <c r="BI50" i="6"/>
  <c r="BH50" i="6"/>
  <c r="BG50" i="6"/>
  <c r="BC50" i="6"/>
  <c r="BD50" i="6" s="1"/>
  <c r="BA50" i="6"/>
  <c r="BP58" i="6"/>
  <c r="BO58" i="6"/>
  <c r="BN58" i="6"/>
  <c r="BM58" i="6"/>
  <c r="BL58" i="6"/>
  <c r="BK58" i="6"/>
  <c r="BI58" i="6"/>
  <c r="BH58" i="6"/>
  <c r="BG58" i="6"/>
  <c r="BC58" i="6"/>
  <c r="BD58" i="6" s="1"/>
  <c r="BA58" i="6"/>
  <c r="BB58" i="6" s="1"/>
  <c r="BP81" i="6"/>
  <c r="BO81" i="6"/>
  <c r="BN81" i="6"/>
  <c r="BM81" i="6"/>
  <c r="BL81" i="6"/>
  <c r="BK81" i="6"/>
  <c r="BI81" i="6"/>
  <c r="BH81" i="6"/>
  <c r="BG81" i="6"/>
  <c r="BC81" i="6"/>
  <c r="BA81" i="6"/>
  <c r="BB81" i="6" s="1"/>
  <c r="BP42" i="6"/>
  <c r="BO42" i="6"/>
  <c r="BN42" i="6"/>
  <c r="BM42" i="6"/>
  <c r="BL42" i="6"/>
  <c r="BK42" i="6"/>
  <c r="BI42" i="6"/>
  <c r="BH42" i="6"/>
  <c r="BG42" i="6"/>
  <c r="BC42" i="6"/>
  <c r="BD42" i="6" s="1"/>
  <c r="BA42" i="6"/>
  <c r="BB42" i="6" s="1"/>
  <c r="BP67" i="6"/>
  <c r="BO67" i="6"/>
  <c r="BN67" i="6"/>
  <c r="BM67" i="6"/>
  <c r="BL67" i="6"/>
  <c r="BK67" i="6"/>
  <c r="BI67" i="6"/>
  <c r="BH67" i="6"/>
  <c r="BG67" i="6"/>
  <c r="BC67" i="6"/>
  <c r="BD67" i="6" s="1"/>
  <c r="BA67" i="6"/>
  <c r="BP82" i="6"/>
  <c r="BO82" i="6"/>
  <c r="BN82" i="6"/>
  <c r="BM82" i="6"/>
  <c r="BL82" i="6"/>
  <c r="BK82" i="6"/>
  <c r="BI82" i="6"/>
  <c r="BH82" i="6"/>
  <c r="BG82" i="6"/>
  <c r="BC82" i="6"/>
  <c r="BD82" i="6" s="1"/>
  <c r="BA82" i="6"/>
  <c r="BP24" i="6"/>
  <c r="BO24" i="6"/>
  <c r="BN24" i="6"/>
  <c r="BM24" i="6"/>
  <c r="BL24" i="6"/>
  <c r="BK24" i="6"/>
  <c r="BI24" i="6"/>
  <c r="BH24" i="6"/>
  <c r="BG24" i="6"/>
  <c r="BC24" i="6"/>
  <c r="BD24" i="6" s="1"/>
  <c r="BA24" i="6"/>
  <c r="BP52" i="6"/>
  <c r="BO52" i="6"/>
  <c r="BN52" i="6"/>
  <c r="BM52" i="6"/>
  <c r="BL52" i="6"/>
  <c r="BK52" i="6"/>
  <c r="BI52" i="6"/>
  <c r="BH52" i="6"/>
  <c r="BG52" i="6"/>
  <c r="BC52" i="6"/>
  <c r="BD52" i="6" s="1"/>
  <c r="BA52" i="6"/>
  <c r="BB52" i="6" s="1"/>
  <c r="BP29" i="6"/>
  <c r="BO29" i="6"/>
  <c r="BN29" i="6"/>
  <c r="BM29" i="6"/>
  <c r="BL29" i="6"/>
  <c r="BK29" i="6"/>
  <c r="BI29" i="6"/>
  <c r="BH29" i="6"/>
  <c r="BG29" i="6"/>
  <c r="BC29" i="6"/>
  <c r="BD29" i="6" s="1"/>
  <c r="BA29" i="6"/>
  <c r="BP21" i="6"/>
  <c r="BO21" i="6"/>
  <c r="BN21" i="6"/>
  <c r="BM21" i="6"/>
  <c r="BL21" i="6"/>
  <c r="BK21" i="6"/>
  <c r="BI21" i="6"/>
  <c r="BH21" i="6"/>
  <c r="BG21" i="6"/>
  <c r="BC21" i="6"/>
  <c r="BD21" i="6" s="1"/>
  <c r="BA21" i="6"/>
  <c r="BB21" i="6" s="1"/>
  <c r="BP69" i="6"/>
  <c r="BO69" i="6"/>
  <c r="BN69" i="6"/>
  <c r="BM69" i="6"/>
  <c r="BL69" i="6"/>
  <c r="BK69" i="6"/>
  <c r="BI69" i="6"/>
  <c r="BH69" i="6"/>
  <c r="BG69" i="6"/>
  <c r="BC69" i="6"/>
  <c r="BD69" i="6" s="1"/>
  <c r="BA69" i="6"/>
  <c r="BB69" i="6" s="1"/>
  <c r="BP23" i="6"/>
  <c r="BO23" i="6"/>
  <c r="BN23" i="6"/>
  <c r="BM23" i="6"/>
  <c r="BL23" i="6"/>
  <c r="BK23" i="6"/>
  <c r="BI23" i="6"/>
  <c r="BH23" i="6"/>
  <c r="BG23" i="6"/>
  <c r="BC23" i="6"/>
  <c r="BD23" i="6" s="1"/>
  <c r="BA23" i="6"/>
  <c r="BB23" i="6" s="1"/>
  <c r="BP33" i="6"/>
  <c r="BO33" i="6"/>
  <c r="BN33" i="6"/>
  <c r="BM33" i="6"/>
  <c r="BL33" i="6"/>
  <c r="BK33" i="6"/>
  <c r="BI33" i="6"/>
  <c r="BH33" i="6"/>
  <c r="BG33" i="6"/>
  <c r="BC33" i="6"/>
  <c r="BD33" i="6" s="1"/>
  <c r="BA33" i="6"/>
  <c r="BB33" i="6" s="1"/>
  <c r="BP26" i="6"/>
  <c r="BO26" i="6"/>
  <c r="BN26" i="6"/>
  <c r="BM26" i="6"/>
  <c r="BL26" i="6"/>
  <c r="BK26" i="6"/>
  <c r="BI26" i="6"/>
  <c r="BH26" i="6"/>
  <c r="BG26" i="6"/>
  <c r="BC26" i="6"/>
  <c r="BD26" i="6" s="1"/>
  <c r="BA26" i="6"/>
  <c r="BP39" i="6"/>
  <c r="BO39" i="6"/>
  <c r="BN39" i="6"/>
  <c r="BM39" i="6"/>
  <c r="BL39" i="6"/>
  <c r="BK39" i="6"/>
  <c r="BI39" i="6"/>
  <c r="BH39" i="6"/>
  <c r="BG39" i="6"/>
  <c r="BC39" i="6"/>
  <c r="BD39" i="6" s="1"/>
  <c r="BA39" i="6"/>
  <c r="BP18" i="6"/>
  <c r="BO18" i="6"/>
  <c r="BN18" i="6"/>
  <c r="BM18" i="6"/>
  <c r="BL18" i="6"/>
  <c r="BK18" i="6"/>
  <c r="BI18" i="6"/>
  <c r="BH18" i="6"/>
  <c r="BG18" i="6"/>
  <c r="BC18" i="6"/>
  <c r="BD18" i="6" s="1"/>
  <c r="BA18" i="6"/>
  <c r="BB18" i="6" s="1"/>
  <c r="BP30" i="6"/>
  <c r="BO30" i="6"/>
  <c r="BN30" i="6"/>
  <c r="BM30" i="6"/>
  <c r="BL30" i="6"/>
  <c r="BK30" i="6"/>
  <c r="BI30" i="6"/>
  <c r="BH30" i="6"/>
  <c r="BG30" i="6"/>
  <c r="BC30" i="6"/>
  <c r="BD30" i="6" s="1"/>
  <c r="BA30" i="6"/>
  <c r="BP65" i="6"/>
  <c r="BO65" i="6"/>
  <c r="BN65" i="6"/>
  <c r="BM65" i="6"/>
  <c r="BL65" i="6"/>
  <c r="BK65" i="6"/>
  <c r="BI65" i="6"/>
  <c r="BH65" i="6"/>
  <c r="BG65" i="6"/>
  <c r="BC65" i="6"/>
  <c r="BD65" i="6" s="1"/>
  <c r="BA65" i="6"/>
  <c r="BB65" i="6" s="1"/>
  <c r="BP28" i="6"/>
  <c r="BO28" i="6"/>
  <c r="BN28" i="6"/>
  <c r="BM28" i="6"/>
  <c r="BL28" i="6"/>
  <c r="BK28" i="6"/>
  <c r="BI28" i="6"/>
  <c r="BH28" i="6"/>
  <c r="BG28" i="6"/>
  <c r="BC28" i="6"/>
  <c r="BA28" i="6"/>
  <c r="BB28" i="6" s="1"/>
  <c r="BP46" i="6"/>
  <c r="BO46" i="6"/>
  <c r="BN46" i="6"/>
  <c r="BM46" i="6"/>
  <c r="BL46" i="6"/>
  <c r="BK46" i="6"/>
  <c r="BI46" i="6"/>
  <c r="BH46" i="6"/>
  <c r="BG46" i="6"/>
  <c r="BC46" i="6"/>
  <c r="BD46" i="6" s="1"/>
  <c r="BA46" i="6"/>
  <c r="BB46" i="6" s="1"/>
  <c r="BP14" i="6"/>
  <c r="BO14" i="6"/>
  <c r="BN14" i="6"/>
  <c r="BM14" i="6"/>
  <c r="BL14" i="6"/>
  <c r="BK14" i="6"/>
  <c r="BI14" i="6"/>
  <c r="BH14" i="6"/>
  <c r="BG14" i="6"/>
  <c r="BC14" i="6"/>
  <c r="BD14" i="6" s="1"/>
  <c r="BA14" i="6"/>
  <c r="BP31" i="6"/>
  <c r="BO31" i="6"/>
  <c r="BN31" i="6"/>
  <c r="BM31" i="6"/>
  <c r="BL31" i="6"/>
  <c r="BK31" i="6"/>
  <c r="BI31" i="6"/>
  <c r="BH31" i="6"/>
  <c r="BG31" i="6"/>
  <c r="BC31" i="6"/>
  <c r="BD31" i="6" s="1"/>
  <c r="BA31" i="6"/>
  <c r="BP41" i="6"/>
  <c r="BO41" i="6"/>
  <c r="BN41" i="6"/>
  <c r="BM41" i="6"/>
  <c r="BL41" i="6"/>
  <c r="BK41" i="6"/>
  <c r="BI41" i="6"/>
  <c r="BH41" i="6"/>
  <c r="BG41" i="6"/>
  <c r="BC41" i="6"/>
  <c r="BD41" i="6" s="1"/>
  <c r="BA41" i="6"/>
  <c r="BP12" i="6"/>
  <c r="BO12" i="6"/>
  <c r="BN12" i="6"/>
  <c r="BM12" i="6"/>
  <c r="BL12" i="6"/>
  <c r="BK12" i="6"/>
  <c r="BI12" i="6"/>
  <c r="BH12" i="6"/>
  <c r="BG12" i="6"/>
  <c r="BC12" i="6"/>
  <c r="BD12" i="6" s="1"/>
  <c r="BA12" i="6"/>
  <c r="BB12" i="6" s="1"/>
  <c r="BP32" i="6"/>
  <c r="BO32" i="6"/>
  <c r="BN32" i="6"/>
  <c r="BM32" i="6"/>
  <c r="BL32" i="6"/>
  <c r="BK32" i="6"/>
  <c r="BI32" i="6"/>
  <c r="BH32" i="6"/>
  <c r="BG32" i="6"/>
  <c r="BC32" i="6"/>
  <c r="BD32" i="6" s="1"/>
  <c r="BA32" i="6"/>
  <c r="BP51" i="6"/>
  <c r="BO51" i="6"/>
  <c r="BN51" i="6"/>
  <c r="BM51" i="6"/>
  <c r="BL51" i="6"/>
  <c r="BK51" i="6"/>
  <c r="BI51" i="6"/>
  <c r="BH51" i="6"/>
  <c r="BG51" i="6"/>
  <c r="BC51" i="6"/>
  <c r="BD51" i="6" s="1"/>
  <c r="BA51" i="6"/>
  <c r="BB51" i="6" s="1"/>
  <c r="BP38" i="6"/>
  <c r="BO38" i="6"/>
  <c r="BN38" i="6"/>
  <c r="BM38" i="6"/>
  <c r="BL38" i="6"/>
  <c r="BK38" i="6"/>
  <c r="BI38" i="6"/>
  <c r="BH38" i="6"/>
  <c r="BG38" i="6"/>
  <c r="BC38" i="6"/>
  <c r="BA38" i="6"/>
  <c r="BB38" i="6" s="1"/>
  <c r="BP36" i="6"/>
  <c r="BO36" i="6"/>
  <c r="BN36" i="6"/>
  <c r="BM36" i="6"/>
  <c r="BL36" i="6"/>
  <c r="BK36" i="6"/>
  <c r="BI36" i="6"/>
  <c r="BH36" i="6"/>
  <c r="BG36" i="6"/>
  <c r="BC36" i="6"/>
  <c r="BD36" i="6" s="1"/>
  <c r="BA36" i="6"/>
  <c r="BB36" i="6" s="1"/>
  <c r="BP19" i="6"/>
  <c r="BO19" i="6"/>
  <c r="BN19" i="6"/>
  <c r="BM19" i="6"/>
  <c r="BL19" i="6"/>
  <c r="BK19" i="6"/>
  <c r="BI19" i="6"/>
  <c r="BH19" i="6"/>
  <c r="BG19" i="6"/>
  <c r="BC19" i="6"/>
  <c r="BD19" i="6" s="1"/>
  <c r="BA19" i="6"/>
  <c r="BB19" i="6" s="1"/>
  <c r="BP11" i="6"/>
  <c r="BO11" i="6"/>
  <c r="BN11" i="6"/>
  <c r="BM11" i="6"/>
  <c r="BL11" i="6"/>
  <c r="BK11" i="6"/>
  <c r="BI11" i="6"/>
  <c r="BH11" i="6"/>
  <c r="BG11" i="6"/>
  <c r="BC11" i="6"/>
  <c r="BD11" i="6" s="1"/>
  <c r="BA11" i="6"/>
  <c r="BP17" i="6"/>
  <c r="BO17" i="6"/>
  <c r="BN17" i="6"/>
  <c r="BM17" i="6"/>
  <c r="BL17" i="6"/>
  <c r="BK17" i="6"/>
  <c r="BI17" i="6"/>
  <c r="BH17" i="6"/>
  <c r="BG17" i="6"/>
  <c r="BC17" i="6"/>
  <c r="BD17" i="6" s="1"/>
  <c r="BA17" i="6"/>
  <c r="D95" i="6"/>
  <c r="A95" i="6"/>
  <c r="D64" i="6"/>
  <c r="A64" i="6"/>
  <c r="D90" i="6"/>
  <c r="A90" i="6"/>
  <c r="D55" i="6"/>
  <c r="A55" i="6"/>
  <c r="D35" i="6"/>
  <c r="A35" i="6"/>
  <c r="D84" i="6"/>
  <c r="A84" i="6"/>
  <c r="D92" i="6"/>
  <c r="A92" i="6"/>
  <c r="D85" i="6"/>
  <c r="A85" i="6"/>
  <c r="D76" i="6"/>
  <c r="A76" i="6"/>
  <c r="D34" i="6"/>
  <c r="A34" i="6"/>
  <c r="D73" i="6"/>
  <c r="A73" i="6"/>
  <c r="D57" i="6"/>
  <c r="A57" i="6"/>
  <c r="D91" i="6"/>
  <c r="A91" i="6"/>
  <c r="D89" i="6"/>
  <c r="A89" i="6"/>
  <c r="D96" i="6"/>
  <c r="A96" i="6"/>
  <c r="D61" i="6"/>
  <c r="A61" i="6"/>
  <c r="D78" i="6"/>
  <c r="A78" i="6"/>
  <c r="D43" i="6"/>
  <c r="A43" i="6"/>
  <c r="D56" i="6"/>
  <c r="A56" i="6"/>
  <c r="D25" i="6"/>
  <c r="A25" i="6"/>
  <c r="D71" i="6"/>
  <c r="A71" i="6"/>
  <c r="D63" i="6"/>
  <c r="A63" i="6"/>
  <c r="D45" i="6"/>
  <c r="A45" i="6"/>
  <c r="D70" i="6"/>
  <c r="A70" i="6"/>
  <c r="D44" i="6"/>
  <c r="A44" i="6"/>
  <c r="D72" i="6"/>
  <c r="A72" i="6"/>
  <c r="D59" i="6"/>
  <c r="A59" i="6"/>
  <c r="D93" i="6"/>
  <c r="A93" i="6"/>
  <c r="D66" i="6"/>
  <c r="A66" i="6"/>
  <c r="D13" i="6"/>
  <c r="A13" i="6"/>
  <c r="B13" i="6" s="1"/>
  <c r="BJ13" i="6" s="1"/>
  <c r="D62" i="6"/>
  <c r="A62" i="6"/>
  <c r="D68" i="6"/>
  <c r="A68" i="6"/>
  <c r="D54" i="6"/>
  <c r="A54" i="6"/>
  <c r="D94" i="6"/>
  <c r="A94" i="6"/>
  <c r="D79" i="6"/>
  <c r="A79" i="6"/>
  <c r="D47" i="6"/>
  <c r="A47" i="6"/>
  <c r="D27" i="6"/>
  <c r="A27" i="6"/>
  <c r="D48" i="6"/>
  <c r="A48" i="6"/>
  <c r="D87" i="6"/>
  <c r="A87" i="6"/>
  <c r="D77" i="6"/>
  <c r="A77" i="6"/>
  <c r="D88" i="6"/>
  <c r="A88" i="6"/>
  <c r="D53" i="6"/>
  <c r="A53" i="6"/>
  <c r="D37" i="6"/>
  <c r="A37" i="6"/>
  <c r="D74" i="6"/>
  <c r="A74" i="6"/>
  <c r="D50" i="6"/>
  <c r="A50" i="6"/>
  <c r="D58" i="6"/>
  <c r="A58" i="6"/>
  <c r="D81" i="6"/>
  <c r="A81" i="6"/>
  <c r="D42" i="6"/>
  <c r="A42" i="6"/>
  <c r="D67" i="6"/>
  <c r="A67" i="6"/>
  <c r="D82" i="6"/>
  <c r="A82" i="6"/>
  <c r="D24" i="6"/>
  <c r="A24" i="6"/>
  <c r="B24" i="6" s="1"/>
  <c r="BJ24" i="6" s="1"/>
  <c r="D52" i="6"/>
  <c r="A52" i="6"/>
  <c r="D29" i="6"/>
  <c r="A29" i="6"/>
  <c r="D21" i="6"/>
  <c r="A21" i="6"/>
  <c r="B21" i="6" s="1"/>
  <c r="BJ21" i="6" s="1"/>
  <c r="D69" i="6"/>
  <c r="A69" i="6"/>
  <c r="D23" i="6"/>
  <c r="A23" i="6"/>
  <c r="D33" i="6"/>
  <c r="A33" i="6"/>
  <c r="D26" i="6"/>
  <c r="A26" i="6"/>
  <c r="D39" i="6"/>
  <c r="A39" i="6"/>
  <c r="D18" i="6"/>
  <c r="A18" i="6"/>
  <c r="B18" i="6" s="1"/>
  <c r="BJ18" i="6" s="1"/>
  <c r="D30" i="6"/>
  <c r="A30" i="6"/>
  <c r="D65" i="6"/>
  <c r="A65" i="6"/>
  <c r="D28" i="6"/>
  <c r="A28" i="6"/>
  <c r="D46" i="6"/>
  <c r="A46" i="6"/>
  <c r="D14" i="6"/>
  <c r="A14" i="6"/>
  <c r="B14" i="6" s="1"/>
  <c r="BJ14" i="6" s="1"/>
  <c r="D31" i="6"/>
  <c r="A31" i="6"/>
  <c r="D41" i="6"/>
  <c r="A41" i="6"/>
  <c r="D12" i="6"/>
  <c r="A12" i="6"/>
  <c r="B12" i="6" s="1"/>
  <c r="BJ12" i="6" s="1"/>
  <c r="D32" i="6"/>
  <c r="A32" i="6"/>
  <c r="D51" i="6"/>
  <c r="A51" i="6"/>
  <c r="D38" i="6"/>
  <c r="A38" i="6"/>
  <c r="D36" i="6"/>
  <c r="A36" i="6"/>
  <c r="D19" i="6"/>
  <c r="A19" i="6"/>
  <c r="B19" i="6" s="1"/>
  <c r="BJ19" i="6" s="1"/>
  <c r="D11" i="6"/>
  <c r="A11" i="6"/>
  <c r="D17" i="6"/>
  <c r="A17" i="6"/>
  <c r="B17" i="6" s="1"/>
  <c r="BJ17" i="6" s="1"/>
  <c r="A15" i="6"/>
  <c r="D15" i="6"/>
  <c r="BA15" i="6"/>
  <c r="BB15" i="6" s="1"/>
  <c r="BC15" i="6"/>
  <c r="BD15" i="6" s="1"/>
  <c r="BG15" i="6"/>
  <c r="BH15" i="6"/>
  <c r="BI15" i="6"/>
  <c r="BK15" i="6"/>
  <c r="BL15" i="6"/>
  <c r="BM15" i="6"/>
  <c r="BN15" i="6"/>
  <c r="BO15" i="6"/>
  <c r="BP15" i="6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W13" i="5"/>
  <c r="BX13" i="5"/>
  <c r="BY13" i="5"/>
  <c r="BZ13" i="5"/>
  <c r="CA13" i="5"/>
  <c r="CB13" i="5"/>
  <c r="CC13" i="5"/>
  <c r="CD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W11" i="5"/>
  <c r="BX11" i="5"/>
  <c r="BY11" i="5"/>
  <c r="BZ11" i="5"/>
  <c r="CA11" i="5"/>
  <c r="CB11" i="5"/>
  <c r="CC11" i="5"/>
  <c r="CD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W26" i="5"/>
  <c r="BX26" i="5"/>
  <c r="BY26" i="5"/>
  <c r="BZ26" i="5"/>
  <c r="CA26" i="5"/>
  <c r="CB26" i="5"/>
  <c r="CC26" i="5"/>
  <c r="CD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W25" i="5"/>
  <c r="BX25" i="5"/>
  <c r="BY25" i="5"/>
  <c r="BZ25" i="5"/>
  <c r="CA25" i="5"/>
  <c r="CB25" i="5"/>
  <c r="CC25" i="5"/>
  <c r="CD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F26" i="5"/>
  <c r="A26" i="5"/>
  <c r="F11" i="5"/>
  <c r="A11" i="5"/>
  <c r="F13" i="5"/>
  <c r="A13" i="5"/>
  <c r="F25" i="5"/>
  <c r="A25" i="5"/>
  <c r="BJ114" i="23" l="1"/>
  <c r="CN114" i="23" s="1"/>
  <c r="BJ122" i="23"/>
  <c r="CN122" i="23" s="1"/>
  <c r="BK113" i="23"/>
  <c r="BK121" i="23"/>
  <c r="BL112" i="23"/>
  <c r="BL120" i="23"/>
  <c r="BM111" i="23"/>
  <c r="BM119" i="23"/>
  <c r="BN110" i="23"/>
  <c r="BN118" i="23"/>
  <c r="BO109" i="23"/>
  <c r="BO117" i="23"/>
  <c r="BO125" i="23"/>
  <c r="BP116" i="23"/>
  <c r="BP124" i="23"/>
  <c r="BQ115" i="23"/>
  <c r="BQ123" i="23"/>
  <c r="BS113" i="23"/>
  <c r="BS121" i="23"/>
  <c r="BT112" i="23"/>
  <c r="BT120" i="23"/>
  <c r="BU111" i="23"/>
  <c r="BV110" i="23"/>
  <c r="BV118" i="23"/>
  <c r="BW109" i="23"/>
  <c r="CC119" i="23"/>
  <c r="BK120" i="23"/>
  <c r="BM110" i="23"/>
  <c r="BN125" i="23"/>
  <c r="BJ115" i="23"/>
  <c r="CN115" i="23" s="1"/>
  <c r="BJ123" i="23"/>
  <c r="CN123" i="23" s="1"/>
  <c r="BK114" i="23"/>
  <c r="BK122" i="23"/>
  <c r="BL113" i="23"/>
  <c r="BL121" i="23"/>
  <c r="BM112" i="23"/>
  <c r="BM120" i="23"/>
  <c r="BN111" i="23"/>
  <c r="BN119" i="23"/>
  <c r="BO110" i="23"/>
  <c r="BO118" i="23"/>
  <c r="BP109" i="23"/>
  <c r="BP117" i="23"/>
  <c r="BP125" i="23"/>
  <c r="BQ116" i="23"/>
  <c r="BQ124" i="23"/>
  <c r="BR115" i="23"/>
  <c r="BR123" i="23"/>
  <c r="BT121" i="23"/>
  <c r="BU112" i="23"/>
  <c r="BU120" i="23"/>
  <c r="BW110" i="23"/>
  <c r="BW118" i="23"/>
  <c r="CB119" i="23"/>
  <c r="BJ116" i="23"/>
  <c r="CN116" i="23" s="1"/>
  <c r="BJ124" i="23"/>
  <c r="CN124" i="23" s="1"/>
  <c r="BK115" i="23"/>
  <c r="BK123" i="23"/>
  <c r="BL114" i="23"/>
  <c r="BL122" i="23"/>
  <c r="BM113" i="23"/>
  <c r="BM121" i="23"/>
  <c r="BN112" i="23"/>
  <c r="BN120" i="23"/>
  <c r="BO111" i="23"/>
  <c r="BO119" i="23"/>
  <c r="BP110" i="23"/>
  <c r="BP118" i="23"/>
  <c r="BQ109" i="23"/>
  <c r="BQ117" i="23"/>
  <c r="BQ125" i="23"/>
  <c r="BR116" i="23"/>
  <c r="BR124" i="23"/>
  <c r="BS115" i="23"/>
  <c r="BS123" i="23"/>
  <c r="BT114" i="23"/>
  <c r="BT122" i="23"/>
  <c r="BU121" i="23"/>
  <c r="CB114" i="23"/>
  <c r="CF110" i="23"/>
  <c r="BL111" i="23"/>
  <c r="BN117" i="23"/>
  <c r="BQ122" i="23"/>
  <c r="BJ109" i="23"/>
  <c r="CN109" i="23" s="1"/>
  <c r="BJ117" i="23"/>
  <c r="CN117" i="23" s="1"/>
  <c r="BJ125" i="23"/>
  <c r="CN125" i="23" s="1"/>
  <c r="BK116" i="23"/>
  <c r="BK124" i="23"/>
  <c r="BL115" i="23"/>
  <c r="BL123" i="23"/>
  <c r="BM114" i="23"/>
  <c r="BM122" i="23"/>
  <c r="BN113" i="23"/>
  <c r="BN121" i="23"/>
  <c r="BO112" i="23"/>
  <c r="BO120" i="23"/>
  <c r="BP111" i="23"/>
  <c r="BQ110" i="23"/>
  <c r="BQ118" i="23"/>
  <c r="BR109" i="23"/>
  <c r="BR117" i="23"/>
  <c r="BR125" i="23"/>
  <c r="BS116" i="23"/>
  <c r="BS124" i="23"/>
  <c r="BT123" i="23"/>
  <c r="BU114" i="23"/>
  <c r="BU122" i="23"/>
  <c r="BV113" i="23"/>
  <c r="BX119" i="23"/>
  <c r="CC114" i="23"/>
  <c r="CG110" i="23"/>
  <c r="BJ121" i="23"/>
  <c r="CN121" i="23" s="1"/>
  <c r="BN109" i="23"/>
  <c r="BO124" i="23"/>
  <c r="BR121" i="23"/>
  <c r="BT111" i="23"/>
  <c r="BV109" i="23"/>
  <c r="BW116" i="23"/>
  <c r="BJ110" i="23"/>
  <c r="CN110" i="23" s="1"/>
  <c r="BJ118" i="23"/>
  <c r="CN118" i="23" s="1"/>
  <c r="BK109" i="23"/>
  <c r="BK117" i="23"/>
  <c r="BK125" i="23"/>
  <c r="BL116" i="23"/>
  <c r="BL124" i="23"/>
  <c r="BM115" i="23"/>
  <c r="BM123" i="23"/>
  <c r="BN114" i="23"/>
  <c r="BN122" i="23"/>
  <c r="BO113" i="23"/>
  <c r="BO121" i="23"/>
  <c r="BP112" i="23"/>
  <c r="BP120" i="23"/>
  <c r="BQ111" i="23"/>
  <c r="BR118" i="23"/>
  <c r="BS109" i="23"/>
  <c r="BS117" i="23"/>
  <c r="BS125" i="23"/>
  <c r="BT124" i="23"/>
  <c r="BU123" i="23"/>
  <c r="BV114" i="23"/>
  <c r="BV122" i="23"/>
  <c r="BW113" i="23"/>
  <c r="BY119" i="23"/>
  <c r="CD114" i="23"/>
  <c r="CF120" i="23"/>
  <c r="BJ111" i="23"/>
  <c r="CN111" i="23" s="1"/>
  <c r="BJ119" i="23"/>
  <c r="CN119" i="23" s="1"/>
  <c r="BK110" i="23"/>
  <c r="BK118" i="23"/>
  <c r="BL109" i="23"/>
  <c r="BL117" i="23"/>
  <c r="BL125" i="23"/>
  <c r="BM116" i="23"/>
  <c r="BM124" i="23"/>
  <c r="BN115" i="23"/>
  <c r="BN123" i="23"/>
  <c r="BO114" i="23"/>
  <c r="BO122" i="23"/>
  <c r="BP113" i="23"/>
  <c r="BP121" i="23"/>
  <c r="BQ112" i="23"/>
  <c r="BQ120" i="23"/>
  <c r="BR111" i="23"/>
  <c r="BR119" i="23"/>
  <c r="BS118" i="23"/>
  <c r="BT117" i="23"/>
  <c r="BT125" i="23"/>
  <c r="BU124" i="23"/>
  <c r="BV115" i="23"/>
  <c r="BW114" i="23"/>
  <c r="BW122" i="23"/>
  <c r="CD115" i="23"/>
  <c r="CD123" i="23"/>
  <c r="CE114" i="23"/>
  <c r="CG120" i="23"/>
  <c r="BJ113" i="23"/>
  <c r="CN113" i="23" s="1"/>
  <c r="BL119" i="23"/>
  <c r="BO116" i="23"/>
  <c r="BP123" i="23"/>
  <c r="BS112" i="23"/>
  <c r="BJ112" i="23"/>
  <c r="CN112" i="23" s="1"/>
  <c r="BJ120" i="23"/>
  <c r="CN120" i="23" s="1"/>
  <c r="BK111" i="23"/>
  <c r="BK119" i="23"/>
  <c r="BL110" i="23"/>
  <c r="BL118" i="23"/>
  <c r="BM109" i="23"/>
  <c r="BM117" i="23"/>
  <c r="BM125" i="23"/>
  <c r="BN116" i="23"/>
  <c r="BN124" i="23"/>
  <c r="BO115" i="23"/>
  <c r="BO123" i="23"/>
  <c r="BP122" i="23"/>
  <c r="BQ113" i="23"/>
  <c r="BQ121" i="23"/>
  <c r="BR112" i="23"/>
  <c r="BS111" i="23"/>
  <c r="BS119" i="23"/>
  <c r="BU117" i="23"/>
  <c r="BU125" i="23"/>
  <c r="BV116" i="23"/>
  <c r="BW115" i="23"/>
  <c r="CD116" i="23"/>
  <c r="CE115" i="23"/>
  <c r="CE123" i="23"/>
  <c r="BK112" i="23"/>
  <c r="BM118" i="23"/>
  <c r="BP115" i="23"/>
  <c r="BR113" i="23"/>
  <c r="CE116" i="23"/>
  <c r="BV131" i="22"/>
  <c r="CT131" i="22" s="1"/>
  <c r="BV141" i="22"/>
  <c r="CT141" i="22" s="1"/>
  <c r="BW127" i="22"/>
  <c r="BW135" i="22"/>
  <c r="BW143" i="22"/>
  <c r="BX129" i="22"/>
  <c r="BX138" i="22"/>
  <c r="BY125" i="22"/>
  <c r="BY134" i="22"/>
  <c r="BY143" i="22"/>
  <c r="BZ129" i="22"/>
  <c r="BZ138" i="22"/>
  <c r="CA125" i="22"/>
  <c r="CU125" i="22" s="1"/>
  <c r="CA133" i="22"/>
  <c r="CU133" i="22" s="1"/>
  <c r="CA141" i="22"/>
  <c r="CU141" i="22" s="1"/>
  <c r="CB127" i="22"/>
  <c r="CB136" i="22"/>
  <c r="CB145" i="22"/>
  <c r="CC131" i="22"/>
  <c r="CC141" i="22"/>
  <c r="CD127" i="22"/>
  <c r="CD136" i="22"/>
  <c r="CD145" i="22"/>
  <c r="CE131" i="22"/>
  <c r="CE139" i="22"/>
  <c r="CF125" i="22"/>
  <c r="CV125" i="22" s="1"/>
  <c r="CF134" i="22"/>
  <c r="CV134" i="22" s="1"/>
  <c r="CF143" i="22"/>
  <c r="CV143" i="22" s="1"/>
  <c r="CG129" i="22"/>
  <c r="CG138" i="22"/>
  <c r="CH125" i="22"/>
  <c r="CH134" i="22"/>
  <c r="CH143" i="22"/>
  <c r="CI129" i="22"/>
  <c r="CJ131" i="22"/>
  <c r="CK143" i="22"/>
  <c r="CO137" i="22"/>
  <c r="CP139" i="22"/>
  <c r="CQ125" i="22"/>
  <c r="CW125" i="22" s="1"/>
  <c r="CQ133" i="22"/>
  <c r="CW133" i="22" s="1"/>
  <c r="CQ141" i="22"/>
  <c r="CW141" i="22" s="1"/>
  <c r="CR127" i="22"/>
  <c r="CR136" i="22"/>
  <c r="CR145" i="22"/>
  <c r="CS131" i="22"/>
  <c r="CS141" i="22"/>
  <c r="BV133" i="22"/>
  <c r="CT133" i="22" s="1"/>
  <c r="BV142" i="22"/>
  <c r="BW128" i="22"/>
  <c r="BW136" i="22"/>
  <c r="BW144" i="22"/>
  <c r="BX130" i="22"/>
  <c r="BX139" i="22"/>
  <c r="BY126" i="22"/>
  <c r="BY135" i="22"/>
  <c r="BY144" i="22"/>
  <c r="BZ130" i="22"/>
  <c r="BZ139" i="22"/>
  <c r="CA126" i="22"/>
  <c r="CA134" i="22"/>
  <c r="CA142" i="22"/>
  <c r="CB128" i="22"/>
  <c r="CB137" i="22"/>
  <c r="CB146" i="22"/>
  <c r="CC133" i="22"/>
  <c r="CC142" i="22"/>
  <c r="CD128" i="22"/>
  <c r="CD137" i="22"/>
  <c r="CD146" i="22"/>
  <c r="CE132" i="22"/>
  <c r="CE140" i="22"/>
  <c r="CF126" i="22"/>
  <c r="CV126" i="22" s="1"/>
  <c r="CF135" i="22"/>
  <c r="CV135" i="22" s="1"/>
  <c r="CF144" i="22"/>
  <c r="CG130" i="22"/>
  <c r="CG139" i="22"/>
  <c r="CH126" i="22"/>
  <c r="CH135" i="22"/>
  <c r="CH144" i="22"/>
  <c r="CL130" i="22"/>
  <c r="CN136" i="22"/>
  <c r="CQ126" i="22"/>
  <c r="CW126" i="22" s="1"/>
  <c r="CQ134" i="22"/>
  <c r="CQ142" i="22"/>
  <c r="CW142" i="22" s="1"/>
  <c r="CR128" i="22"/>
  <c r="CR137" i="22"/>
  <c r="CR146" i="22"/>
  <c r="CS133" i="22"/>
  <c r="CS142" i="22"/>
  <c r="BV125" i="22"/>
  <c r="CT125" i="22" s="1"/>
  <c r="BV134" i="22"/>
  <c r="BV143" i="22"/>
  <c r="CT143" i="22" s="1"/>
  <c r="CX143" i="22" s="1"/>
  <c r="BW129" i="22"/>
  <c r="BW137" i="22"/>
  <c r="BW145" i="22"/>
  <c r="BX131" i="22"/>
  <c r="BX141" i="22"/>
  <c r="BY127" i="22"/>
  <c r="BY136" i="22"/>
  <c r="BY145" i="22"/>
  <c r="BZ131" i="22"/>
  <c r="BZ141" i="22"/>
  <c r="CA127" i="22"/>
  <c r="CA135" i="22"/>
  <c r="CU135" i="22" s="1"/>
  <c r="CA143" i="22"/>
  <c r="CU143" i="22" s="1"/>
  <c r="CB129" i="22"/>
  <c r="CB138" i="22"/>
  <c r="CC125" i="22"/>
  <c r="CC134" i="22"/>
  <c r="CC143" i="22"/>
  <c r="CD129" i="22"/>
  <c r="CD138" i="22"/>
  <c r="CE125" i="22"/>
  <c r="CE133" i="22"/>
  <c r="CE141" i="22"/>
  <c r="CF127" i="22"/>
  <c r="CF136" i="22"/>
  <c r="CF145" i="22"/>
  <c r="CV145" i="22" s="1"/>
  <c r="CG131" i="22"/>
  <c r="CG141" i="22"/>
  <c r="CH127" i="22"/>
  <c r="CH136" i="22"/>
  <c r="CH145" i="22"/>
  <c r="CJ125" i="22"/>
  <c r="CJ133" i="22"/>
  <c r="CK127" i="22"/>
  <c r="CN137" i="22"/>
  <c r="CO139" i="22"/>
  <c r="CP133" i="22"/>
  <c r="CP141" i="22"/>
  <c r="CQ127" i="22"/>
  <c r="CQ135" i="22"/>
  <c r="CW135" i="22" s="1"/>
  <c r="CQ143" i="22"/>
  <c r="CW143" i="22" s="1"/>
  <c r="CR129" i="22"/>
  <c r="CR138" i="22"/>
  <c r="CS125" i="22"/>
  <c r="CS134" i="22"/>
  <c r="CS143" i="22"/>
  <c r="BV126" i="22"/>
  <c r="BV135" i="22"/>
  <c r="CT135" i="22" s="1"/>
  <c r="CX135" i="22" s="1"/>
  <c r="BV144" i="22"/>
  <c r="BW130" i="22"/>
  <c r="BW138" i="22"/>
  <c r="BW146" i="22"/>
  <c r="BX133" i="22"/>
  <c r="BX142" i="22"/>
  <c r="CT142" i="22" s="1"/>
  <c r="CX142" i="22" s="1"/>
  <c r="BY128" i="22"/>
  <c r="BY137" i="22"/>
  <c r="BY146" i="22"/>
  <c r="BZ133" i="22"/>
  <c r="BZ142" i="22"/>
  <c r="CA128" i="22"/>
  <c r="CA136" i="22"/>
  <c r="CA144" i="22"/>
  <c r="CB130" i="22"/>
  <c r="CB139" i="22"/>
  <c r="CC126" i="22"/>
  <c r="CC135" i="22"/>
  <c r="CC144" i="22"/>
  <c r="CD130" i="22"/>
  <c r="CD139" i="22"/>
  <c r="CE126" i="22"/>
  <c r="CE134" i="22"/>
  <c r="CE142" i="22"/>
  <c r="CF128" i="22"/>
  <c r="CF137" i="22"/>
  <c r="CV137" i="22" s="1"/>
  <c r="CF146" i="22"/>
  <c r="CG133" i="22"/>
  <c r="CG142" i="22"/>
  <c r="CH128" i="22"/>
  <c r="CH137" i="22"/>
  <c r="CH146" i="22"/>
  <c r="CJ134" i="22"/>
  <c r="CK128" i="22"/>
  <c r="CK146" i="22"/>
  <c r="CN130" i="22"/>
  <c r="CP134" i="22"/>
  <c r="CQ128" i="22"/>
  <c r="CQ136" i="22"/>
  <c r="CQ144" i="22"/>
  <c r="CW144" i="22" s="1"/>
  <c r="CR130" i="22"/>
  <c r="CR139" i="22"/>
  <c r="CS126" i="22"/>
  <c r="CS135" i="22"/>
  <c r="CS144" i="22"/>
  <c r="BV127" i="22"/>
  <c r="BV136" i="22"/>
  <c r="BV145" i="22"/>
  <c r="CT145" i="22" s="1"/>
  <c r="BW131" i="22"/>
  <c r="BW139" i="22"/>
  <c r="BX125" i="22"/>
  <c r="BX134" i="22"/>
  <c r="BX143" i="22"/>
  <c r="BY129" i="22"/>
  <c r="BY138" i="22"/>
  <c r="BZ125" i="22"/>
  <c r="BZ134" i="22"/>
  <c r="BZ143" i="22"/>
  <c r="CA129" i="22"/>
  <c r="CU129" i="22" s="1"/>
  <c r="CA137" i="22"/>
  <c r="CU137" i="22" s="1"/>
  <c r="CA145" i="22"/>
  <c r="CU145" i="22" s="1"/>
  <c r="CB131" i="22"/>
  <c r="CB141" i="22"/>
  <c r="CC127" i="22"/>
  <c r="CC136" i="22"/>
  <c r="CC145" i="22"/>
  <c r="CD131" i="22"/>
  <c r="CD141" i="22"/>
  <c r="CE127" i="22"/>
  <c r="CE135" i="22"/>
  <c r="CE143" i="22"/>
  <c r="CF129" i="22"/>
  <c r="CV129" i="22" s="1"/>
  <c r="CF138" i="22"/>
  <c r="CG125" i="22"/>
  <c r="CG134" i="22"/>
  <c r="CG143" i="22"/>
  <c r="CH129" i="22"/>
  <c r="CH138" i="22"/>
  <c r="CI125" i="22"/>
  <c r="CJ135" i="22"/>
  <c r="CK138" i="22"/>
  <c r="CN139" i="22"/>
  <c r="CO141" i="22"/>
  <c r="CQ129" i="22"/>
  <c r="CW129" i="22" s="1"/>
  <c r="CQ137" i="22"/>
  <c r="CW137" i="22" s="1"/>
  <c r="CQ145" i="22"/>
  <c r="CW145" i="22" s="1"/>
  <c r="CR131" i="22"/>
  <c r="CR141" i="22"/>
  <c r="CS127" i="22"/>
  <c r="CS136" i="22"/>
  <c r="CS145" i="22"/>
  <c r="BV128" i="22"/>
  <c r="BV137" i="22"/>
  <c r="CT137" i="22" s="1"/>
  <c r="BV146" i="22"/>
  <c r="CT146" i="22" s="1"/>
  <c r="CX146" i="22" s="1"/>
  <c r="BW132" i="22"/>
  <c r="BW140" i="22"/>
  <c r="BX126" i="22"/>
  <c r="BX135" i="22"/>
  <c r="BX144" i="22"/>
  <c r="BY130" i="22"/>
  <c r="BY139" i="22"/>
  <c r="BZ126" i="22"/>
  <c r="BZ135" i="22"/>
  <c r="BZ144" i="22"/>
  <c r="CA130" i="22"/>
  <c r="CA138" i="22"/>
  <c r="CA146" i="22"/>
  <c r="CB133" i="22"/>
  <c r="CB142" i="22"/>
  <c r="CU142" i="22" s="1"/>
  <c r="CC128" i="22"/>
  <c r="CC137" i="22"/>
  <c r="CC146" i="22"/>
  <c r="CD133" i="22"/>
  <c r="CD142" i="22"/>
  <c r="CE128" i="22"/>
  <c r="CE136" i="22"/>
  <c r="CE144" i="22"/>
  <c r="CF130" i="22"/>
  <c r="CF139" i="22"/>
  <c r="CV139" i="22" s="1"/>
  <c r="CG126" i="22"/>
  <c r="CG135" i="22"/>
  <c r="CG144" i="22"/>
  <c r="CH130" i="22"/>
  <c r="CH139" i="22"/>
  <c r="CI126" i="22"/>
  <c r="CM130" i="22"/>
  <c r="CM146" i="22"/>
  <c r="CQ130" i="22"/>
  <c r="CW130" i="22" s="1"/>
  <c r="CQ138" i="22"/>
  <c r="CW138" i="22" s="1"/>
  <c r="CQ146" i="22"/>
  <c r="CW146" i="22" s="1"/>
  <c r="CR133" i="22"/>
  <c r="CR142" i="22"/>
  <c r="CS128" i="22"/>
  <c r="CS137" i="22"/>
  <c r="CS146" i="22"/>
  <c r="BV129" i="22"/>
  <c r="CT129" i="22" s="1"/>
  <c r="BV138" i="22"/>
  <c r="CT138" i="22" s="1"/>
  <c r="CX138" i="22" s="1"/>
  <c r="BW125" i="22"/>
  <c r="BW133" i="22"/>
  <c r="BW141" i="22"/>
  <c r="BX127" i="22"/>
  <c r="BX136" i="22"/>
  <c r="BX145" i="22"/>
  <c r="BY131" i="22"/>
  <c r="BY141" i="22"/>
  <c r="BZ127" i="22"/>
  <c r="BZ136" i="22"/>
  <c r="BZ145" i="22"/>
  <c r="CA131" i="22"/>
  <c r="CU131" i="22" s="1"/>
  <c r="CX131" i="22" s="1"/>
  <c r="CA139" i="22"/>
  <c r="CU139" i="22" s="1"/>
  <c r="CB125" i="22"/>
  <c r="CB134" i="22"/>
  <c r="CU134" i="22" s="1"/>
  <c r="CB143" i="22"/>
  <c r="CC129" i="22"/>
  <c r="CC138" i="22"/>
  <c r="CD125" i="22"/>
  <c r="CD134" i="22"/>
  <c r="CD143" i="22"/>
  <c r="CE129" i="22"/>
  <c r="CE137" i="22"/>
  <c r="CE145" i="22"/>
  <c r="CF131" i="22"/>
  <c r="CV131" i="22" s="1"/>
  <c r="CF141" i="22"/>
  <c r="CV141" i="22" s="1"/>
  <c r="CG127" i="22"/>
  <c r="CG136" i="22"/>
  <c r="CG145" i="22"/>
  <c r="CH131" i="22"/>
  <c r="CH141" i="22"/>
  <c r="CK141" i="22"/>
  <c r="CN133" i="22"/>
  <c r="CN141" i="22"/>
  <c r="CP137" i="22"/>
  <c r="CQ131" i="22"/>
  <c r="CW131" i="22" s="1"/>
  <c r="CQ139" i="22"/>
  <c r="CR125" i="22"/>
  <c r="CR134" i="22"/>
  <c r="CW134" i="22" s="1"/>
  <c r="CR143" i="22"/>
  <c r="CS129" i="22"/>
  <c r="CS138" i="22"/>
  <c r="BV130" i="22"/>
  <c r="CT130" i="22" s="1"/>
  <c r="CX130" i="22" s="1"/>
  <c r="BV139" i="22"/>
  <c r="CT139" i="22" s="1"/>
  <c r="BW126" i="22"/>
  <c r="BW134" i="22"/>
  <c r="BW142" i="22"/>
  <c r="BX128" i="22"/>
  <c r="BX137" i="22"/>
  <c r="BX146" i="22"/>
  <c r="BY133" i="22"/>
  <c r="BY142" i="22"/>
  <c r="BZ128" i="22"/>
  <c r="BZ137" i="22"/>
  <c r="BZ146" i="22"/>
  <c r="CA132" i="22"/>
  <c r="CU132" i="22" s="1"/>
  <c r="CA140" i="22"/>
  <c r="CB126" i="22"/>
  <c r="CB135" i="22"/>
  <c r="CB144" i="22"/>
  <c r="CC130" i="22"/>
  <c r="CC139" i="22"/>
  <c r="CD126" i="22"/>
  <c r="CD135" i="22"/>
  <c r="CD144" i="22"/>
  <c r="CE130" i="22"/>
  <c r="CE138" i="22"/>
  <c r="CE146" i="22"/>
  <c r="CF133" i="22"/>
  <c r="CV133" i="22" s="1"/>
  <c r="CX133" i="22" s="1"/>
  <c r="CF142" i="22"/>
  <c r="CV142" i="22" s="1"/>
  <c r="CG128" i="22"/>
  <c r="CG137" i="22"/>
  <c r="CG146" i="22"/>
  <c r="CH133" i="22"/>
  <c r="CH142" i="22"/>
  <c r="CN134" i="22"/>
  <c r="CO136" i="22"/>
  <c r="CP130" i="22"/>
  <c r="CQ132" i="22"/>
  <c r="CW132" i="22" s="1"/>
  <c r="CQ140" i="22"/>
  <c r="CR126" i="22"/>
  <c r="CR135" i="22"/>
  <c r="CR144" i="22"/>
  <c r="CS130" i="22"/>
  <c r="CS139" i="22"/>
  <c r="BV140" i="22"/>
  <c r="BX132" i="22"/>
  <c r="CG140" i="22"/>
  <c r="CH140" i="22"/>
  <c r="BV132" i="22"/>
  <c r="CR140" i="22"/>
  <c r="CG132" i="22"/>
  <c r="CH132" i="22"/>
  <c r="CR132" i="22"/>
  <c r="CC140" i="22"/>
  <c r="CD140" i="22"/>
  <c r="CF140" i="22"/>
  <c r="CC132" i="22"/>
  <c r="CD132" i="22"/>
  <c r="CF132" i="22"/>
  <c r="CV132" i="22" s="1"/>
  <c r="CS140" i="22"/>
  <c r="BY140" i="22"/>
  <c r="BZ140" i="22"/>
  <c r="CB140" i="22"/>
  <c r="CS132" i="22"/>
  <c r="BY132" i="22"/>
  <c r="BZ132" i="22"/>
  <c r="CL132" i="22"/>
  <c r="CB132" i="22"/>
  <c r="CK140" i="22"/>
  <c r="CL140" i="22"/>
  <c r="CK132" i="22"/>
  <c r="BX140" i="22"/>
  <c r="E18" i="9"/>
  <c r="AK18" i="9"/>
  <c r="D18" i="9"/>
  <c r="AJ18" i="9"/>
  <c r="N18" i="9"/>
  <c r="AY18" i="9"/>
  <c r="AH18" i="9"/>
  <c r="T18" i="9"/>
  <c r="L18" i="9"/>
  <c r="AG18" i="9"/>
  <c r="K18" i="9"/>
  <c r="AF18" i="9"/>
  <c r="J18" i="9"/>
  <c r="AI18" i="9"/>
  <c r="AX18" i="9"/>
  <c r="S18" i="9"/>
  <c r="R18" i="9"/>
  <c r="M18" i="9"/>
  <c r="AW18" i="9"/>
  <c r="AV18" i="9"/>
  <c r="AE18" i="9"/>
  <c r="Q18" i="9"/>
  <c r="AZ18" i="9"/>
  <c r="AU18" i="9"/>
  <c r="AD18" i="9"/>
  <c r="P18" i="9"/>
  <c r="O18" i="9"/>
  <c r="E65" i="9"/>
  <c r="Z65" i="9"/>
  <c r="R65" i="9"/>
  <c r="Q65" i="9"/>
  <c r="O65" i="9"/>
  <c r="Y65" i="9"/>
  <c r="W65" i="9"/>
  <c r="X65" i="9"/>
  <c r="P65" i="9"/>
  <c r="AG65" i="9"/>
  <c r="AF65" i="9"/>
  <c r="V65" i="9"/>
  <c r="N65" i="9"/>
  <c r="L65" i="9"/>
  <c r="D65" i="9"/>
  <c r="AC65" i="9"/>
  <c r="AE65" i="9"/>
  <c r="U65" i="9"/>
  <c r="K65" i="9"/>
  <c r="AA65" i="9"/>
  <c r="M65" i="9"/>
  <c r="AD65" i="9"/>
  <c r="AB65" i="9"/>
  <c r="T65" i="9"/>
  <c r="J65" i="9"/>
  <c r="S65" i="9"/>
  <c r="L17" i="9"/>
  <c r="AU17" i="9"/>
  <c r="AD17" i="9"/>
  <c r="S17" i="9"/>
  <c r="K17" i="9"/>
  <c r="J17" i="9"/>
  <c r="P17" i="9"/>
  <c r="R17" i="9"/>
  <c r="AK17" i="9"/>
  <c r="AJ17" i="9"/>
  <c r="Q17" i="9"/>
  <c r="AI17" i="9"/>
  <c r="AE17" i="9"/>
  <c r="E17" i="9"/>
  <c r="AZ17" i="9"/>
  <c r="T17" i="9"/>
  <c r="D17" i="9"/>
  <c r="AY17" i="9"/>
  <c r="AH17" i="9"/>
  <c r="O17" i="9"/>
  <c r="AX17" i="9"/>
  <c r="AG17" i="9"/>
  <c r="N17" i="9"/>
  <c r="AW17" i="9"/>
  <c r="AF17" i="9"/>
  <c r="M17" i="9"/>
  <c r="AV17" i="9"/>
  <c r="E52" i="5"/>
  <c r="D19" i="5"/>
  <c r="D65" i="5"/>
  <c r="D82" i="5"/>
  <c r="E71" i="5"/>
  <c r="D96" i="5"/>
  <c r="E102" i="5"/>
  <c r="D68" i="5"/>
  <c r="E67" i="5"/>
  <c r="D98" i="5"/>
  <c r="E62" i="5"/>
  <c r="D64" i="5"/>
  <c r="E70" i="5"/>
  <c r="D45" i="5"/>
  <c r="E78" i="5"/>
  <c r="D103" i="5"/>
  <c r="E63" i="5"/>
  <c r="E76" i="5"/>
  <c r="E99" i="5"/>
  <c r="D34" i="5"/>
  <c r="E60" i="5"/>
  <c r="D42" i="5"/>
  <c r="E55" i="5"/>
  <c r="E23" i="5"/>
  <c r="E34" i="5"/>
  <c r="E42" i="5"/>
  <c r="D72" i="5"/>
  <c r="D22" i="5"/>
  <c r="E19" i="5"/>
  <c r="E65" i="5"/>
  <c r="D16" i="5"/>
  <c r="E82" i="5"/>
  <c r="E96" i="5"/>
  <c r="D87" i="5"/>
  <c r="E68" i="5"/>
  <c r="D83" i="5"/>
  <c r="E98" i="5"/>
  <c r="D61" i="5"/>
  <c r="E64" i="5"/>
  <c r="E45" i="5"/>
  <c r="D77" i="5"/>
  <c r="D15" i="5"/>
  <c r="E103" i="5"/>
  <c r="D79" i="5"/>
  <c r="E72" i="5"/>
  <c r="D37" i="5"/>
  <c r="E22" i="5"/>
  <c r="D93" i="5"/>
  <c r="D33" i="5"/>
  <c r="E16" i="5"/>
  <c r="D36" i="5"/>
  <c r="D66" i="5"/>
  <c r="E87" i="5"/>
  <c r="D35" i="5"/>
  <c r="E83" i="5"/>
  <c r="E61" i="5"/>
  <c r="D97" i="5"/>
  <c r="E77" i="5"/>
  <c r="E15" i="5"/>
  <c r="E79" i="5"/>
  <c r="E37" i="5"/>
  <c r="E93" i="5"/>
  <c r="D21" i="5"/>
  <c r="D73" i="5"/>
  <c r="E33" i="5"/>
  <c r="D100" i="5"/>
  <c r="E36" i="5"/>
  <c r="D24" i="5"/>
  <c r="E66" i="5"/>
  <c r="D40" i="5"/>
  <c r="E35" i="5"/>
  <c r="E97" i="5"/>
  <c r="D90" i="5"/>
  <c r="D50" i="5"/>
  <c r="D91" i="5"/>
  <c r="D94" i="5"/>
  <c r="D53" i="5"/>
  <c r="D23" i="5"/>
  <c r="E21" i="5"/>
  <c r="E73" i="5"/>
  <c r="D41" i="5"/>
  <c r="E100" i="5"/>
  <c r="D56" i="5"/>
  <c r="E24" i="5"/>
  <c r="D74" i="5"/>
  <c r="E40" i="5"/>
  <c r="D39" i="5"/>
  <c r="D84" i="5"/>
  <c r="E90" i="5"/>
  <c r="D86" i="5"/>
  <c r="E50" i="5"/>
  <c r="D59" i="5"/>
  <c r="D31" i="5"/>
  <c r="E91" i="5"/>
  <c r="E94" i="5"/>
  <c r="D80" i="5"/>
  <c r="E53" i="5"/>
  <c r="D51" i="5"/>
  <c r="D88" i="5"/>
  <c r="D95" i="5"/>
  <c r="E41" i="5"/>
  <c r="E56" i="5"/>
  <c r="D58" i="5"/>
  <c r="E74" i="5"/>
  <c r="D49" i="5"/>
  <c r="D92" i="5"/>
  <c r="E39" i="5"/>
  <c r="D44" i="5"/>
  <c r="E84" i="5"/>
  <c r="D43" i="5"/>
  <c r="E86" i="5"/>
  <c r="E59" i="5"/>
  <c r="D57" i="5"/>
  <c r="E31" i="5"/>
  <c r="D47" i="5"/>
  <c r="E80" i="5"/>
  <c r="D38" i="5"/>
  <c r="E51" i="5"/>
  <c r="D28" i="5"/>
  <c r="E88" i="5"/>
  <c r="E95" i="5"/>
  <c r="D89" i="5"/>
  <c r="E58" i="5"/>
  <c r="E49" i="5"/>
  <c r="D54" i="5"/>
  <c r="E92" i="5"/>
  <c r="D48" i="5"/>
  <c r="E44" i="5"/>
  <c r="D101" i="5"/>
  <c r="E43" i="5"/>
  <c r="E57" i="5"/>
  <c r="E47" i="5"/>
  <c r="D63" i="5"/>
  <c r="D76" i="5"/>
  <c r="D99" i="5"/>
  <c r="D60" i="5"/>
  <c r="E38" i="5"/>
  <c r="D55" i="5"/>
  <c r="E28" i="5"/>
  <c r="D52" i="5"/>
  <c r="E89" i="5"/>
  <c r="D71" i="5"/>
  <c r="E54" i="5"/>
  <c r="D102" i="5"/>
  <c r="E48" i="5"/>
  <c r="D67" i="5"/>
  <c r="E101" i="5"/>
  <c r="D62" i="5"/>
  <c r="D70" i="5"/>
  <c r="D78" i="5"/>
  <c r="D29" i="5"/>
  <c r="E29" i="5"/>
  <c r="BE71" i="6"/>
  <c r="BF71" i="6" s="1"/>
  <c r="BE11" i="6"/>
  <c r="BF11" i="6" s="1"/>
  <c r="BE29" i="6"/>
  <c r="BF29" i="6" s="1"/>
  <c r="BE50" i="6"/>
  <c r="BF50" i="6" s="1"/>
  <c r="BE62" i="6"/>
  <c r="BF62" i="6" s="1"/>
  <c r="AF17" i="37"/>
  <c r="AV17" i="37"/>
  <c r="AD17" i="37"/>
  <c r="AJ17" i="37"/>
  <c r="S17" i="37"/>
  <c r="AX17" i="37"/>
  <c r="AW17" i="37"/>
  <c r="AI17" i="37"/>
  <c r="AG17" i="37"/>
  <c r="T17" i="37"/>
  <c r="AY17" i="37"/>
  <c r="AU17" i="37"/>
  <c r="Q17" i="37"/>
  <c r="G17" i="37" s="1"/>
  <c r="AE17" i="37"/>
  <c r="AH17" i="37"/>
  <c r="R17" i="37"/>
  <c r="BE19" i="6"/>
  <c r="BF19" i="6" s="1"/>
  <c r="BE68" i="6"/>
  <c r="BF68" i="6" s="1"/>
  <c r="BQ44" i="6"/>
  <c r="BQ63" i="6"/>
  <c r="P57" i="38"/>
  <c r="AG56" i="38"/>
  <c r="X56" i="38"/>
  <c r="O56" i="38"/>
  <c r="N56" i="38"/>
  <c r="AG57" i="38"/>
  <c r="Q57" i="38"/>
  <c r="D57" i="38"/>
  <c r="Y56" i="38"/>
  <c r="P56" i="38"/>
  <c r="Y57" i="38"/>
  <c r="E57" i="38"/>
  <c r="S56" i="38"/>
  <c r="AA56" i="38"/>
  <c r="Z56" i="38"/>
  <c r="Q56" i="38"/>
  <c r="D56" i="38"/>
  <c r="K56" i="38"/>
  <c r="AA57" i="38"/>
  <c r="Z57" i="38"/>
  <c r="R56" i="38"/>
  <c r="E56" i="38"/>
  <c r="AC57" i="38"/>
  <c r="AB57" i="38"/>
  <c r="S57" i="38"/>
  <c r="R57" i="38"/>
  <c r="I56" i="38"/>
  <c r="AD57" i="38"/>
  <c r="U57" i="38"/>
  <c r="T57" i="38"/>
  <c r="K57" i="38"/>
  <c r="I57" i="38"/>
  <c r="AE57" i="38"/>
  <c r="V57" i="38"/>
  <c r="M57" i="38"/>
  <c r="L57" i="38"/>
  <c r="AC56" i="38"/>
  <c r="AB56" i="38"/>
  <c r="AF57" i="38"/>
  <c r="W57" i="38"/>
  <c r="N57" i="38"/>
  <c r="AE56" i="38"/>
  <c r="AD56" i="38"/>
  <c r="U56" i="38"/>
  <c r="T56" i="38"/>
  <c r="X57" i="38"/>
  <c r="O57" i="38"/>
  <c r="AF56" i="38"/>
  <c r="W56" i="38"/>
  <c r="V56" i="38"/>
  <c r="M56" i="38"/>
  <c r="L56" i="38"/>
  <c r="BQ11" i="6"/>
  <c r="BQ62" i="6"/>
  <c r="O46" i="9"/>
  <c r="P45" i="9"/>
  <c r="J42" i="9"/>
  <c r="K41" i="9"/>
  <c r="L40" i="9"/>
  <c r="M39" i="9"/>
  <c r="N38" i="9"/>
  <c r="N46" i="9"/>
  <c r="O45" i="9"/>
  <c r="P44" i="9"/>
  <c r="J41" i="9"/>
  <c r="K40" i="9"/>
  <c r="L39" i="9"/>
  <c r="M38" i="9"/>
  <c r="M46" i="9"/>
  <c r="N45" i="9"/>
  <c r="O44" i="9"/>
  <c r="P42" i="9"/>
  <c r="J40" i="9"/>
  <c r="K39" i="9"/>
  <c r="L38" i="9"/>
  <c r="L46" i="9"/>
  <c r="M45" i="9"/>
  <c r="N44" i="9"/>
  <c r="O42" i="9"/>
  <c r="P41" i="9"/>
  <c r="J39" i="9"/>
  <c r="K38" i="9"/>
  <c r="K46" i="9"/>
  <c r="L45" i="9"/>
  <c r="M44" i="9"/>
  <c r="N42" i="9"/>
  <c r="O41" i="9"/>
  <c r="P40" i="9"/>
  <c r="J38" i="9"/>
  <c r="J46" i="9"/>
  <c r="K45" i="9"/>
  <c r="L44" i="9"/>
  <c r="M42" i="9"/>
  <c r="N41" i="9"/>
  <c r="O40" i="9"/>
  <c r="P39" i="9"/>
  <c r="J45" i="9"/>
  <c r="K44" i="9"/>
  <c r="L42" i="9"/>
  <c r="M41" i="9"/>
  <c r="N40" i="9"/>
  <c r="O39" i="9"/>
  <c r="P38" i="9"/>
  <c r="P46" i="9"/>
  <c r="J44" i="9"/>
  <c r="K42" i="9"/>
  <c r="L41" i="9"/>
  <c r="M40" i="9"/>
  <c r="N39" i="9"/>
  <c r="O38" i="9"/>
  <c r="BE66" i="6"/>
  <c r="BF66" i="6" s="1"/>
  <c r="BQ78" i="6"/>
  <c r="AF71" i="9"/>
  <c r="AA72" i="9"/>
  <c r="Y72" i="9"/>
  <c r="Q72" i="9"/>
  <c r="U71" i="9"/>
  <c r="U57" i="9"/>
  <c r="K72" i="9"/>
  <c r="N71" i="9"/>
  <c r="AE71" i="9"/>
  <c r="Z72" i="9"/>
  <c r="X72" i="9"/>
  <c r="P72" i="9"/>
  <c r="T71" i="9"/>
  <c r="T57" i="9"/>
  <c r="M71" i="9"/>
  <c r="E72" i="9"/>
  <c r="AG72" i="9"/>
  <c r="AD71" i="9"/>
  <c r="AB71" i="9"/>
  <c r="W72" i="9"/>
  <c r="O72" i="9"/>
  <c r="S71" i="9"/>
  <c r="S57" i="9"/>
  <c r="L71" i="9"/>
  <c r="J72" i="9"/>
  <c r="D72" i="9"/>
  <c r="V71" i="9"/>
  <c r="N57" i="9"/>
  <c r="AF72" i="9"/>
  <c r="AC71" i="9"/>
  <c r="AG57" i="9"/>
  <c r="AB57" i="9"/>
  <c r="AA71" i="9"/>
  <c r="V72" i="9"/>
  <c r="N72" i="9"/>
  <c r="R71" i="9"/>
  <c r="R57" i="9"/>
  <c r="K71" i="9"/>
  <c r="J71" i="9"/>
  <c r="E71" i="9"/>
  <c r="E57" i="9"/>
  <c r="R72" i="9"/>
  <c r="V57" i="9"/>
  <c r="AE72" i="9"/>
  <c r="AF57" i="9"/>
  <c r="AA57" i="9"/>
  <c r="Z71" i="9"/>
  <c r="U72" i="9"/>
  <c r="Y71" i="9"/>
  <c r="Q71" i="9"/>
  <c r="Y57" i="9"/>
  <c r="Q57" i="9"/>
  <c r="D71" i="9"/>
  <c r="D57" i="9"/>
  <c r="AC57" i="9"/>
  <c r="K57" i="9"/>
  <c r="AD72" i="9"/>
  <c r="AE57" i="9"/>
  <c r="Z57" i="9"/>
  <c r="T72" i="9"/>
  <c r="X71" i="9"/>
  <c r="P71" i="9"/>
  <c r="X57" i="9"/>
  <c r="P57" i="9"/>
  <c r="M57" i="9"/>
  <c r="AB72" i="9"/>
  <c r="AC72" i="9"/>
  <c r="AD57" i="9"/>
  <c r="S72" i="9"/>
  <c r="W71" i="9"/>
  <c r="O71" i="9"/>
  <c r="W57" i="9"/>
  <c r="O57" i="9"/>
  <c r="M72" i="9"/>
  <c r="L57" i="9"/>
  <c r="AG71" i="9"/>
  <c r="L72" i="9"/>
  <c r="BQ89" i="6"/>
  <c r="BQ95" i="6"/>
  <c r="AE19" i="9"/>
  <c r="AJ11" i="9"/>
  <c r="O11" i="9"/>
  <c r="D11" i="9"/>
  <c r="N19" i="9"/>
  <c r="AY19" i="9"/>
  <c r="E19" i="9"/>
  <c r="P19" i="9"/>
  <c r="AH19" i="9"/>
  <c r="AW11" i="9"/>
  <c r="AX11" i="9"/>
  <c r="AW19" i="9"/>
  <c r="AI19" i="9"/>
  <c r="P11" i="9"/>
  <c r="AD11" i="9"/>
  <c r="AV11" i="9"/>
  <c r="AU19" i="9"/>
  <c r="AV19" i="9"/>
  <c r="D19" i="9"/>
  <c r="AY11" i="9"/>
  <c r="O19" i="9"/>
  <c r="AG19" i="9"/>
  <c r="K11" i="9"/>
  <c r="L11" i="9"/>
  <c r="M11" i="9"/>
  <c r="N11" i="9"/>
  <c r="AJ19" i="9"/>
  <c r="AF19" i="9"/>
  <c r="AU11" i="9"/>
  <c r="S11" i="9"/>
  <c r="T11" i="9"/>
  <c r="L19" i="9"/>
  <c r="M19" i="9"/>
  <c r="Q11" i="9"/>
  <c r="AK19" i="9"/>
  <c r="J11" i="9"/>
  <c r="J19" i="9"/>
  <c r="K19" i="9"/>
  <c r="T19" i="9"/>
  <c r="AI11" i="9"/>
  <c r="AE11" i="9"/>
  <c r="AZ19" i="9"/>
  <c r="R11" i="9"/>
  <c r="R19" i="9"/>
  <c r="S19" i="9"/>
  <c r="AH11" i="9"/>
  <c r="AD19" i="9"/>
  <c r="AX19" i="9"/>
  <c r="E11" i="9"/>
  <c r="Q19" i="9"/>
  <c r="AF11" i="9"/>
  <c r="AG11" i="9"/>
  <c r="AK11" i="9"/>
  <c r="AZ11" i="9"/>
  <c r="AY10" i="9"/>
  <c r="AH10" i="9"/>
  <c r="P10" i="9"/>
  <c r="E10" i="9"/>
  <c r="AX10" i="9"/>
  <c r="AK10" i="9"/>
  <c r="AG10" i="9"/>
  <c r="O10" i="9"/>
  <c r="AZ10" i="9"/>
  <c r="AW10" i="9"/>
  <c r="AF10" i="9"/>
  <c r="N10" i="9"/>
  <c r="AV10" i="9"/>
  <c r="AE10" i="9"/>
  <c r="M10" i="9"/>
  <c r="D10" i="9"/>
  <c r="AU10" i="9"/>
  <c r="AD10" i="9"/>
  <c r="T10" i="9"/>
  <c r="L10" i="9"/>
  <c r="S10" i="9"/>
  <c r="K10" i="9"/>
  <c r="AI10" i="9"/>
  <c r="AJ10" i="9"/>
  <c r="R10" i="9"/>
  <c r="J10" i="9"/>
  <c r="Q10" i="9"/>
  <c r="BQ91" i="6"/>
  <c r="BE33" i="6"/>
  <c r="BF33" i="6" s="1"/>
  <c r="BE91" i="6"/>
  <c r="BF91" i="6" s="1"/>
  <c r="BE17" i="6"/>
  <c r="BF17" i="6" s="1"/>
  <c r="BQ48" i="6"/>
  <c r="BQ13" i="6"/>
  <c r="BE57" i="6"/>
  <c r="BF57" i="6" s="1"/>
  <c r="BQ32" i="6"/>
  <c r="BE24" i="6"/>
  <c r="BF24" i="6" s="1"/>
  <c r="BE77" i="6"/>
  <c r="BF77" i="6" s="1"/>
  <c r="BE79" i="6"/>
  <c r="BF79" i="6" s="1"/>
  <c r="BQ73" i="6"/>
  <c r="BQ30" i="6"/>
  <c r="BQ29" i="6"/>
  <c r="BQ50" i="6"/>
  <c r="BE25" i="6"/>
  <c r="BF25" i="6" s="1"/>
  <c r="BQ25" i="6"/>
  <c r="BE61" i="6"/>
  <c r="BF61" i="6" s="1"/>
  <c r="BE28" i="6"/>
  <c r="BF28" i="6" s="1"/>
  <c r="BE87" i="6"/>
  <c r="BF87" i="6" s="1"/>
  <c r="BE34" i="6"/>
  <c r="BF34" i="6" s="1"/>
  <c r="BE92" i="6"/>
  <c r="BF92" i="6" s="1"/>
  <c r="BQ81" i="6"/>
  <c r="BE65" i="6"/>
  <c r="BF65" i="6" s="1"/>
  <c r="BQ74" i="6"/>
  <c r="BE56" i="6"/>
  <c r="BF56" i="6" s="1"/>
  <c r="BE32" i="6"/>
  <c r="BF32" i="6" s="1"/>
  <c r="BE67" i="6"/>
  <c r="BF67" i="6" s="1"/>
  <c r="BE72" i="6"/>
  <c r="BF72" i="6" s="1"/>
  <c r="BE41" i="6"/>
  <c r="BF41" i="6" s="1"/>
  <c r="BE14" i="6"/>
  <c r="BF14" i="6" s="1"/>
  <c r="BE39" i="6"/>
  <c r="BF39" i="6" s="1"/>
  <c r="BE23" i="6"/>
  <c r="BF23" i="6" s="1"/>
  <c r="BQ52" i="6"/>
  <c r="BB87" i="6"/>
  <c r="BE27" i="6"/>
  <c r="BF27" i="6" s="1"/>
  <c r="BE54" i="6"/>
  <c r="BF54" i="6" s="1"/>
  <c r="BQ57" i="6"/>
  <c r="BQ19" i="6"/>
  <c r="BB41" i="6"/>
  <c r="BB14" i="6"/>
  <c r="BQ28" i="6"/>
  <c r="BE30" i="6"/>
  <c r="BF30" i="6" s="1"/>
  <c r="BB39" i="6"/>
  <c r="BE21" i="6"/>
  <c r="BF21" i="6" s="1"/>
  <c r="BE58" i="6"/>
  <c r="BF58" i="6" s="1"/>
  <c r="BQ87" i="6"/>
  <c r="BB27" i="6"/>
  <c r="BE45" i="6"/>
  <c r="BF45" i="6" s="1"/>
  <c r="BQ85" i="6"/>
  <c r="BE84" i="6"/>
  <c r="BF84" i="6" s="1"/>
  <c r="BQ33" i="6"/>
  <c r="BE96" i="6"/>
  <c r="BF96" i="6" s="1"/>
  <c r="BQ41" i="6"/>
  <c r="BB67" i="6"/>
  <c r="BE53" i="6"/>
  <c r="BF53" i="6" s="1"/>
  <c r="BB68" i="6"/>
  <c r="BB56" i="6"/>
  <c r="BE51" i="6"/>
  <c r="BF51" i="6" s="1"/>
  <c r="BB29" i="6"/>
  <c r="BE81" i="6"/>
  <c r="BF81" i="6" s="1"/>
  <c r="BQ94" i="6"/>
  <c r="BB72" i="6"/>
  <c r="BE70" i="6"/>
  <c r="BF70" i="6" s="1"/>
  <c r="BE43" i="6"/>
  <c r="BF43" i="6" s="1"/>
  <c r="BB61" i="6"/>
  <c r="BE35" i="6"/>
  <c r="BF35" i="6" s="1"/>
  <c r="BE64" i="6"/>
  <c r="BF64" i="6" s="1"/>
  <c r="BQ51" i="6"/>
  <c r="BQ12" i="6"/>
  <c r="BE31" i="6"/>
  <c r="BF31" i="6" s="1"/>
  <c r="BQ31" i="6"/>
  <c r="BQ18" i="6"/>
  <c r="BE26" i="6"/>
  <c r="BF26" i="6" s="1"/>
  <c r="BQ26" i="6"/>
  <c r="BE37" i="6"/>
  <c r="BF37" i="6" s="1"/>
  <c r="BQ37" i="6"/>
  <c r="BE47" i="6"/>
  <c r="BF47" i="6" s="1"/>
  <c r="BQ47" i="6"/>
  <c r="BE59" i="6"/>
  <c r="BF59" i="6" s="1"/>
  <c r="BQ72" i="6"/>
  <c r="BB70" i="6"/>
  <c r="BD43" i="6"/>
  <c r="BE76" i="6"/>
  <c r="BF76" i="6" s="1"/>
  <c r="BQ35" i="6"/>
  <c r="BE95" i="6"/>
  <c r="BF95" i="6" s="1"/>
  <c r="BE36" i="6"/>
  <c r="BF36" i="6" s="1"/>
  <c r="BQ36" i="6"/>
  <c r="BE46" i="6"/>
  <c r="BF46" i="6" s="1"/>
  <c r="BE82" i="6"/>
  <c r="BF82" i="6" s="1"/>
  <c r="BQ82" i="6"/>
  <c r="BB62" i="6"/>
  <c r="BQ70" i="6"/>
  <c r="BE55" i="6"/>
  <c r="BF55" i="6" s="1"/>
  <c r="BQ17" i="6"/>
  <c r="BQ14" i="6"/>
  <c r="BE69" i="6"/>
  <c r="BF69" i="6" s="1"/>
  <c r="BQ69" i="6"/>
  <c r="BD81" i="6"/>
  <c r="BB50" i="6"/>
  <c r="BQ93" i="6"/>
  <c r="BQ45" i="6"/>
  <c r="BB71" i="6"/>
  <c r="BD91" i="6"/>
  <c r="BB57" i="6"/>
  <c r="BE93" i="6"/>
  <c r="BF93" i="6" s="1"/>
  <c r="BE38" i="6"/>
  <c r="BF38" i="6" s="1"/>
  <c r="BQ38" i="6"/>
  <c r="BD28" i="6"/>
  <c r="BB30" i="6"/>
  <c r="BB77" i="6"/>
  <c r="BB79" i="6"/>
  <c r="BE94" i="6"/>
  <c r="BF94" i="6" s="1"/>
  <c r="BQ68" i="6"/>
  <c r="BQ71" i="6"/>
  <c r="BB96" i="6"/>
  <c r="BB34" i="6"/>
  <c r="BB84" i="6"/>
  <c r="BQ15" i="6"/>
  <c r="BD38" i="6"/>
  <c r="BB32" i="6"/>
  <c r="BB24" i="6"/>
  <c r="BQ77" i="6"/>
  <c r="BQ27" i="6"/>
  <c r="BQ66" i="6"/>
  <c r="BQ61" i="6"/>
  <c r="BE89" i="6"/>
  <c r="BF89" i="6" s="1"/>
  <c r="BB76" i="6"/>
  <c r="BE85" i="6"/>
  <c r="BF85" i="6" s="1"/>
  <c r="BB92" i="6"/>
  <c r="BB55" i="6"/>
  <c r="BQ90" i="6"/>
  <c r="BB95" i="6"/>
  <c r="BE42" i="6"/>
  <c r="BF42" i="6" s="1"/>
  <c r="BQ42" i="6"/>
  <c r="BQ58" i="6"/>
  <c r="BQ79" i="6"/>
  <c r="BQ59" i="6"/>
  <c r="BQ56" i="6"/>
  <c r="BQ34" i="6"/>
  <c r="BQ84" i="6"/>
  <c r="BE90" i="6"/>
  <c r="BF90" i="6" s="1"/>
  <c r="B15" i="6"/>
  <c r="BJ15" i="6" s="1"/>
  <c r="AD70" i="9"/>
  <c r="AF68" i="9"/>
  <c r="AC67" i="9"/>
  <c r="AG61" i="9"/>
  <c r="AF56" i="9"/>
  <c r="AC55" i="9"/>
  <c r="AE53" i="9"/>
  <c r="AA54" i="9"/>
  <c r="AA69" i="9"/>
  <c r="AB66" i="9"/>
  <c r="Z53" i="9"/>
  <c r="R70" i="9"/>
  <c r="V69" i="9"/>
  <c r="N69" i="9"/>
  <c r="R68" i="9"/>
  <c r="V67" i="9"/>
  <c r="N67" i="9"/>
  <c r="R66" i="9"/>
  <c r="V61" i="9"/>
  <c r="N61" i="9"/>
  <c r="R56" i="9"/>
  <c r="V55" i="9"/>
  <c r="N55" i="9"/>
  <c r="R54" i="9"/>
  <c r="V53" i="9"/>
  <c r="N53" i="9"/>
  <c r="M69" i="9"/>
  <c r="K67" i="9"/>
  <c r="K55" i="9"/>
  <c r="D67" i="9"/>
  <c r="D61" i="9"/>
  <c r="D55" i="9"/>
  <c r="AA53" i="9"/>
  <c r="O69" i="9"/>
  <c r="W55" i="9"/>
  <c r="L67" i="9"/>
  <c r="E61" i="9"/>
  <c r="AC70" i="9"/>
  <c r="AE68" i="9"/>
  <c r="AG66" i="9"/>
  <c r="AF61" i="9"/>
  <c r="AE56" i="9"/>
  <c r="AG54" i="9"/>
  <c r="AD53" i="9"/>
  <c r="AB56" i="9"/>
  <c r="Z54" i="9"/>
  <c r="Z69" i="9"/>
  <c r="AA66" i="9"/>
  <c r="Y70" i="9"/>
  <c r="Q70" i="9"/>
  <c r="U69" i="9"/>
  <c r="Y68" i="9"/>
  <c r="Q68" i="9"/>
  <c r="U67" i="9"/>
  <c r="Y66" i="9"/>
  <c r="Q66" i="9"/>
  <c r="U61" i="9"/>
  <c r="Y56" i="9"/>
  <c r="Q56" i="9"/>
  <c r="U55" i="9"/>
  <c r="Y54" i="9"/>
  <c r="Q54" i="9"/>
  <c r="U53" i="9"/>
  <c r="L69" i="9"/>
  <c r="M66" i="9"/>
  <c r="M54" i="9"/>
  <c r="E70" i="9"/>
  <c r="E66" i="9"/>
  <c r="E54" i="9"/>
  <c r="AB69" i="9"/>
  <c r="W69" i="9"/>
  <c r="S56" i="9"/>
  <c r="K70" i="9"/>
  <c r="E67" i="9"/>
  <c r="AG69" i="9"/>
  <c r="AD68" i="9"/>
  <c r="AF66" i="9"/>
  <c r="AE61" i="9"/>
  <c r="AD56" i="9"/>
  <c r="AF54" i="9"/>
  <c r="AC53" i="9"/>
  <c r="AA56" i="9"/>
  <c r="AB68" i="9"/>
  <c r="Z66" i="9"/>
  <c r="X70" i="9"/>
  <c r="P70" i="9"/>
  <c r="T69" i="9"/>
  <c r="X68" i="9"/>
  <c r="P68" i="9"/>
  <c r="T67" i="9"/>
  <c r="X66" i="9"/>
  <c r="P66" i="9"/>
  <c r="T61" i="9"/>
  <c r="X56" i="9"/>
  <c r="P56" i="9"/>
  <c r="T55" i="9"/>
  <c r="X54" i="9"/>
  <c r="P54" i="9"/>
  <c r="T53" i="9"/>
  <c r="K69" i="9"/>
  <c r="L66" i="9"/>
  <c r="M61" i="9"/>
  <c r="L54" i="9"/>
  <c r="D70" i="9"/>
  <c r="D66" i="9"/>
  <c r="D54" i="9"/>
  <c r="AD67" i="9"/>
  <c r="S68" i="9"/>
  <c r="O55" i="9"/>
  <c r="E55" i="9"/>
  <c r="AF69" i="9"/>
  <c r="AC68" i="9"/>
  <c r="AE66" i="9"/>
  <c r="AD61" i="9"/>
  <c r="AC56" i="9"/>
  <c r="AE54" i="9"/>
  <c r="Z56" i="9"/>
  <c r="AA68" i="9"/>
  <c r="W70" i="9"/>
  <c r="O70" i="9"/>
  <c r="S69" i="9"/>
  <c r="W68" i="9"/>
  <c r="O68" i="9"/>
  <c r="S67" i="9"/>
  <c r="W66" i="9"/>
  <c r="O66" i="9"/>
  <c r="S61" i="9"/>
  <c r="W56" i="9"/>
  <c r="O56" i="9"/>
  <c r="S55" i="9"/>
  <c r="W54" i="9"/>
  <c r="O54" i="9"/>
  <c r="S53" i="9"/>
  <c r="M68" i="9"/>
  <c r="K66" i="9"/>
  <c r="L61" i="9"/>
  <c r="M56" i="9"/>
  <c r="K54" i="9"/>
  <c r="J70" i="9"/>
  <c r="E69" i="9"/>
  <c r="E53" i="9"/>
  <c r="AG56" i="9"/>
  <c r="Z61" i="9"/>
  <c r="S66" i="9"/>
  <c r="O53" i="9"/>
  <c r="J66" i="9"/>
  <c r="AE69" i="9"/>
  <c r="AG67" i="9"/>
  <c r="AD66" i="9"/>
  <c r="AC61" i="9"/>
  <c r="AG55" i="9"/>
  <c r="AD54" i="9"/>
  <c r="AB55" i="9"/>
  <c r="AB70" i="9"/>
  <c r="Z68" i="9"/>
  <c r="V70" i="9"/>
  <c r="N70" i="9"/>
  <c r="R69" i="9"/>
  <c r="V68" i="9"/>
  <c r="N68" i="9"/>
  <c r="R67" i="9"/>
  <c r="V66" i="9"/>
  <c r="N66" i="9"/>
  <c r="R61" i="9"/>
  <c r="V56" i="9"/>
  <c r="N56" i="9"/>
  <c r="R55" i="9"/>
  <c r="V54" i="9"/>
  <c r="N54" i="9"/>
  <c r="R53" i="9"/>
  <c r="L68" i="9"/>
  <c r="K61" i="9"/>
  <c r="L56" i="9"/>
  <c r="M53" i="9"/>
  <c r="J69" i="9"/>
  <c r="D69" i="9"/>
  <c r="D53" i="9"/>
  <c r="AE70" i="9"/>
  <c r="AD55" i="9"/>
  <c r="Z67" i="9"/>
  <c r="O67" i="9"/>
  <c r="O61" i="9"/>
  <c r="AG70" i="9"/>
  <c r="AD69" i="9"/>
  <c r="AF67" i="9"/>
  <c r="AC66" i="9"/>
  <c r="AF55" i="9"/>
  <c r="AC54" i="9"/>
  <c r="AA55" i="9"/>
  <c r="AB61" i="9"/>
  <c r="AA70" i="9"/>
  <c r="AB67" i="9"/>
  <c r="U70" i="9"/>
  <c r="Y69" i="9"/>
  <c r="Q69" i="9"/>
  <c r="U68" i="9"/>
  <c r="Y67" i="9"/>
  <c r="Q67" i="9"/>
  <c r="U66" i="9"/>
  <c r="Y61" i="9"/>
  <c r="Q61" i="9"/>
  <c r="U56" i="9"/>
  <c r="Y55" i="9"/>
  <c r="Q55" i="9"/>
  <c r="U54" i="9"/>
  <c r="Y53" i="9"/>
  <c r="Q53" i="9"/>
  <c r="M70" i="9"/>
  <c r="K68" i="9"/>
  <c r="K56" i="9"/>
  <c r="L53" i="9"/>
  <c r="J68" i="9"/>
  <c r="E68" i="9"/>
  <c r="E56" i="9"/>
  <c r="AG68" i="9"/>
  <c r="AB54" i="9"/>
  <c r="W67" i="9"/>
  <c r="W61" i="9"/>
  <c r="W53" i="9"/>
  <c r="L55" i="9"/>
  <c r="AF70" i="9"/>
  <c r="AC69" i="9"/>
  <c r="AE67" i="9"/>
  <c r="AE55" i="9"/>
  <c r="AG53" i="9"/>
  <c r="Z55" i="9"/>
  <c r="AA61" i="9"/>
  <c r="Z70" i="9"/>
  <c r="AA67" i="9"/>
  <c r="AB53" i="9"/>
  <c r="T70" i="9"/>
  <c r="X69" i="9"/>
  <c r="P69" i="9"/>
  <c r="T68" i="9"/>
  <c r="X67" i="9"/>
  <c r="P67" i="9"/>
  <c r="T66" i="9"/>
  <c r="X61" i="9"/>
  <c r="P61" i="9"/>
  <c r="T56" i="9"/>
  <c r="X55" i="9"/>
  <c r="P55" i="9"/>
  <c r="T54" i="9"/>
  <c r="X53" i="9"/>
  <c r="P53" i="9"/>
  <c r="L70" i="9"/>
  <c r="M67" i="9"/>
  <c r="M55" i="9"/>
  <c r="K53" i="9"/>
  <c r="J67" i="9"/>
  <c r="D68" i="9"/>
  <c r="D56" i="9"/>
  <c r="AF53" i="9"/>
  <c r="S70" i="9"/>
  <c r="S54" i="9"/>
  <c r="BQ23" i="6"/>
  <c r="BQ21" i="6"/>
  <c r="BQ24" i="6"/>
  <c r="BQ53" i="6"/>
  <c r="BQ54" i="6"/>
  <c r="BQ96" i="6"/>
  <c r="BQ76" i="6"/>
  <c r="BQ92" i="6"/>
  <c r="BB17" i="6"/>
  <c r="BQ46" i="6"/>
  <c r="BQ65" i="6"/>
  <c r="BQ39" i="6"/>
  <c r="BQ67" i="6"/>
  <c r="BE88" i="6"/>
  <c r="BF88" i="6" s="1"/>
  <c r="BQ88" i="6"/>
  <c r="BD54" i="6"/>
  <c r="BQ43" i="6"/>
  <c r="BQ55" i="6"/>
  <c r="BQ64" i="6"/>
  <c r="CR11" i="5"/>
  <c r="D11" i="5"/>
  <c r="E11" i="5"/>
  <c r="D26" i="5"/>
  <c r="E26" i="5"/>
  <c r="CE26" i="5"/>
  <c r="P43" i="9"/>
  <c r="D15" i="9"/>
  <c r="H30" i="9"/>
  <c r="L35" i="9"/>
  <c r="K34" i="9"/>
  <c r="J33" i="9"/>
  <c r="P31" i="9"/>
  <c r="O30" i="9"/>
  <c r="N29" i="9"/>
  <c r="M28" i="9"/>
  <c r="L27" i="9"/>
  <c r="AU24" i="9"/>
  <c r="AY22" i="9"/>
  <c r="AY16" i="9"/>
  <c r="AW15" i="9"/>
  <c r="AU14" i="9"/>
  <c r="AW9" i="9"/>
  <c r="AU8" i="9"/>
  <c r="AY6" i="9"/>
  <c r="AW5" i="9"/>
  <c r="AU4" i="9"/>
  <c r="AK23" i="9"/>
  <c r="AK3" i="9"/>
  <c r="AJ23" i="9"/>
  <c r="AI22" i="9"/>
  <c r="AE16" i="9"/>
  <c r="AD15" i="9"/>
  <c r="AH9" i="9"/>
  <c r="AG8" i="9"/>
  <c r="AF7" i="9"/>
  <c r="AE6" i="9"/>
  <c r="AD5" i="9"/>
  <c r="AJ3" i="9"/>
  <c r="N24" i="9"/>
  <c r="Q23" i="9"/>
  <c r="G23" i="9" s="1"/>
  <c r="T22" i="9"/>
  <c r="L22" i="9"/>
  <c r="P16" i="9"/>
  <c r="S15" i="9"/>
  <c r="K15" i="9"/>
  <c r="N14" i="9"/>
  <c r="O9" i="9"/>
  <c r="R8" i="9"/>
  <c r="J8" i="9"/>
  <c r="M7" i="9"/>
  <c r="P6" i="9"/>
  <c r="S5" i="9"/>
  <c r="K5" i="9"/>
  <c r="N4" i="9"/>
  <c r="Q3" i="9"/>
  <c r="E3" i="9"/>
  <c r="D6" i="9"/>
  <c r="P30" i="9"/>
  <c r="AV24" i="9"/>
  <c r="AX15" i="9"/>
  <c r="AZ6" i="9"/>
  <c r="AD24" i="9"/>
  <c r="AF16" i="9"/>
  <c r="AF6" i="9"/>
  <c r="M22" i="9"/>
  <c r="L15" i="9"/>
  <c r="N7" i="9"/>
  <c r="J3" i="9"/>
  <c r="O43" i="9"/>
  <c r="E24" i="9"/>
  <c r="E14" i="9"/>
  <c r="H29" i="9"/>
  <c r="K35" i="9"/>
  <c r="J34" i="9"/>
  <c r="P32" i="9"/>
  <c r="O31" i="9"/>
  <c r="N30" i="9"/>
  <c r="M29" i="9"/>
  <c r="L28" i="9"/>
  <c r="K27" i="9"/>
  <c r="AZ23" i="9"/>
  <c r="AX22" i="9"/>
  <c r="AX16" i="9"/>
  <c r="AV15" i="9"/>
  <c r="AV9" i="9"/>
  <c r="AZ7" i="9"/>
  <c r="AX6" i="9"/>
  <c r="AV5" i="9"/>
  <c r="AY3" i="9"/>
  <c r="AK22" i="9"/>
  <c r="AJ24" i="9"/>
  <c r="AI23" i="9"/>
  <c r="AH22" i="9"/>
  <c r="AD16" i="9"/>
  <c r="AJ14" i="9"/>
  <c r="AG9" i="9"/>
  <c r="AF8" i="9"/>
  <c r="AE7" i="9"/>
  <c r="AD6" i="9"/>
  <c r="AJ4" i="9"/>
  <c r="AI3" i="9"/>
  <c r="M24" i="9"/>
  <c r="P23" i="9"/>
  <c r="S22" i="9"/>
  <c r="K22" i="9"/>
  <c r="O16" i="9"/>
  <c r="R15" i="9"/>
  <c r="J15" i="9"/>
  <c r="M14" i="9"/>
  <c r="N9" i="9"/>
  <c r="Q8" i="9"/>
  <c r="T7" i="9"/>
  <c r="L7" i="9"/>
  <c r="O6" i="9"/>
  <c r="R5" i="9"/>
  <c r="J5" i="9"/>
  <c r="M4" i="9"/>
  <c r="P3" i="9"/>
  <c r="J32" i="9"/>
  <c r="AV4" i="9"/>
  <c r="AH8" i="9"/>
  <c r="O24" i="9"/>
  <c r="T5" i="9"/>
  <c r="N43" i="9"/>
  <c r="D24" i="9"/>
  <c r="D14" i="9"/>
  <c r="H28" i="9"/>
  <c r="J35" i="9"/>
  <c r="P33" i="9"/>
  <c r="O32" i="9"/>
  <c r="N31" i="9"/>
  <c r="M30" i="9"/>
  <c r="L29" i="9"/>
  <c r="K28" i="9"/>
  <c r="J27" i="9"/>
  <c r="AY23" i="9"/>
  <c r="AW22" i="9"/>
  <c r="AW16" i="9"/>
  <c r="AU15" i="9"/>
  <c r="AU9" i="9"/>
  <c r="AY7" i="9"/>
  <c r="AW6" i="9"/>
  <c r="AU5" i="9"/>
  <c r="AX3" i="9"/>
  <c r="AK9" i="9"/>
  <c r="AI24" i="9"/>
  <c r="AH23" i="9"/>
  <c r="AG22" i="9"/>
  <c r="AJ15" i="9"/>
  <c r="AI14" i="9"/>
  <c r="AF9" i="9"/>
  <c r="AE8" i="9"/>
  <c r="AD7" i="9"/>
  <c r="AJ5" i="9"/>
  <c r="AI4" i="9"/>
  <c r="AH3" i="9"/>
  <c r="T24" i="9"/>
  <c r="L24" i="9"/>
  <c r="O23" i="9"/>
  <c r="R22" i="9"/>
  <c r="J22" i="9"/>
  <c r="N16" i="9"/>
  <c r="Q15" i="9"/>
  <c r="T14" i="9"/>
  <c r="L14" i="9"/>
  <c r="M9" i="9"/>
  <c r="P8" i="9"/>
  <c r="S7" i="9"/>
  <c r="K7" i="9"/>
  <c r="N6" i="9"/>
  <c r="Q5" i="9"/>
  <c r="T4" i="9"/>
  <c r="L4" i="9"/>
  <c r="O3" i="9"/>
  <c r="E9" i="9"/>
  <c r="E15" i="9"/>
  <c r="O29" i="9"/>
  <c r="AX9" i="9"/>
  <c r="AK14" i="9"/>
  <c r="AG7" i="9"/>
  <c r="J23" i="9"/>
  <c r="T15" i="9"/>
  <c r="Q6" i="9"/>
  <c r="E4" i="9"/>
  <c r="M43" i="9"/>
  <c r="E23" i="9"/>
  <c r="H35" i="9"/>
  <c r="H27" i="9"/>
  <c r="P34" i="9"/>
  <c r="O33" i="9"/>
  <c r="N32" i="9"/>
  <c r="M31" i="9"/>
  <c r="L30" i="9"/>
  <c r="K29" i="9"/>
  <c r="J28" i="9"/>
  <c r="AZ24" i="9"/>
  <c r="AX23" i="9"/>
  <c r="AV22" i="9"/>
  <c r="AV16" i="9"/>
  <c r="AZ14" i="9"/>
  <c r="AZ8" i="9"/>
  <c r="AX7" i="9"/>
  <c r="AV6" i="9"/>
  <c r="AZ4" i="9"/>
  <c r="AW3" i="9"/>
  <c r="AK8" i="9"/>
  <c r="AH24" i="9"/>
  <c r="AG23" i="9"/>
  <c r="AF22" i="9"/>
  <c r="AJ16" i="9"/>
  <c r="AI15" i="9"/>
  <c r="AH14" i="9"/>
  <c r="AE9" i="9"/>
  <c r="AD8" i="9"/>
  <c r="AJ6" i="9"/>
  <c r="AI5" i="9"/>
  <c r="AH4" i="9"/>
  <c r="AG3" i="9"/>
  <c r="S24" i="9"/>
  <c r="K24" i="9"/>
  <c r="N23" i="9"/>
  <c r="Q22" i="9"/>
  <c r="G22" i="9" s="1"/>
  <c r="M16" i="9"/>
  <c r="P15" i="9"/>
  <c r="S14" i="9"/>
  <c r="K14" i="9"/>
  <c r="T9" i="9"/>
  <c r="L9" i="9"/>
  <c r="O8" i="9"/>
  <c r="R7" i="9"/>
  <c r="J7" i="9"/>
  <c r="M6" i="9"/>
  <c r="P5" i="9"/>
  <c r="S4" i="9"/>
  <c r="K4" i="9"/>
  <c r="N3" i="9"/>
  <c r="E8" i="9"/>
  <c r="K33" i="9"/>
  <c r="AZ22" i="9"/>
  <c r="AV14" i="9"/>
  <c r="AK24" i="9"/>
  <c r="AI9" i="9"/>
  <c r="R23" i="9"/>
  <c r="K8" i="9"/>
  <c r="R3" i="9"/>
  <c r="L43" i="9"/>
  <c r="D23" i="9"/>
  <c r="H34" i="9"/>
  <c r="P35" i="9"/>
  <c r="O34" i="9"/>
  <c r="N33" i="9"/>
  <c r="M32" i="9"/>
  <c r="L31" i="9"/>
  <c r="K30" i="9"/>
  <c r="J29" i="9"/>
  <c r="P27" i="9"/>
  <c r="AY24" i="9"/>
  <c r="AW23" i="9"/>
  <c r="AU22" i="9"/>
  <c r="AU16" i="9"/>
  <c r="AY14" i="9"/>
  <c r="AY8" i="9"/>
  <c r="AW7" i="9"/>
  <c r="AU6" i="9"/>
  <c r="AY4" i="9"/>
  <c r="AV3" i="9"/>
  <c r="AK7" i="9"/>
  <c r="AG24" i="9"/>
  <c r="AF23" i="9"/>
  <c r="AE22" i="9"/>
  <c r="AI16" i="9"/>
  <c r="AH15" i="9"/>
  <c r="AG14" i="9"/>
  <c r="AD9" i="9"/>
  <c r="AJ7" i="9"/>
  <c r="AI6" i="9"/>
  <c r="AH5" i="9"/>
  <c r="AG4" i="9"/>
  <c r="AF3" i="9"/>
  <c r="R24" i="9"/>
  <c r="J24" i="9"/>
  <c r="M23" i="9"/>
  <c r="P22" i="9"/>
  <c r="T16" i="9"/>
  <c r="L16" i="9"/>
  <c r="O15" i="9"/>
  <c r="R14" i="9"/>
  <c r="J14" i="9"/>
  <c r="S9" i="9"/>
  <c r="K9" i="9"/>
  <c r="N8" i="9"/>
  <c r="Q7" i="9"/>
  <c r="T6" i="9"/>
  <c r="L6" i="9"/>
  <c r="O5" i="9"/>
  <c r="R4" i="9"/>
  <c r="J4" i="9"/>
  <c r="M3" i="9"/>
  <c r="E7" i="9"/>
  <c r="M35" i="9"/>
  <c r="K43" i="9"/>
  <c r="E22" i="9"/>
  <c r="E16" i="9"/>
  <c r="H33" i="9"/>
  <c r="O35" i="9"/>
  <c r="N34" i="9"/>
  <c r="M33" i="9"/>
  <c r="L32" i="9"/>
  <c r="K31" i="9"/>
  <c r="J30" i="9"/>
  <c r="P28" i="9"/>
  <c r="O27" i="9"/>
  <c r="AX24" i="9"/>
  <c r="AV23" i="9"/>
  <c r="AZ15" i="9"/>
  <c r="AX14" i="9"/>
  <c r="AZ9" i="9"/>
  <c r="AX8" i="9"/>
  <c r="AV7" i="9"/>
  <c r="AZ5" i="9"/>
  <c r="AX4" i="9"/>
  <c r="AU3" i="9"/>
  <c r="AK16" i="9"/>
  <c r="AK6" i="9"/>
  <c r="AF24" i="9"/>
  <c r="AE23" i="9"/>
  <c r="AD22" i="9"/>
  <c r="AH16" i="9"/>
  <c r="AG15" i="9"/>
  <c r="AF14" i="9"/>
  <c r="AJ8" i="9"/>
  <c r="AI7" i="9"/>
  <c r="AH6" i="9"/>
  <c r="AG5" i="9"/>
  <c r="AF4" i="9"/>
  <c r="AE3" i="9"/>
  <c r="Q24" i="9"/>
  <c r="G24" i="9" s="1"/>
  <c r="T23" i="9"/>
  <c r="L23" i="9"/>
  <c r="O22" i="9"/>
  <c r="S16" i="9"/>
  <c r="K16" i="9"/>
  <c r="N15" i="9"/>
  <c r="Q14" i="9"/>
  <c r="R9" i="9"/>
  <c r="J9" i="9"/>
  <c r="M8" i="9"/>
  <c r="P7" i="9"/>
  <c r="S6" i="9"/>
  <c r="K6" i="9"/>
  <c r="N5" i="9"/>
  <c r="Q4" i="9"/>
  <c r="T3" i="9"/>
  <c r="L3" i="9"/>
  <c r="E6" i="9"/>
  <c r="D9" i="9"/>
  <c r="L34" i="9"/>
  <c r="M27" i="9"/>
  <c r="AV8" i="9"/>
  <c r="AK4" i="9"/>
  <c r="AD14" i="9"/>
  <c r="AD4" i="9"/>
  <c r="Q16" i="9"/>
  <c r="S8" i="9"/>
  <c r="O4" i="9"/>
  <c r="J43" i="9"/>
  <c r="D22" i="9"/>
  <c r="D16" i="9"/>
  <c r="H32" i="9"/>
  <c r="N35" i="9"/>
  <c r="M34" i="9"/>
  <c r="L33" i="9"/>
  <c r="K32" i="9"/>
  <c r="J31" i="9"/>
  <c r="P29" i="9"/>
  <c r="O28" i="9"/>
  <c r="N27" i="9"/>
  <c r="AW24" i="9"/>
  <c r="AU23" i="9"/>
  <c r="AY15" i="9"/>
  <c r="AW14" i="9"/>
  <c r="AY9" i="9"/>
  <c r="AW8" i="9"/>
  <c r="AU7" i="9"/>
  <c r="AY5" i="9"/>
  <c r="AW4" i="9"/>
  <c r="AZ3" i="9"/>
  <c r="AK15" i="9"/>
  <c r="AK5" i="9"/>
  <c r="AE24" i="9"/>
  <c r="AD23" i="9"/>
  <c r="AG16" i="9"/>
  <c r="AF15" i="9"/>
  <c r="AE14" i="9"/>
  <c r="AJ9" i="9"/>
  <c r="AI8" i="9"/>
  <c r="AH7" i="9"/>
  <c r="AG6" i="9"/>
  <c r="AF5" i="9"/>
  <c r="AE4" i="9"/>
  <c r="AD3" i="9"/>
  <c r="P24" i="9"/>
  <c r="S23" i="9"/>
  <c r="K23" i="9"/>
  <c r="N22" i="9"/>
  <c r="R16" i="9"/>
  <c r="J16" i="9"/>
  <c r="M15" i="9"/>
  <c r="P14" i="9"/>
  <c r="Q9" i="9"/>
  <c r="T8" i="9"/>
  <c r="L8" i="9"/>
  <c r="O7" i="9"/>
  <c r="R6" i="9"/>
  <c r="J6" i="9"/>
  <c r="M5" i="9"/>
  <c r="P4" i="9"/>
  <c r="S3" i="9"/>
  <c r="K3" i="9"/>
  <c r="E5" i="9"/>
  <c r="D8" i="9"/>
  <c r="H31" i="9"/>
  <c r="N28" i="9"/>
  <c r="AZ16" i="9"/>
  <c r="AX5" i="9"/>
  <c r="AJ22" i="9"/>
  <c r="AE15" i="9"/>
  <c r="AE5" i="9"/>
  <c r="O14" i="9"/>
  <c r="P9" i="9"/>
  <c r="L5" i="9"/>
  <c r="D7" i="9"/>
  <c r="D13" i="5"/>
  <c r="E13" i="5"/>
  <c r="D25" i="5"/>
  <c r="E25" i="5"/>
  <c r="CE25" i="5"/>
  <c r="D5" i="9"/>
  <c r="D4" i="9"/>
  <c r="D3" i="9"/>
  <c r="CR25" i="5"/>
  <c r="CR13" i="5"/>
  <c r="CR26" i="5"/>
  <c r="BB11" i="6"/>
  <c r="BB31" i="6"/>
  <c r="BB26" i="6"/>
  <c r="BB82" i="6"/>
  <c r="BB37" i="6"/>
  <c r="BB47" i="6"/>
  <c r="BB25" i="6"/>
  <c r="BB35" i="6"/>
  <c r="BE12" i="6"/>
  <c r="BF12" i="6" s="1"/>
  <c r="BE18" i="6"/>
  <c r="BF18" i="6" s="1"/>
  <c r="BE52" i="6"/>
  <c r="BF52" i="6" s="1"/>
  <c r="BE74" i="6"/>
  <c r="BF74" i="6" s="1"/>
  <c r="BE48" i="6"/>
  <c r="BF48" i="6" s="1"/>
  <c r="BE13" i="6"/>
  <c r="BF13" i="6" s="1"/>
  <c r="BE44" i="6"/>
  <c r="BF44" i="6" s="1"/>
  <c r="BE63" i="6"/>
  <c r="BF63" i="6" s="1"/>
  <c r="BE78" i="6"/>
  <c r="BF78" i="6" s="1"/>
  <c r="BE73" i="6"/>
  <c r="BF73" i="6" s="1"/>
  <c r="BE15" i="6"/>
  <c r="BF15" i="6" s="1"/>
  <c r="CE13" i="5"/>
  <c r="CE11" i="5"/>
  <c r="BA11" i="37"/>
  <c r="BA10" i="37"/>
  <c r="BA9" i="37"/>
  <c r="BA8" i="37"/>
  <c r="BA7" i="37"/>
  <c r="BA24" i="37"/>
  <c r="BA19" i="37"/>
  <c r="BA18" i="37"/>
  <c r="J74" i="37"/>
  <c r="O74" i="37"/>
  <c r="N74" i="37"/>
  <c r="M74" i="37"/>
  <c r="L74" i="37"/>
  <c r="F74" i="37" s="1"/>
  <c r="K74" i="37"/>
  <c r="I74" i="37"/>
  <c r="H74" i="37"/>
  <c r="E74" i="37"/>
  <c r="D74" i="37"/>
  <c r="AG73" i="37"/>
  <c r="AF73" i="37"/>
  <c r="AE73" i="37"/>
  <c r="AD73" i="37"/>
  <c r="AC73" i="37"/>
  <c r="AB73" i="37"/>
  <c r="AA73" i="37"/>
  <c r="Z73" i="37"/>
  <c r="Y73" i="37"/>
  <c r="X73" i="37"/>
  <c r="W73" i="37"/>
  <c r="V73" i="37"/>
  <c r="U73" i="37"/>
  <c r="T73" i="37"/>
  <c r="S73" i="37"/>
  <c r="R73" i="37"/>
  <c r="Q73" i="37"/>
  <c r="P73" i="37"/>
  <c r="O73" i="37"/>
  <c r="J73" i="37" s="1"/>
  <c r="N73" i="37"/>
  <c r="M73" i="37"/>
  <c r="L73" i="37"/>
  <c r="K73" i="37"/>
  <c r="H73" i="37" s="1"/>
  <c r="I73" i="37"/>
  <c r="E73" i="37"/>
  <c r="D73" i="37"/>
  <c r="AG72" i="37"/>
  <c r="AF72" i="37"/>
  <c r="AE72" i="37"/>
  <c r="AD72" i="37"/>
  <c r="AC72" i="37"/>
  <c r="AB72" i="37"/>
  <c r="AA72" i="37"/>
  <c r="Z72" i="37"/>
  <c r="Y72" i="37"/>
  <c r="X72" i="37"/>
  <c r="W72" i="37"/>
  <c r="V72" i="37"/>
  <c r="U72" i="37"/>
  <c r="T72" i="37"/>
  <c r="S72" i="37"/>
  <c r="R72" i="37"/>
  <c r="Q72" i="37"/>
  <c r="P72" i="37"/>
  <c r="O72" i="37"/>
  <c r="N72" i="37"/>
  <c r="J72" i="37" s="1"/>
  <c r="M72" i="37"/>
  <c r="L72" i="37"/>
  <c r="G72" i="37" s="1"/>
  <c r="K72" i="37"/>
  <c r="I72" i="37"/>
  <c r="H72" i="37"/>
  <c r="F72" i="37"/>
  <c r="E72" i="37"/>
  <c r="D72" i="37"/>
  <c r="AG71" i="37"/>
  <c r="AF71" i="37"/>
  <c r="AE71" i="37"/>
  <c r="AD71" i="37"/>
  <c r="AC71" i="37"/>
  <c r="AB71" i="37"/>
  <c r="AA71" i="37"/>
  <c r="Z71" i="37"/>
  <c r="Y71" i="37"/>
  <c r="X71" i="37"/>
  <c r="W71" i="37"/>
  <c r="V71" i="37"/>
  <c r="U71" i="37"/>
  <c r="T71" i="37"/>
  <c r="S71" i="37"/>
  <c r="R71" i="37"/>
  <c r="Q71" i="37"/>
  <c r="P71" i="37"/>
  <c r="O71" i="37"/>
  <c r="J71" i="37" s="1"/>
  <c r="N71" i="37"/>
  <c r="M71" i="37"/>
  <c r="G71" i="37" s="1"/>
  <c r="L71" i="37"/>
  <c r="K71" i="37"/>
  <c r="F71" i="37" s="1"/>
  <c r="I71" i="37"/>
  <c r="E71" i="37"/>
  <c r="D71" i="37"/>
  <c r="AG70" i="37"/>
  <c r="AF70" i="37"/>
  <c r="AE70" i="37"/>
  <c r="AD70" i="37"/>
  <c r="AC70" i="37"/>
  <c r="AB70" i="37"/>
  <c r="AA70" i="37"/>
  <c r="Z70" i="37"/>
  <c r="Y70" i="37"/>
  <c r="X70" i="37"/>
  <c r="W70" i="37"/>
  <c r="V70" i="37"/>
  <c r="U70" i="37"/>
  <c r="T70" i="37"/>
  <c r="S70" i="37"/>
  <c r="R70" i="37"/>
  <c r="Q70" i="37"/>
  <c r="P70" i="37"/>
  <c r="O70" i="37"/>
  <c r="N70" i="37"/>
  <c r="M70" i="37"/>
  <c r="L70" i="37"/>
  <c r="K70" i="37"/>
  <c r="I70" i="37"/>
  <c r="E70" i="37"/>
  <c r="D70" i="37"/>
  <c r="AG65" i="37"/>
  <c r="AF65" i="37"/>
  <c r="AE65" i="37"/>
  <c r="AD65" i="37"/>
  <c r="AC65" i="37"/>
  <c r="AB65" i="37"/>
  <c r="AA65" i="37"/>
  <c r="Z65" i="37"/>
  <c r="Y65" i="37"/>
  <c r="X65" i="37"/>
  <c r="W65" i="37"/>
  <c r="V65" i="37"/>
  <c r="U65" i="37"/>
  <c r="T65" i="37"/>
  <c r="S65" i="37"/>
  <c r="R65" i="37"/>
  <c r="Q65" i="37"/>
  <c r="P65" i="37"/>
  <c r="O65" i="37"/>
  <c r="J65" i="37" s="1"/>
  <c r="N65" i="37"/>
  <c r="M65" i="37"/>
  <c r="L65" i="37"/>
  <c r="K65" i="37"/>
  <c r="H65" i="37" s="1"/>
  <c r="I65" i="37"/>
  <c r="E65" i="37"/>
  <c r="D65" i="37"/>
  <c r="AG62" i="37"/>
  <c r="AF62" i="37"/>
  <c r="AE62" i="37"/>
  <c r="AD62" i="37"/>
  <c r="AC62" i="37"/>
  <c r="AB62" i="37"/>
  <c r="AA62" i="37"/>
  <c r="Z62" i="37"/>
  <c r="Y62" i="37"/>
  <c r="X62" i="37"/>
  <c r="W62" i="37"/>
  <c r="V62" i="37"/>
  <c r="U62" i="37"/>
  <c r="T62" i="37"/>
  <c r="S62" i="37"/>
  <c r="R62" i="37"/>
  <c r="Q62" i="37"/>
  <c r="J62" i="37" s="1"/>
  <c r="P62" i="37"/>
  <c r="O62" i="37"/>
  <c r="N62" i="37"/>
  <c r="M62" i="37"/>
  <c r="F62" i="37" s="1"/>
  <c r="L62" i="37"/>
  <c r="G62" i="37" s="1"/>
  <c r="K62" i="37"/>
  <c r="I62" i="37"/>
  <c r="E62" i="37"/>
  <c r="D62" i="37"/>
  <c r="R46" i="37"/>
  <c r="X41" i="37" s="1"/>
  <c r="Q46" i="37"/>
  <c r="W41" i="37" s="1"/>
  <c r="P46" i="37"/>
  <c r="O46" i="37"/>
  <c r="N46" i="37"/>
  <c r="M46" i="37"/>
  <c r="L46" i="37"/>
  <c r="K46" i="37"/>
  <c r="J46" i="37"/>
  <c r="H46" i="37"/>
  <c r="G46" i="37"/>
  <c r="F46" i="37"/>
  <c r="E46" i="37"/>
  <c r="R45" i="37"/>
  <c r="X40" i="37" s="1"/>
  <c r="Q45" i="37"/>
  <c r="W40" i="37" s="1"/>
  <c r="P45" i="37"/>
  <c r="O45" i="37"/>
  <c r="N45" i="37"/>
  <c r="M45" i="37"/>
  <c r="L45" i="37"/>
  <c r="K45" i="37"/>
  <c r="J45" i="37"/>
  <c r="H45" i="37"/>
  <c r="G45" i="37"/>
  <c r="F45" i="37"/>
  <c r="E45" i="37"/>
  <c r="R44" i="37"/>
  <c r="Q44" i="37"/>
  <c r="P44" i="37"/>
  <c r="O44" i="37"/>
  <c r="N44" i="37"/>
  <c r="M44" i="37"/>
  <c r="L44" i="37"/>
  <c r="K44" i="37"/>
  <c r="J44" i="37"/>
  <c r="H44" i="37"/>
  <c r="G44" i="37"/>
  <c r="F44" i="37"/>
  <c r="E44" i="37"/>
  <c r="R43" i="37"/>
  <c r="X43" i="37" s="1"/>
  <c r="Q43" i="37"/>
  <c r="W43" i="37" s="1"/>
  <c r="P43" i="37"/>
  <c r="O43" i="37"/>
  <c r="N43" i="37"/>
  <c r="M43" i="37"/>
  <c r="L43" i="37"/>
  <c r="K43" i="37"/>
  <c r="J43" i="37"/>
  <c r="H43" i="37"/>
  <c r="G43" i="37"/>
  <c r="F43" i="37"/>
  <c r="E43" i="37"/>
  <c r="R42" i="37"/>
  <c r="X38" i="37" s="1"/>
  <c r="Q42" i="37"/>
  <c r="W38" i="37" s="1"/>
  <c r="P42" i="37"/>
  <c r="O42" i="37"/>
  <c r="N42" i="37"/>
  <c r="M42" i="37"/>
  <c r="L42" i="37"/>
  <c r="K42" i="37"/>
  <c r="J42" i="37"/>
  <c r="H42" i="37"/>
  <c r="G42" i="37"/>
  <c r="F42" i="37"/>
  <c r="E42" i="37"/>
  <c r="R41" i="37"/>
  <c r="X42" i="37" s="1"/>
  <c r="Q41" i="37"/>
  <c r="W42" i="37" s="1"/>
  <c r="P41" i="37"/>
  <c r="O41" i="37"/>
  <c r="N41" i="37"/>
  <c r="M41" i="37"/>
  <c r="L41" i="37"/>
  <c r="K41" i="37"/>
  <c r="J41" i="37"/>
  <c r="H41" i="37"/>
  <c r="G41" i="37"/>
  <c r="F41" i="37"/>
  <c r="E41" i="37"/>
  <c r="R40" i="37"/>
  <c r="X39" i="37" s="1"/>
  <c r="Q40" i="37"/>
  <c r="W39" i="37" s="1"/>
  <c r="P40" i="37"/>
  <c r="O40" i="37"/>
  <c r="N40" i="37"/>
  <c r="M40" i="37"/>
  <c r="L40" i="37"/>
  <c r="K40" i="37"/>
  <c r="J40" i="37"/>
  <c r="H40" i="37"/>
  <c r="G40" i="37"/>
  <c r="F40" i="37"/>
  <c r="E40" i="37"/>
  <c r="R39" i="37"/>
  <c r="X44" i="37" s="1"/>
  <c r="Q39" i="37"/>
  <c r="W44" i="37" s="1"/>
  <c r="P39" i="37"/>
  <c r="O39" i="37"/>
  <c r="N39" i="37"/>
  <c r="M39" i="37"/>
  <c r="L39" i="37"/>
  <c r="K39" i="37"/>
  <c r="J39" i="37"/>
  <c r="H39" i="37"/>
  <c r="G39" i="37"/>
  <c r="F39" i="37"/>
  <c r="E39" i="37"/>
  <c r="R38" i="37"/>
  <c r="X45" i="37" s="1"/>
  <c r="Q38" i="37"/>
  <c r="W45" i="37" s="1"/>
  <c r="P38" i="37"/>
  <c r="O38" i="37"/>
  <c r="N38" i="37"/>
  <c r="M38" i="37"/>
  <c r="L38" i="37"/>
  <c r="K38" i="37"/>
  <c r="J38" i="37"/>
  <c r="H38" i="37"/>
  <c r="G38" i="37"/>
  <c r="F38" i="37"/>
  <c r="E38" i="37"/>
  <c r="R34" i="37"/>
  <c r="X32" i="37" s="1"/>
  <c r="Q34" i="37"/>
  <c r="W32" i="37" s="1"/>
  <c r="P34" i="37"/>
  <c r="O34" i="37"/>
  <c r="N34" i="37"/>
  <c r="M34" i="37"/>
  <c r="L34" i="37"/>
  <c r="K34" i="37"/>
  <c r="J34" i="37"/>
  <c r="H34" i="37"/>
  <c r="G34" i="37"/>
  <c r="F34" i="37"/>
  <c r="E34" i="37"/>
  <c r="R33" i="37"/>
  <c r="X27" i="37" s="1"/>
  <c r="Q33" i="37"/>
  <c r="W27" i="37" s="1"/>
  <c r="P33" i="37"/>
  <c r="O33" i="37"/>
  <c r="N33" i="37"/>
  <c r="M33" i="37"/>
  <c r="L33" i="37"/>
  <c r="K33" i="37"/>
  <c r="J33" i="37"/>
  <c r="H33" i="37"/>
  <c r="G33" i="37"/>
  <c r="F33" i="37"/>
  <c r="E33" i="37"/>
  <c r="R32" i="37"/>
  <c r="X30" i="37" s="1"/>
  <c r="Q32" i="37"/>
  <c r="W30" i="37" s="1"/>
  <c r="P32" i="37"/>
  <c r="O32" i="37"/>
  <c r="N32" i="37"/>
  <c r="M32" i="37"/>
  <c r="L32" i="37"/>
  <c r="K32" i="37"/>
  <c r="J32" i="37"/>
  <c r="H32" i="37"/>
  <c r="G32" i="37"/>
  <c r="F32" i="37"/>
  <c r="E32" i="37"/>
  <c r="R31" i="37"/>
  <c r="Q31" i="37"/>
  <c r="P31" i="37"/>
  <c r="O31" i="37"/>
  <c r="N31" i="37"/>
  <c r="M31" i="37"/>
  <c r="L31" i="37"/>
  <c r="K31" i="37"/>
  <c r="J31" i="37"/>
  <c r="H31" i="37"/>
  <c r="G31" i="37"/>
  <c r="F31" i="37"/>
  <c r="E31" i="37"/>
  <c r="R30" i="37"/>
  <c r="X33" i="37" s="1"/>
  <c r="Q30" i="37"/>
  <c r="W33" i="37" s="1"/>
  <c r="P30" i="37"/>
  <c r="O30" i="37"/>
  <c r="N30" i="37"/>
  <c r="M30" i="37"/>
  <c r="L30" i="37"/>
  <c r="K30" i="37"/>
  <c r="J30" i="37"/>
  <c r="H30" i="37"/>
  <c r="G30" i="37"/>
  <c r="F30" i="37"/>
  <c r="E30" i="37"/>
  <c r="R29" i="37"/>
  <c r="X28" i="37" s="1"/>
  <c r="Q29" i="37"/>
  <c r="W28" i="37" s="1"/>
  <c r="P29" i="37"/>
  <c r="O29" i="37"/>
  <c r="N29" i="37"/>
  <c r="M29" i="37"/>
  <c r="L29" i="37"/>
  <c r="K29" i="37"/>
  <c r="J29" i="37"/>
  <c r="H29" i="37"/>
  <c r="G29" i="37"/>
  <c r="F29" i="37"/>
  <c r="E29" i="37"/>
  <c r="R28" i="37"/>
  <c r="X31" i="37" s="1"/>
  <c r="Q28" i="37"/>
  <c r="W31" i="37" s="1"/>
  <c r="P28" i="37"/>
  <c r="O28" i="37"/>
  <c r="N28" i="37"/>
  <c r="M28" i="37"/>
  <c r="L28" i="37"/>
  <c r="K28" i="37"/>
  <c r="J28" i="37"/>
  <c r="H28" i="37"/>
  <c r="G28" i="37"/>
  <c r="F28" i="37"/>
  <c r="E28" i="37"/>
  <c r="R27" i="37"/>
  <c r="X34" i="37" s="1"/>
  <c r="Q27" i="37"/>
  <c r="W34" i="37" s="1"/>
  <c r="P27" i="37"/>
  <c r="O27" i="37"/>
  <c r="N27" i="37"/>
  <c r="M27" i="37"/>
  <c r="L27" i="37"/>
  <c r="K27" i="37"/>
  <c r="J27" i="37"/>
  <c r="H27" i="37"/>
  <c r="G27" i="37"/>
  <c r="F27" i="37"/>
  <c r="E27" i="37"/>
  <c r="AZ24" i="37"/>
  <c r="AT24" i="37"/>
  <c r="AS24" i="37"/>
  <c r="AR24" i="37"/>
  <c r="AQ24" i="37"/>
  <c r="AP24" i="37"/>
  <c r="AO24" i="37"/>
  <c r="AN24" i="37"/>
  <c r="AM24" i="37"/>
  <c r="AL24" i="37"/>
  <c r="AK24" i="37"/>
  <c r="AC24" i="37"/>
  <c r="AB24" i="37"/>
  <c r="AA24" i="37"/>
  <c r="Z24" i="37"/>
  <c r="Y24" i="37"/>
  <c r="X24" i="37"/>
  <c r="W24" i="37"/>
  <c r="V24" i="37"/>
  <c r="U24" i="37"/>
  <c r="I24" i="37"/>
  <c r="H24" i="37"/>
  <c r="G24" i="37"/>
  <c r="F24" i="37"/>
  <c r="I23" i="37"/>
  <c r="I22" i="37"/>
  <c r="C21" i="37"/>
  <c r="AZ19" i="37"/>
  <c r="AT19" i="37"/>
  <c r="AS19" i="37"/>
  <c r="AR19" i="37"/>
  <c r="AQ19" i="37"/>
  <c r="AP19" i="37"/>
  <c r="AO19" i="37"/>
  <c r="AN19" i="37"/>
  <c r="AM19" i="37"/>
  <c r="AL19" i="37"/>
  <c r="AK19" i="37"/>
  <c r="AC19" i="37"/>
  <c r="AB19" i="37"/>
  <c r="AA19" i="37"/>
  <c r="Z19" i="37"/>
  <c r="Y19" i="37"/>
  <c r="X19" i="37"/>
  <c r="W19" i="37"/>
  <c r="V19" i="37"/>
  <c r="U19" i="37"/>
  <c r="I19" i="37"/>
  <c r="H19" i="37"/>
  <c r="G19" i="37"/>
  <c r="F19" i="37"/>
  <c r="AZ18" i="37"/>
  <c r="AT18" i="37"/>
  <c r="AS18" i="37"/>
  <c r="AR18" i="37"/>
  <c r="AQ18" i="37"/>
  <c r="AP18" i="37"/>
  <c r="AO18" i="37"/>
  <c r="AN18" i="37"/>
  <c r="AM18" i="37"/>
  <c r="AL18" i="37"/>
  <c r="AK18" i="37"/>
  <c r="AC18" i="37"/>
  <c r="AB18" i="37"/>
  <c r="AA18" i="37"/>
  <c r="Z18" i="37"/>
  <c r="Y18" i="37"/>
  <c r="X18" i="37"/>
  <c r="W18" i="37"/>
  <c r="V18" i="37"/>
  <c r="U18" i="37"/>
  <c r="I18" i="37"/>
  <c r="H18" i="37"/>
  <c r="G18" i="37"/>
  <c r="F18" i="37"/>
  <c r="P17" i="37"/>
  <c r="O17" i="37"/>
  <c r="N17" i="37"/>
  <c r="M17" i="37"/>
  <c r="L17" i="37"/>
  <c r="K17" i="37"/>
  <c r="J17" i="37"/>
  <c r="I17" i="37"/>
  <c r="E17" i="37"/>
  <c r="D17" i="37"/>
  <c r="I16" i="37"/>
  <c r="I15" i="37"/>
  <c r="I14" i="37"/>
  <c r="C13" i="37"/>
  <c r="I11" i="37"/>
  <c r="I10" i="37"/>
  <c r="I9" i="37"/>
  <c r="I8" i="37"/>
  <c r="AZ7" i="37"/>
  <c r="AY7" i="37"/>
  <c r="AX7" i="37"/>
  <c r="AW7" i="37"/>
  <c r="AV7" i="37"/>
  <c r="AU7" i="37"/>
  <c r="AT7" i="37"/>
  <c r="AS7" i="37"/>
  <c r="AR7" i="37"/>
  <c r="AQ7" i="37"/>
  <c r="AP7" i="37"/>
  <c r="AO7" i="37"/>
  <c r="AN7" i="37"/>
  <c r="AM7" i="37"/>
  <c r="AL7" i="37"/>
  <c r="AK7" i="37"/>
  <c r="AJ7" i="37"/>
  <c r="AI7" i="37"/>
  <c r="AH7" i="37"/>
  <c r="AG7" i="37"/>
  <c r="AF7" i="37"/>
  <c r="AE7" i="37"/>
  <c r="AD7" i="37"/>
  <c r="AC7" i="37"/>
  <c r="AB7" i="37"/>
  <c r="AA7" i="37"/>
  <c r="Z7" i="37"/>
  <c r="Y7" i="37"/>
  <c r="X7" i="37"/>
  <c r="W7" i="37"/>
  <c r="V7" i="37"/>
  <c r="U7" i="37"/>
  <c r="T7" i="37"/>
  <c r="S7" i="37"/>
  <c r="R7" i="37"/>
  <c r="Q7" i="37"/>
  <c r="P7" i="37"/>
  <c r="O7" i="37"/>
  <c r="N7" i="37"/>
  <c r="M7" i="37"/>
  <c r="L7" i="37"/>
  <c r="K7" i="37"/>
  <c r="J7" i="37"/>
  <c r="I7" i="37"/>
  <c r="H7" i="37"/>
  <c r="G7" i="37"/>
  <c r="F7" i="37"/>
  <c r="E7" i="37"/>
  <c r="D7" i="37"/>
  <c r="I5" i="37"/>
  <c r="AY4" i="37"/>
  <c r="AX4" i="37"/>
  <c r="AW4" i="37"/>
  <c r="AV4" i="37"/>
  <c r="AU4" i="37"/>
  <c r="AJ4" i="37"/>
  <c r="AI4" i="37"/>
  <c r="AH4" i="37"/>
  <c r="AG4" i="37"/>
  <c r="AF4" i="37"/>
  <c r="AE4" i="37"/>
  <c r="AD4" i="37"/>
  <c r="T4" i="37"/>
  <c r="S4" i="37"/>
  <c r="R4" i="37"/>
  <c r="Q4" i="37"/>
  <c r="G4" i="37" s="1"/>
  <c r="P4" i="37"/>
  <c r="O4" i="37"/>
  <c r="N4" i="37"/>
  <c r="M4" i="37"/>
  <c r="L4" i="37"/>
  <c r="K4" i="37"/>
  <c r="J4" i="37"/>
  <c r="I4" i="37"/>
  <c r="E4" i="37"/>
  <c r="D4" i="37"/>
  <c r="AY3" i="37"/>
  <c r="AX3" i="37"/>
  <c r="AW3" i="37"/>
  <c r="AV3" i="37"/>
  <c r="AU3" i="37"/>
  <c r="AJ3" i="37"/>
  <c r="AI3" i="37"/>
  <c r="AH3" i="37"/>
  <c r="AG3" i="37"/>
  <c r="AF3" i="37"/>
  <c r="AE3" i="37"/>
  <c r="AD3" i="37"/>
  <c r="T3" i="37"/>
  <c r="S3" i="37"/>
  <c r="R3" i="37"/>
  <c r="Q3" i="37"/>
  <c r="G3" i="37" s="1"/>
  <c r="P3" i="37"/>
  <c r="O3" i="37"/>
  <c r="N3" i="37"/>
  <c r="M3" i="37"/>
  <c r="L3" i="37"/>
  <c r="K3" i="37"/>
  <c r="J3" i="37"/>
  <c r="I3" i="37"/>
  <c r="E3" i="37"/>
  <c r="D3" i="37"/>
  <c r="CW136" i="22" l="1"/>
  <c r="CV127" i="22"/>
  <c r="CV136" i="22"/>
  <c r="CW127" i="22"/>
  <c r="CT127" i="22"/>
  <c r="CW128" i="22"/>
  <c r="CU127" i="22"/>
  <c r="CV140" i="22"/>
  <c r="CU140" i="22"/>
  <c r="CW140" i="22"/>
  <c r="CU128" i="22"/>
  <c r="CT132" i="22"/>
  <c r="CX132" i="22" s="1"/>
  <c r="CV146" i="22"/>
  <c r="CX141" i="22"/>
  <c r="CV144" i="22"/>
  <c r="CU136" i="22"/>
  <c r="CX139" i="22"/>
  <c r="CX145" i="22"/>
  <c r="CX137" i="22"/>
  <c r="CT134" i="22"/>
  <c r="CX134" i="22" s="1"/>
  <c r="CU126" i="22"/>
  <c r="CT140" i="22"/>
  <c r="CT126" i="22"/>
  <c r="CX126" i="22" s="1"/>
  <c r="CU130" i="22"/>
  <c r="CU138" i="22"/>
  <c r="CT144" i="22"/>
  <c r="CX144" i="22" s="1"/>
  <c r="CV130" i="22"/>
  <c r="CX129" i="22"/>
  <c r="CU144" i="22"/>
  <c r="CW139" i="22"/>
  <c r="CU146" i="22"/>
  <c r="CV128" i="22"/>
  <c r="CT128" i="22"/>
  <c r="CT136" i="22"/>
  <c r="CV138" i="22"/>
  <c r="CX125" i="22"/>
  <c r="J56" i="38"/>
  <c r="G56" i="38"/>
  <c r="H56" i="38"/>
  <c r="F56" i="38"/>
  <c r="J57" i="38"/>
  <c r="H57" i="38"/>
  <c r="F57" i="38"/>
  <c r="G57" i="38"/>
  <c r="H4" i="37"/>
  <c r="AA4" i="37"/>
  <c r="AS17" i="37"/>
  <c r="AA17" i="37"/>
  <c r="Z3" i="37"/>
  <c r="X4" i="37"/>
  <c r="AS3" i="37"/>
  <c r="U17" i="37"/>
  <c r="AZ3" i="37"/>
  <c r="Z17" i="37"/>
  <c r="Y3" i="37"/>
  <c r="AM3" i="37"/>
  <c r="U4" i="37"/>
  <c r="Z4" i="37"/>
  <c r="AK17" i="37"/>
  <c r="AZ17" i="37"/>
  <c r="AZ4" i="37"/>
  <c r="AB17" i="37"/>
  <c r="AK4" i="37"/>
  <c r="Y17" i="37"/>
  <c r="AP17" i="37"/>
  <c r="AA3" i="37"/>
  <c r="AN17" i="37"/>
  <c r="AO3" i="37"/>
  <c r="AR3" i="37"/>
  <c r="AO4" i="37"/>
  <c r="AB3" i="37"/>
  <c r="U3" i="37"/>
  <c r="W4" i="37"/>
  <c r="AP4" i="37"/>
  <c r="AO17" i="37"/>
  <c r="AM4" i="37"/>
  <c r="AC3" i="37"/>
  <c r="AK3" i="37"/>
  <c r="AT3" i="37"/>
  <c r="F4" i="37"/>
  <c r="AQ4" i="37"/>
  <c r="W17" i="37"/>
  <c r="X17" i="37"/>
  <c r="H3" i="37"/>
  <c r="Y4" i="37"/>
  <c r="V4" i="37"/>
  <c r="AS4" i="37"/>
  <c r="F17" i="37"/>
  <c r="V17" i="37"/>
  <c r="AQ17" i="37"/>
  <c r="AN3" i="37"/>
  <c r="W3" i="37"/>
  <c r="X3" i="37"/>
  <c r="AP3" i="37"/>
  <c r="AC4" i="37"/>
  <c r="AC17" i="37"/>
  <c r="F3" i="37"/>
  <c r="V3" i="37"/>
  <c r="AQ3" i="37"/>
  <c r="AB4" i="37"/>
  <c r="AN4" i="37"/>
  <c r="AL4" i="37"/>
  <c r="H17" i="37"/>
  <c r="AM17" i="37"/>
  <c r="AL17" i="37"/>
  <c r="AT17" i="37"/>
  <c r="AR17" i="37"/>
  <c r="AL3" i="37"/>
  <c r="AT4" i="37"/>
  <c r="AR4" i="37"/>
  <c r="H23" i="9"/>
  <c r="F22" i="9"/>
  <c r="H24" i="9"/>
  <c r="F23" i="9"/>
  <c r="F24" i="9"/>
  <c r="H22" i="9"/>
  <c r="AH62" i="37"/>
  <c r="AH65" i="37"/>
  <c r="AH72" i="37"/>
  <c r="AH70" i="37"/>
  <c r="AH71" i="37"/>
  <c r="AH73" i="37"/>
  <c r="AH74" i="37"/>
  <c r="F70" i="37"/>
  <c r="J70" i="37"/>
  <c r="G65" i="37"/>
  <c r="H70" i="37"/>
  <c r="G73" i="37"/>
  <c r="F65" i="37"/>
  <c r="G70" i="37"/>
  <c r="H71" i="37"/>
  <c r="F73" i="37"/>
  <c r="G74" i="37"/>
  <c r="H62" i="37"/>
  <c r="CX136" i="22" l="1"/>
  <c r="CX128" i="22"/>
  <c r="CX140" i="22"/>
  <c r="CX127" i="22"/>
  <c r="BA4" i="37"/>
  <c r="BA17" i="37"/>
  <c r="BA3" i="37"/>
  <c r="I15" i="9"/>
  <c r="I16" i="9"/>
  <c r="I19" i="34"/>
  <c r="I19" i="33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AI18" i="32"/>
  <c r="AJ18" i="32"/>
  <c r="AK18" i="32"/>
  <c r="AL18" i="32"/>
  <c r="AM18" i="32"/>
  <c r="AN18" i="32"/>
  <c r="AO18" i="32"/>
  <c r="AP18" i="32"/>
  <c r="AQ18" i="32"/>
  <c r="AR18" i="32"/>
  <c r="AS18" i="32"/>
  <c r="AT18" i="32"/>
  <c r="AU18" i="32"/>
  <c r="AV18" i="32"/>
  <c r="AW18" i="32"/>
  <c r="AX18" i="32"/>
  <c r="AY18" i="32"/>
  <c r="AZ18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AJ19" i="32"/>
  <c r="AK19" i="32"/>
  <c r="AL19" i="32"/>
  <c r="AM19" i="32"/>
  <c r="AN19" i="32"/>
  <c r="AO19" i="32"/>
  <c r="AP19" i="32"/>
  <c r="AQ19" i="32"/>
  <c r="AR19" i="32"/>
  <c r="AS19" i="32"/>
  <c r="AT19" i="32"/>
  <c r="AU19" i="32"/>
  <c r="AV19" i="32"/>
  <c r="AW19" i="32"/>
  <c r="AX19" i="32"/>
  <c r="AY19" i="32"/>
  <c r="AZ19" i="32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AD19" i="30"/>
  <c r="AE19" i="30"/>
  <c r="AF19" i="30"/>
  <c r="AG19" i="30"/>
  <c r="AH19" i="30"/>
  <c r="AI19" i="30"/>
  <c r="AJ19" i="30"/>
  <c r="AK19" i="30"/>
  <c r="AL19" i="30"/>
  <c r="AM19" i="30"/>
  <c r="AN19" i="30"/>
  <c r="AO19" i="30"/>
  <c r="AP19" i="30"/>
  <c r="AQ19" i="30"/>
  <c r="AR19" i="30"/>
  <c r="AS19" i="30"/>
  <c r="AT19" i="30"/>
  <c r="AU19" i="30"/>
  <c r="AV19" i="30"/>
  <c r="AW19" i="30"/>
  <c r="AX19" i="30"/>
  <c r="AY19" i="30"/>
  <c r="AZ19" i="30"/>
  <c r="AG77" i="30"/>
  <c r="AF77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AG76" i="30"/>
  <c r="AF76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AG75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AG74" i="30"/>
  <c r="AF74" i="30"/>
  <c r="AE74" i="30"/>
  <c r="AD74" i="30"/>
  <c r="AC74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AG73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AG70" i="30"/>
  <c r="AF70" i="30"/>
  <c r="AE70" i="30"/>
  <c r="AD70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AG69" i="30"/>
  <c r="AF69" i="30"/>
  <c r="AE69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AG68" i="30"/>
  <c r="AF68" i="30"/>
  <c r="AE68" i="30"/>
  <c r="AD68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AG65" i="30"/>
  <c r="AF65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AG64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J60" i="30" s="1"/>
  <c r="P60" i="30"/>
  <c r="O60" i="30"/>
  <c r="N60" i="30"/>
  <c r="M60" i="30"/>
  <c r="G60" i="30" s="1"/>
  <c r="L60" i="30"/>
  <c r="K60" i="30"/>
  <c r="I60" i="30"/>
  <c r="E60" i="30"/>
  <c r="D60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AG58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J58" i="30" s="1"/>
  <c r="P58" i="30"/>
  <c r="O58" i="30"/>
  <c r="N58" i="30"/>
  <c r="M58" i="30"/>
  <c r="H58" i="30" s="1"/>
  <c r="L58" i="30"/>
  <c r="K58" i="30"/>
  <c r="I58" i="30"/>
  <c r="E58" i="30"/>
  <c r="D58" i="30"/>
  <c r="C52" i="30"/>
  <c r="D52" i="30" s="1"/>
  <c r="C51" i="30"/>
  <c r="R49" i="30"/>
  <c r="Q49" i="30"/>
  <c r="P49" i="30"/>
  <c r="O49" i="30"/>
  <c r="N49" i="30"/>
  <c r="M49" i="30"/>
  <c r="L49" i="30"/>
  <c r="K49" i="30"/>
  <c r="J49" i="30"/>
  <c r="H49" i="30"/>
  <c r="G49" i="30"/>
  <c r="F49" i="30"/>
  <c r="E49" i="30"/>
  <c r="R48" i="30"/>
  <c r="Q48" i="30"/>
  <c r="P48" i="30"/>
  <c r="O48" i="30"/>
  <c r="N48" i="30"/>
  <c r="M48" i="30"/>
  <c r="L48" i="30"/>
  <c r="K48" i="30"/>
  <c r="J48" i="30"/>
  <c r="H48" i="30"/>
  <c r="G48" i="30"/>
  <c r="F48" i="30"/>
  <c r="E48" i="30"/>
  <c r="R47" i="30"/>
  <c r="Q47" i="30"/>
  <c r="P47" i="30"/>
  <c r="O47" i="30"/>
  <c r="N47" i="30"/>
  <c r="M47" i="30"/>
  <c r="L47" i="30"/>
  <c r="K47" i="30"/>
  <c r="J47" i="30"/>
  <c r="H47" i="30"/>
  <c r="G47" i="30"/>
  <c r="F47" i="30"/>
  <c r="E47" i="30"/>
  <c r="R46" i="30"/>
  <c r="X46" i="30" s="1"/>
  <c r="Q46" i="30"/>
  <c r="W46" i="30" s="1"/>
  <c r="P46" i="30"/>
  <c r="O46" i="30"/>
  <c r="N46" i="30"/>
  <c r="M46" i="30"/>
  <c r="L46" i="30"/>
  <c r="K46" i="30"/>
  <c r="J46" i="30"/>
  <c r="H46" i="30"/>
  <c r="G46" i="30"/>
  <c r="F46" i="30"/>
  <c r="E46" i="30"/>
  <c r="R45" i="30"/>
  <c r="X41" i="30" s="1"/>
  <c r="Q45" i="30"/>
  <c r="W41" i="30" s="1"/>
  <c r="P45" i="30"/>
  <c r="O45" i="30"/>
  <c r="N45" i="30"/>
  <c r="M45" i="30"/>
  <c r="L45" i="30"/>
  <c r="K45" i="30"/>
  <c r="J45" i="30"/>
  <c r="H45" i="30"/>
  <c r="G45" i="30"/>
  <c r="F45" i="30"/>
  <c r="E45" i="30"/>
  <c r="X44" i="30"/>
  <c r="W44" i="30"/>
  <c r="R44" i="30"/>
  <c r="X45" i="30" s="1"/>
  <c r="Q44" i="30"/>
  <c r="W45" i="30" s="1"/>
  <c r="P44" i="30"/>
  <c r="O44" i="30"/>
  <c r="N44" i="30"/>
  <c r="M44" i="30"/>
  <c r="L44" i="30"/>
  <c r="K44" i="30"/>
  <c r="J44" i="30"/>
  <c r="H44" i="30"/>
  <c r="G44" i="30"/>
  <c r="F44" i="30"/>
  <c r="E44" i="30"/>
  <c r="X43" i="30"/>
  <c r="W43" i="30"/>
  <c r="R43" i="30"/>
  <c r="X42" i="30" s="1"/>
  <c r="Q43" i="30"/>
  <c r="W42" i="30" s="1"/>
  <c r="P43" i="30"/>
  <c r="O43" i="30"/>
  <c r="N43" i="30"/>
  <c r="M43" i="30"/>
  <c r="L43" i="30"/>
  <c r="K43" i="30"/>
  <c r="J43" i="30"/>
  <c r="H43" i="30"/>
  <c r="G43" i="30"/>
  <c r="F43" i="30"/>
  <c r="E43" i="30"/>
  <c r="R42" i="30"/>
  <c r="X47" i="30" s="1"/>
  <c r="Q42" i="30"/>
  <c r="W47" i="30" s="1"/>
  <c r="P42" i="30"/>
  <c r="O42" i="30"/>
  <c r="N42" i="30"/>
  <c r="M42" i="30"/>
  <c r="L42" i="30"/>
  <c r="K42" i="30"/>
  <c r="J42" i="30"/>
  <c r="H42" i="30"/>
  <c r="G42" i="30"/>
  <c r="F42" i="30"/>
  <c r="E42" i="30"/>
  <c r="R41" i="30"/>
  <c r="X48" i="30" s="1"/>
  <c r="Q41" i="30"/>
  <c r="W48" i="30" s="1"/>
  <c r="P41" i="30"/>
  <c r="O41" i="30"/>
  <c r="N41" i="30"/>
  <c r="M41" i="30"/>
  <c r="L41" i="30"/>
  <c r="K41" i="30"/>
  <c r="J41" i="30"/>
  <c r="H41" i="30"/>
  <c r="G41" i="30"/>
  <c r="F41" i="30"/>
  <c r="E41" i="30"/>
  <c r="R38" i="30"/>
  <c r="Q38" i="30"/>
  <c r="P38" i="30"/>
  <c r="O38" i="30"/>
  <c r="N38" i="30"/>
  <c r="M38" i="30"/>
  <c r="L38" i="30"/>
  <c r="K38" i="30"/>
  <c r="J38" i="30"/>
  <c r="H38" i="30"/>
  <c r="G38" i="30"/>
  <c r="F38" i="30"/>
  <c r="E38" i="30"/>
  <c r="R37" i="30"/>
  <c r="Q37" i="30"/>
  <c r="P37" i="30"/>
  <c r="O37" i="30"/>
  <c r="N37" i="30"/>
  <c r="M37" i="30"/>
  <c r="L37" i="30"/>
  <c r="K37" i="30"/>
  <c r="J37" i="30"/>
  <c r="H37" i="30"/>
  <c r="G37" i="30"/>
  <c r="F37" i="30"/>
  <c r="E37" i="30"/>
  <c r="R36" i="30"/>
  <c r="Q36" i="30"/>
  <c r="P36" i="30"/>
  <c r="O36" i="30"/>
  <c r="N36" i="30"/>
  <c r="M36" i="30"/>
  <c r="L36" i="30"/>
  <c r="K36" i="30"/>
  <c r="J36" i="30"/>
  <c r="H36" i="30"/>
  <c r="G36" i="30"/>
  <c r="F36" i="30"/>
  <c r="E36" i="30"/>
  <c r="R35" i="30"/>
  <c r="Q35" i="30"/>
  <c r="P35" i="30"/>
  <c r="O35" i="30"/>
  <c r="N35" i="30"/>
  <c r="M35" i="30"/>
  <c r="L35" i="30"/>
  <c r="K35" i="30"/>
  <c r="J35" i="30"/>
  <c r="H35" i="30"/>
  <c r="G35" i="30"/>
  <c r="F35" i="30"/>
  <c r="E35" i="30"/>
  <c r="R34" i="30"/>
  <c r="Q34" i="30"/>
  <c r="P34" i="30"/>
  <c r="O34" i="30"/>
  <c r="N34" i="30"/>
  <c r="M34" i="30"/>
  <c r="L34" i="30"/>
  <c r="K34" i="30"/>
  <c r="J34" i="30"/>
  <c r="H34" i="30"/>
  <c r="G34" i="30"/>
  <c r="F34" i="30"/>
  <c r="E34" i="30"/>
  <c r="R33" i="30"/>
  <c r="Q33" i="30"/>
  <c r="P33" i="30"/>
  <c r="O33" i="30"/>
  <c r="N33" i="30"/>
  <c r="M33" i="30"/>
  <c r="L33" i="30"/>
  <c r="K33" i="30"/>
  <c r="J33" i="30"/>
  <c r="H33" i="30"/>
  <c r="G33" i="30"/>
  <c r="F33" i="30"/>
  <c r="E33" i="30"/>
  <c r="R32" i="30"/>
  <c r="Q32" i="30"/>
  <c r="P32" i="30"/>
  <c r="O32" i="30"/>
  <c r="N32" i="30"/>
  <c r="M32" i="30"/>
  <c r="L32" i="30"/>
  <c r="K32" i="30"/>
  <c r="J32" i="30"/>
  <c r="H32" i="30"/>
  <c r="G32" i="30"/>
  <c r="F32" i="30"/>
  <c r="E32" i="30"/>
  <c r="R31" i="30"/>
  <c r="Q31" i="30"/>
  <c r="P31" i="30"/>
  <c r="O31" i="30"/>
  <c r="N31" i="30"/>
  <c r="M31" i="30"/>
  <c r="L31" i="30"/>
  <c r="K31" i="30"/>
  <c r="J31" i="30"/>
  <c r="H31" i="30"/>
  <c r="G31" i="30"/>
  <c r="F31" i="30"/>
  <c r="E31" i="30"/>
  <c r="R30" i="30"/>
  <c r="Q30" i="30"/>
  <c r="P30" i="30"/>
  <c r="O30" i="30"/>
  <c r="N30" i="30"/>
  <c r="M30" i="30"/>
  <c r="L30" i="30"/>
  <c r="K30" i="30"/>
  <c r="J30" i="30"/>
  <c r="H30" i="30"/>
  <c r="G30" i="30"/>
  <c r="F30" i="30"/>
  <c r="E30" i="30"/>
  <c r="AZ27" i="30"/>
  <c r="AY27" i="30"/>
  <c r="AX27" i="30"/>
  <c r="AW27" i="30"/>
  <c r="AV27" i="30"/>
  <c r="AU27" i="30"/>
  <c r="AT27" i="30"/>
  <c r="AS27" i="30"/>
  <c r="AR27" i="30"/>
  <c r="AQ27" i="30"/>
  <c r="AP27" i="30"/>
  <c r="AO27" i="30"/>
  <c r="AN27" i="30"/>
  <c r="AM27" i="30"/>
  <c r="AL27" i="30"/>
  <c r="AK27" i="30"/>
  <c r="AJ27" i="30"/>
  <c r="AI27" i="30"/>
  <c r="AH27" i="30"/>
  <c r="AG27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AY26" i="30"/>
  <c r="AX26" i="30"/>
  <c r="AW26" i="30"/>
  <c r="AV26" i="30"/>
  <c r="AU26" i="30"/>
  <c r="AJ26" i="30"/>
  <c r="AI26" i="30"/>
  <c r="AH26" i="30"/>
  <c r="AG26" i="30"/>
  <c r="AF26" i="30"/>
  <c r="AE26" i="30"/>
  <c r="AD26" i="30"/>
  <c r="T26" i="30"/>
  <c r="S26" i="30"/>
  <c r="R26" i="30"/>
  <c r="Q26" i="30"/>
  <c r="P26" i="30"/>
  <c r="O26" i="30"/>
  <c r="N26" i="30"/>
  <c r="F26" i="30" s="1"/>
  <c r="M26" i="30"/>
  <c r="L26" i="30"/>
  <c r="K26" i="30"/>
  <c r="J26" i="30"/>
  <c r="I26" i="30"/>
  <c r="G26" i="30"/>
  <c r="E26" i="30"/>
  <c r="D26" i="30"/>
  <c r="AY25" i="30"/>
  <c r="AX25" i="30"/>
  <c r="AW25" i="30"/>
  <c r="AV25" i="30"/>
  <c r="AU25" i="30"/>
  <c r="AJ25" i="30"/>
  <c r="AI25" i="30"/>
  <c r="AH25" i="30"/>
  <c r="AG25" i="30"/>
  <c r="AF25" i="30"/>
  <c r="X25" i="30" s="1"/>
  <c r="AE25" i="30"/>
  <c r="AD25" i="30"/>
  <c r="AA25" i="30" s="1"/>
  <c r="T25" i="30"/>
  <c r="S25" i="30"/>
  <c r="R25" i="30"/>
  <c r="Q25" i="30"/>
  <c r="G25" i="30" s="1"/>
  <c r="P25" i="30"/>
  <c r="O25" i="30"/>
  <c r="N25" i="30"/>
  <c r="M25" i="30"/>
  <c r="L25" i="30"/>
  <c r="K25" i="30"/>
  <c r="J25" i="30"/>
  <c r="I25" i="30"/>
  <c r="E25" i="30"/>
  <c r="D25" i="30"/>
  <c r="C24" i="30"/>
  <c r="AZ22" i="30"/>
  <c r="AY22" i="30"/>
  <c r="AX22" i="30"/>
  <c r="AW22" i="30"/>
  <c r="AV22" i="30"/>
  <c r="AU22" i="30"/>
  <c r="AT22" i="30"/>
  <c r="AS22" i="30"/>
  <c r="AR22" i="30"/>
  <c r="AQ22" i="30"/>
  <c r="AP22" i="30"/>
  <c r="AO22" i="30"/>
  <c r="AN22" i="30"/>
  <c r="AM22" i="30"/>
  <c r="AL22" i="30"/>
  <c r="AK22" i="30"/>
  <c r="AJ22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AZ21" i="30"/>
  <c r="AY21" i="30"/>
  <c r="AX21" i="30"/>
  <c r="AW21" i="30"/>
  <c r="AV21" i="30"/>
  <c r="AU21" i="30"/>
  <c r="AT21" i="30"/>
  <c r="AS21" i="30"/>
  <c r="AR21" i="30"/>
  <c r="AQ21" i="30"/>
  <c r="AP21" i="30"/>
  <c r="AO21" i="30"/>
  <c r="AN21" i="30"/>
  <c r="AM21" i="30"/>
  <c r="AL21" i="30"/>
  <c r="AK21" i="30"/>
  <c r="AJ21" i="30"/>
  <c r="AI21" i="30"/>
  <c r="AH21" i="30"/>
  <c r="AG21" i="30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AZ20" i="30"/>
  <c r="AY20" i="30"/>
  <c r="AX20" i="30"/>
  <c r="AW20" i="30"/>
  <c r="AV20" i="30"/>
  <c r="AU20" i="30"/>
  <c r="AT20" i="30"/>
  <c r="AS20" i="30"/>
  <c r="AR20" i="30"/>
  <c r="AQ20" i="30"/>
  <c r="AP20" i="30"/>
  <c r="AO20" i="30"/>
  <c r="AN20" i="30"/>
  <c r="AM20" i="30"/>
  <c r="AL20" i="30"/>
  <c r="AK20" i="30"/>
  <c r="AJ20" i="30"/>
  <c r="AI20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G19" i="30"/>
  <c r="E19" i="30"/>
  <c r="D19" i="30"/>
  <c r="AY18" i="30"/>
  <c r="AX18" i="30"/>
  <c r="AW18" i="30"/>
  <c r="AT18" i="30" s="1"/>
  <c r="AV18" i="30"/>
  <c r="AU18" i="30"/>
  <c r="AJ18" i="30"/>
  <c r="AI18" i="30"/>
  <c r="AH18" i="30"/>
  <c r="AG18" i="30"/>
  <c r="AF18" i="30"/>
  <c r="Y18" i="30" s="1"/>
  <c r="AE18" i="30"/>
  <c r="AD18" i="30"/>
  <c r="V18" i="30"/>
  <c r="T18" i="30"/>
  <c r="S18" i="30"/>
  <c r="R18" i="30"/>
  <c r="Q18" i="30"/>
  <c r="G18" i="30" s="1"/>
  <c r="P18" i="30"/>
  <c r="O18" i="30"/>
  <c r="N18" i="30"/>
  <c r="M18" i="30"/>
  <c r="L18" i="30"/>
  <c r="K18" i="30"/>
  <c r="H18" i="30" s="1"/>
  <c r="J18" i="30"/>
  <c r="I18" i="30"/>
  <c r="E18" i="30"/>
  <c r="D18" i="30"/>
  <c r="AZ17" i="30"/>
  <c r="AY17" i="30"/>
  <c r="AX17" i="30"/>
  <c r="AW17" i="30"/>
  <c r="AV17" i="30"/>
  <c r="AU17" i="30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6" i="30"/>
  <c r="AZ14" i="30"/>
  <c r="AY14" i="30"/>
  <c r="AX14" i="30"/>
  <c r="AW14" i="30"/>
  <c r="AV14" i="30"/>
  <c r="AU14" i="30"/>
  <c r="AT14" i="30"/>
  <c r="AS14" i="30"/>
  <c r="AR14" i="30"/>
  <c r="AQ14" i="30"/>
  <c r="AP14" i="30"/>
  <c r="AO14" i="30"/>
  <c r="AN14" i="30"/>
  <c r="AM14" i="30"/>
  <c r="AL14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AZ13" i="30"/>
  <c r="AY13" i="30"/>
  <c r="AX13" i="30"/>
  <c r="AW13" i="30"/>
  <c r="AV13" i="30"/>
  <c r="AU13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AZ12" i="30"/>
  <c r="AY12" i="30"/>
  <c r="AX12" i="30"/>
  <c r="AW12" i="30"/>
  <c r="AV12" i="30"/>
  <c r="AU12" i="30"/>
  <c r="AT12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AY11" i="30"/>
  <c r="AX11" i="30"/>
  <c r="AW11" i="30"/>
  <c r="AP11" i="30" s="1"/>
  <c r="AV11" i="30"/>
  <c r="AU11" i="30"/>
  <c r="AQ11" i="30"/>
  <c r="AM11" i="30"/>
  <c r="AJ11" i="30"/>
  <c r="AI11" i="30"/>
  <c r="U11" i="30" s="1"/>
  <c r="AH11" i="30"/>
  <c r="AG11" i="30"/>
  <c r="V11" i="30" s="1"/>
  <c r="AF11" i="30"/>
  <c r="AE11" i="30"/>
  <c r="AD11" i="30"/>
  <c r="AA11" i="30"/>
  <c r="X11" i="30"/>
  <c r="W11" i="30"/>
  <c r="T11" i="30"/>
  <c r="S11" i="30"/>
  <c r="R11" i="30"/>
  <c r="Q11" i="30"/>
  <c r="P11" i="30"/>
  <c r="O11" i="30"/>
  <c r="F11" i="30" s="1"/>
  <c r="N11" i="30"/>
  <c r="M11" i="30"/>
  <c r="L11" i="30"/>
  <c r="K11" i="30"/>
  <c r="H11" i="30" s="1"/>
  <c r="J11" i="30"/>
  <c r="I11" i="30"/>
  <c r="G11" i="30"/>
  <c r="E11" i="30"/>
  <c r="D11" i="30"/>
  <c r="AZ10" i="30"/>
  <c r="AY10" i="30"/>
  <c r="AX10" i="30"/>
  <c r="AW10" i="30"/>
  <c r="AV10" i="30"/>
  <c r="AU10" i="30"/>
  <c r="AT10" i="30"/>
  <c r="AS10" i="30"/>
  <c r="AR10" i="30"/>
  <c r="AQ10" i="30"/>
  <c r="AP10" i="30"/>
  <c r="AO10" i="30"/>
  <c r="AN10" i="30"/>
  <c r="AM10" i="30"/>
  <c r="AL10" i="30"/>
  <c r="AK10" i="30"/>
  <c r="AJ10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AY9" i="30"/>
  <c r="AX9" i="30"/>
  <c r="AM9" i="30" s="1"/>
  <c r="AW9" i="30"/>
  <c r="AV9" i="30"/>
  <c r="AU9" i="30"/>
  <c r="AZ9" i="30" s="1"/>
  <c r="AS9" i="30"/>
  <c r="AO9" i="30"/>
  <c r="AL9" i="30"/>
  <c r="AJ9" i="30"/>
  <c r="AI9" i="30"/>
  <c r="AH9" i="30"/>
  <c r="AG9" i="30"/>
  <c r="Y9" i="30" s="1"/>
  <c r="AF9" i="30"/>
  <c r="AE9" i="30"/>
  <c r="AD9" i="30"/>
  <c r="AC9" i="30"/>
  <c r="T9" i="30"/>
  <c r="S9" i="30"/>
  <c r="R9" i="30"/>
  <c r="Q9" i="30"/>
  <c r="G9" i="30" s="1"/>
  <c r="P9" i="30"/>
  <c r="O9" i="30"/>
  <c r="N9" i="30"/>
  <c r="M9" i="30"/>
  <c r="F9" i="30" s="1"/>
  <c r="L9" i="30"/>
  <c r="K9" i="30"/>
  <c r="H9" i="30" s="1"/>
  <c r="J9" i="30"/>
  <c r="I9" i="30"/>
  <c r="E9" i="30"/>
  <c r="D9" i="30"/>
  <c r="AZ8" i="30"/>
  <c r="AY8" i="30"/>
  <c r="AX8" i="30"/>
  <c r="AW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AZ7" i="30"/>
  <c r="AY7" i="30"/>
  <c r="AX7" i="30"/>
  <c r="AW7" i="30"/>
  <c r="AV7" i="30"/>
  <c r="AU7" i="30"/>
  <c r="AT7" i="30"/>
  <c r="AS7" i="30"/>
  <c r="AR7" i="30"/>
  <c r="AQ7" i="30"/>
  <c r="AP7" i="30"/>
  <c r="AO7" i="30"/>
  <c r="AN7" i="30"/>
  <c r="AM7" i="30"/>
  <c r="AL7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5" i="30"/>
  <c r="AG77" i="32"/>
  <c r="AF77" i="32"/>
  <c r="AE77" i="32"/>
  <c r="AD77" i="32"/>
  <c r="AC77" i="32"/>
  <c r="AB77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D77" i="32"/>
  <c r="AG76" i="32"/>
  <c r="AF76" i="32"/>
  <c r="AE76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D76" i="32"/>
  <c r="AG75" i="32"/>
  <c r="AF75" i="32"/>
  <c r="AE75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D75" i="32"/>
  <c r="AG74" i="32"/>
  <c r="AF74" i="32"/>
  <c r="AE74" i="32"/>
  <c r="AD74" i="32"/>
  <c r="AC74" i="32"/>
  <c r="AB74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D74" i="32"/>
  <c r="AG73" i="32"/>
  <c r="AF73" i="32"/>
  <c r="AE73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D73" i="32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D72" i="32"/>
  <c r="AG71" i="32"/>
  <c r="AF71" i="32"/>
  <c r="AE71" i="32"/>
  <c r="AD71" i="32"/>
  <c r="AC71" i="32"/>
  <c r="AB71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D71" i="32"/>
  <c r="AG70" i="32"/>
  <c r="AF70" i="32"/>
  <c r="AE70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D70" i="32"/>
  <c r="AG69" i="32"/>
  <c r="AF69" i="32"/>
  <c r="AE69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D69" i="32"/>
  <c r="AG68" i="32"/>
  <c r="AF68" i="32"/>
  <c r="AE68" i="32"/>
  <c r="AD68" i="32"/>
  <c r="AC68" i="32"/>
  <c r="AB68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D68" i="32"/>
  <c r="AG65" i="32"/>
  <c r="AF65" i="32"/>
  <c r="AE65" i="32"/>
  <c r="AD65" i="32"/>
  <c r="AC65" i="32"/>
  <c r="AB65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D65" i="32"/>
  <c r="AG64" i="32"/>
  <c r="AF64" i="32"/>
  <c r="AE64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D64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D61" i="32"/>
  <c r="AG60" i="32"/>
  <c r="AF60" i="32"/>
  <c r="AE60" i="32"/>
  <c r="AD60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I60" i="32"/>
  <c r="D60" i="32"/>
  <c r="AG59" i="32"/>
  <c r="AF59" i="32"/>
  <c r="AE59" i="32"/>
  <c r="AD59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D59" i="32"/>
  <c r="AG58" i="32"/>
  <c r="AF58" i="32"/>
  <c r="AE58" i="32"/>
  <c r="AD58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I58" i="32"/>
  <c r="D58" i="32"/>
  <c r="C52" i="32"/>
  <c r="D52" i="32" s="1"/>
  <c r="C51" i="32"/>
  <c r="R49" i="32"/>
  <c r="Q49" i="32"/>
  <c r="P49" i="32"/>
  <c r="O49" i="32"/>
  <c r="N49" i="32"/>
  <c r="M49" i="32"/>
  <c r="L49" i="32"/>
  <c r="K49" i="32"/>
  <c r="J49" i="32"/>
  <c r="H49" i="32"/>
  <c r="G49" i="32"/>
  <c r="F49" i="32"/>
  <c r="E49" i="32"/>
  <c r="R48" i="32"/>
  <c r="Q48" i="32"/>
  <c r="P48" i="32"/>
  <c r="O48" i="32"/>
  <c r="N48" i="32"/>
  <c r="M48" i="32"/>
  <c r="L48" i="32"/>
  <c r="K48" i="32"/>
  <c r="J48" i="32"/>
  <c r="H48" i="32"/>
  <c r="G48" i="32"/>
  <c r="F48" i="32"/>
  <c r="E48" i="32"/>
  <c r="R47" i="32"/>
  <c r="Q47" i="32"/>
  <c r="P47" i="32"/>
  <c r="O47" i="32"/>
  <c r="N47" i="32"/>
  <c r="M47" i="32"/>
  <c r="L47" i="32"/>
  <c r="K47" i="32"/>
  <c r="J47" i="32"/>
  <c r="H47" i="32"/>
  <c r="G47" i="32"/>
  <c r="F47" i="32"/>
  <c r="E47" i="32"/>
  <c r="R46" i="32"/>
  <c r="X46" i="32" s="1"/>
  <c r="Q46" i="32"/>
  <c r="W46" i="32" s="1"/>
  <c r="P46" i="32"/>
  <c r="O46" i="32"/>
  <c r="N46" i="32"/>
  <c r="M46" i="32"/>
  <c r="L46" i="32"/>
  <c r="K46" i="32"/>
  <c r="J46" i="32"/>
  <c r="H46" i="32"/>
  <c r="G46" i="32"/>
  <c r="F46" i="32"/>
  <c r="E46" i="32"/>
  <c r="R45" i="32"/>
  <c r="X41" i="32" s="1"/>
  <c r="Q45" i="32"/>
  <c r="W41" i="32" s="1"/>
  <c r="P45" i="32"/>
  <c r="O45" i="32"/>
  <c r="N45" i="32"/>
  <c r="M45" i="32"/>
  <c r="L45" i="32"/>
  <c r="K45" i="32"/>
  <c r="J45" i="32"/>
  <c r="H45" i="32"/>
  <c r="G45" i="32"/>
  <c r="F45" i="32"/>
  <c r="E45" i="32"/>
  <c r="X44" i="32"/>
  <c r="W44" i="32"/>
  <c r="R44" i="32"/>
  <c r="X45" i="32" s="1"/>
  <c r="Q44" i="32"/>
  <c r="W45" i="32" s="1"/>
  <c r="P44" i="32"/>
  <c r="O44" i="32"/>
  <c r="N44" i="32"/>
  <c r="M44" i="32"/>
  <c r="L44" i="32"/>
  <c r="K44" i="32"/>
  <c r="J44" i="32"/>
  <c r="H44" i="32"/>
  <c r="G44" i="32"/>
  <c r="F44" i="32"/>
  <c r="E44" i="32"/>
  <c r="X43" i="32"/>
  <c r="W43" i="32"/>
  <c r="R43" i="32"/>
  <c r="X42" i="32" s="1"/>
  <c r="Q43" i="32"/>
  <c r="W42" i="32" s="1"/>
  <c r="P43" i="32"/>
  <c r="O43" i="32"/>
  <c r="N43" i="32"/>
  <c r="M43" i="32"/>
  <c r="L43" i="32"/>
  <c r="K43" i="32"/>
  <c r="J43" i="32"/>
  <c r="H43" i="32"/>
  <c r="G43" i="32"/>
  <c r="F43" i="32"/>
  <c r="E43" i="32"/>
  <c r="R42" i="32"/>
  <c r="X47" i="32" s="1"/>
  <c r="Q42" i="32"/>
  <c r="W47" i="32" s="1"/>
  <c r="P42" i="32"/>
  <c r="O42" i="32"/>
  <c r="N42" i="32"/>
  <c r="M42" i="32"/>
  <c r="L42" i="32"/>
  <c r="K42" i="32"/>
  <c r="J42" i="32"/>
  <c r="H42" i="32"/>
  <c r="G42" i="32"/>
  <c r="F42" i="32"/>
  <c r="E42" i="32"/>
  <c r="R41" i="32"/>
  <c r="X48" i="32" s="1"/>
  <c r="Q41" i="32"/>
  <c r="W48" i="32" s="1"/>
  <c r="P41" i="32"/>
  <c r="O41" i="32"/>
  <c r="N41" i="32"/>
  <c r="M41" i="32"/>
  <c r="L41" i="32"/>
  <c r="K41" i="32"/>
  <c r="J41" i="32"/>
  <c r="H41" i="32"/>
  <c r="G41" i="32"/>
  <c r="F41" i="32"/>
  <c r="E41" i="32"/>
  <c r="R38" i="32"/>
  <c r="Q38" i="32"/>
  <c r="P38" i="32"/>
  <c r="O38" i="32"/>
  <c r="N38" i="32"/>
  <c r="M38" i="32"/>
  <c r="L38" i="32"/>
  <c r="K38" i="32"/>
  <c r="J38" i="32"/>
  <c r="H38" i="32"/>
  <c r="G38" i="32"/>
  <c r="F38" i="32"/>
  <c r="E38" i="32"/>
  <c r="R37" i="32"/>
  <c r="Q37" i="32"/>
  <c r="P37" i="32"/>
  <c r="O37" i="32"/>
  <c r="N37" i="32"/>
  <c r="M37" i="32"/>
  <c r="L37" i="32"/>
  <c r="K37" i="32"/>
  <c r="J37" i="32"/>
  <c r="H37" i="32"/>
  <c r="G37" i="32"/>
  <c r="F37" i="32"/>
  <c r="E37" i="32"/>
  <c r="R36" i="32"/>
  <c r="Q36" i="32"/>
  <c r="P36" i="32"/>
  <c r="O36" i="32"/>
  <c r="N36" i="32"/>
  <c r="M36" i="32"/>
  <c r="L36" i="32"/>
  <c r="K36" i="32"/>
  <c r="J36" i="32"/>
  <c r="H36" i="32"/>
  <c r="G36" i="32"/>
  <c r="F36" i="32"/>
  <c r="E36" i="32"/>
  <c r="R35" i="32"/>
  <c r="Q35" i="32"/>
  <c r="P35" i="32"/>
  <c r="O35" i="32"/>
  <c r="N35" i="32"/>
  <c r="M35" i="32"/>
  <c r="L35" i="32"/>
  <c r="K35" i="32"/>
  <c r="J35" i="32"/>
  <c r="H35" i="32"/>
  <c r="G35" i="32"/>
  <c r="F35" i="32"/>
  <c r="E35" i="32"/>
  <c r="R34" i="32"/>
  <c r="Q34" i="32"/>
  <c r="P34" i="32"/>
  <c r="O34" i="32"/>
  <c r="N34" i="32"/>
  <c r="M34" i="32"/>
  <c r="L34" i="32"/>
  <c r="K34" i="32"/>
  <c r="J34" i="32"/>
  <c r="H34" i="32"/>
  <c r="G34" i="32"/>
  <c r="F34" i="32"/>
  <c r="E34" i="32"/>
  <c r="R33" i="32"/>
  <c r="Q33" i="32"/>
  <c r="P33" i="32"/>
  <c r="O33" i="32"/>
  <c r="N33" i="32"/>
  <c r="M33" i="32"/>
  <c r="L33" i="32"/>
  <c r="K33" i="32"/>
  <c r="J33" i="32"/>
  <c r="H33" i="32"/>
  <c r="G33" i="32"/>
  <c r="F33" i="32"/>
  <c r="E33" i="32"/>
  <c r="R32" i="32"/>
  <c r="Q32" i="32"/>
  <c r="P32" i="32"/>
  <c r="O32" i="32"/>
  <c r="N32" i="32"/>
  <c r="M32" i="32"/>
  <c r="L32" i="32"/>
  <c r="K32" i="32"/>
  <c r="J32" i="32"/>
  <c r="H32" i="32"/>
  <c r="G32" i="32"/>
  <c r="F32" i="32"/>
  <c r="E32" i="32"/>
  <c r="R31" i="32"/>
  <c r="Q31" i="32"/>
  <c r="P31" i="32"/>
  <c r="O31" i="32"/>
  <c r="N31" i="32"/>
  <c r="M31" i="32"/>
  <c r="L31" i="32"/>
  <c r="K31" i="32"/>
  <c r="J31" i="32"/>
  <c r="H31" i="32"/>
  <c r="G31" i="32"/>
  <c r="F31" i="32"/>
  <c r="E31" i="32"/>
  <c r="R30" i="32"/>
  <c r="Q30" i="32"/>
  <c r="P30" i="32"/>
  <c r="O30" i="32"/>
  <c r="N30" i="32"/>
  <c r="M30" i="32"/>
  <c r="L30" i="32"/>
  <c r="K30" i="32"/>
  <c r="J30" i="32"/>
  <c r="H30" i="32"/>
  <c r="G30" i="32"/>
  <c r="F30" i="32"/>
  <c r="E30" i="32"/>
  <c r="AZ27" i="32"/>
  <c r="AY27" i="32"/>
  <c r="AX27" i="32"/>
  <c r="AW27" i="32"/>
  <c r="AV27" i="32"/>
  <c r="AU27" i="32"/>
  <c r="AT27" i="32"/>
  <c r="AS27" i="32"/>
  <c r="AR27" i="32"/>
  <c r="AQ27" i="32"/>
  <c r="AP27" i="32"/>
  <c r="AO27" i="32"/>
  <c r="AN27" i="32"/>
  <c r="AM27" i="32"/>
  <c r="AL27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AY26" i="32"/>
  <c r="AX26" i="32"/>
  <c r="AW26" i="32"/>
  <c r="AV26" i="32"/>
  <c r="AU26" i="32"/>
  <c r="AJ26" i="32"/>
  <c r="AI26" i="32"/>
  <c r="AH26" i="32"/>
  <c r="AG26" i="32"/>
  <c r="AF26" i="32"/>
  <c r="AE26" i="32"/>
  <c r="AD26" i="32"/>
  <c r="V26" i="32" s="1"/>
  <c r="T26" i="32"/>
  <c r="S26" i="32"/>
  <c r="R26" i="32"/>
  <c r="Q26" i="32"/>
  <c r="G26" i="32" s="1"/>
  <c r="P26" i="32"/>
  <c r="O26" i="32"/>
  <c r="N26" i="32"/>
  <c r="M26" i="32"/>
  <c r="L26" i="32"/>
  <c r="K26" i="32"/>
  <c r="J26" i="32"/>
  <c r="I26" i="32"/>
  <c r="E26" i="32"/>
  <c r="D26" i="32"/>
  <c r="I25" i="32"/>
  <c r="C24" i="32"/>
  <c r="AZ22" i="32"/>
  <c r="AY22" i="32"/>
  <c r="AX22" i="32"/>
  <c r="AW22" i="32"/>
  <c r="AV22" i="32"/>
  <c r="AU22" i="32"/>
  <c r="AT22" i="32"/>
  <c r="AS22" i="32"/>
  <c r="AR22" i="32"/>
  <c r="AQ22" i="32"/>
  <c r="AP22" i="32"/>
  <c r="AO22" i="32"/>
  <c r="AN22" i="32"/>
  <c r="AM22" i="32"/>
  <c r="AL22" i="32"/>
  <c r="AK22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AZ21" i="32"/>
  <c r="AY21" i="32"/>
  <c r="AX21" i="32"/>
  <c r="AW21" i="32"/>
  <c r="AV21" i="32"/>
  <c r="AU21" i="32"/>
  <c r="AT21" i="32"/>
  <c r="AS21" i="32"/>
  <c r="AR21" i="32"/>
  <c r="AQ21" i="32"/>
  <c r="AP21" i="32"/>
  <c r="AO21" i="32"/>
  <c r="AN21" i="32"/>
  <c r="AM21" i="32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AZ20" i="32"/>
  <c r="AY20" i="32"/>
  <c r="AX20" i="32"/>
  <c r="AW20" i="32"/>
  <c r="AV20" i="32"/>
  <c r="AU20" i="32"/>
  <c r="AT20" i="32"/>
  <c r="AS20" i="32"/>
  <c r="AR20" i="32"/>
  <c r="AQ20" i="32"/>
  <c r="AP20" i="32"/>
  <c r="AO20" i="32"/>
  <c r="AN20" i="32"/>
  <c r="AM20" i="32"/>
  <c r="AL20" i="32"/>
  <c r="AK20" i="32"/>
  <c r="AJ20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AZ17" i="32"/>
  <c r="AY17" i="32"/>
  <c r="AX17" i="32"/>
  <c r="AW17" i="32"/>
  <c r="AV17" i="32"/>
  <c r="AU17" i="32"/>
  <c r="AT17" i="32"/>
  <c r="AS17" i="32"/>
  <c r="AR17" i="32"/>
  <c r="AQ17" i="32"/>
  <c r="AP17" i="32"/>
  <c r="AO17" i="32"/>
  <c r="AN17" i="32"/>
  <c r="AM17" i="32"/>
  <c r="AL17" i="32"/>
  <c r="AK17" i="32"/>
  <c r="AJ17" i="32"/>
  <c r="AI17" i="32"/>
  <c r="AH17" i="32"/>
  <c r="AG17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6" i="32"/>
  <c r="AZ14" i="32"/>
  <c r="AY14" i="32"/>
  <c r="AX14" i="32"/>
  <c r="AW14" i="32"/>
  <c r="AV14" i="32"/>
  <c r="AU14" i="32"/>
  <c r="AT14" i="32"/>
  <c r="AS14" i="32"/>
  <c r="AR14" i="32"/>
  <c r="AQ14" i="32"/>
  <c r="AP14" i="32"/>
  <c r="AO14" i="32"/>
  <c r="AN14" i="32"/>
  <c r="AM14" i="32"/>
  <c r="AL14" i="32"/>
  <c r="AK14" i="32"/>
  <c r="AJ14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AZ13" i="32"/>
  <c r="AY13" i="32"/>
  <c r="AX13" i="32"/>
  <c r="AW13" i="32"/>
  <c r="AV13" i="32"/>
  <c r="AU13" i="32"/>
  <c r="AT13" i="32"/>
  <c r="AS13" i="32"/>
  <c r="AR13" i="32"/>
  <c r="AQ13" i="32"/>
  <c r="AP13" i="32"/>
  <c r="AO13" i="32"/>
  <c r="AN13" i="32"/>
  <c r="AM13" i="32"/>
  <c r="AL13" i="32"/>
  <c r="AK13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AZ12" i="32"/>
  <c r="AY12" i="32"/>
  <c r="AX12" i="32"/>
  <c r="AW12" i="32"/>
  <c r="AV12" i="32"/>
  <c r="AU12" i="32"/>
  <c r="AT12" i="32"/>
  <c r="AS12" i="32"/>
  <c r="AR12" i="32"/>
  <c r="AQ12" i="32"/>
  <c r="AP12" i="32"/>
  <c r="AO12" i="32"/>
  <c r="AN12" i="32"/>
  <c r="AM12" i="32"/>
  <c r="AL12" i="32"/>
  <c r="AK12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AY11" i="32"/>
  <c r="AX11" i="32"/>
  <c r="AW11" i="32"/>
  <c r="AV11" i="32"/>
  <c r="AU11" i="32"/>
  <c r="AJ11" i="32"/>
  <c r="AI11" i="32"/>
  <c r="AH11" i="32"/>
  <c r="AG11" i="32"/>
  <c r="AF11" i="32"/>
  <c r="AE11" i="32"/>
  <c r="AD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G11" i="32"/>
  <c r="E11" i="32"/>
  <c r="D11" i="32"/>
  <c r="I10" i="32"/>
  <c r="I9" i="32"/>
  <c r="AZ8" i="32"/>
  <c r="AY8" i="32"/>
  <c r="AX8" i="32"/>
  <c r="AW8" i="32"/>
  <c r="AV8" i="32"/>
  <c r="AU8" i="32"/>
  <c r="AT8" i="32"/>
  <c r="AS8" i="32"/>
  <c r="AR8" i="32"/>
  <c r="AQ8" i="32"/>
  <c r="AP8" i="32"/>
  <c r="AO8" i="32"/>
  <c r="AN8" i="32"/>
  <c r="AM8" i="32"/>
  <c r="AL8" i="32"/>
  <c r="AK8" i="32"/>
  <c r="AJ8" i="32"/>
  <c r="AI8" i="32"/>
  <c r="AH8" i="32"/>
  <c r="AG8" i="32"/>
  <c r="AF8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AZ7" i="32"/>
  <c r="AY7" i="32"/>
  <c r="AX7" i="32"/>
  <c r="AW7" i="32"/>
  <c r="AV7" i="32"/>
  <c r="AU7" i="32"/>
  <c r="AT7" i="32"/>
  <c r="AS7" i="32"/>
  <c r="AR7" i="32"/>
  <c r="AQ7" i="32"/>
  <c r="AP7" i="32"/>
  <c r="AO7" i="32"/>
  <c r="AN7" i="32"/>
  <c r="AM7" i="32"/>
  <c r="AL7" i="32"/>
  <c r="AK7" i="32"/>
  <c r="AJ7" i="32"/>
  <c r="AI7" i="32"/>
  <c r="AH7" i="32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Z6" i="32"/>
  <c r="AY6" i="32"/>
  <c r="AX6" i="32"/>
  <c r="AW6" i="32"/>
  <c r="AV6" i="32"/>
  <c r="AU6" i="32"/>
  <c r="AT6" i="32"/>
  <c r="AS6" i="32"/>
  <c r="AR6" i="32"/>
  <c r="AQ6" i="32"/>
  <c r="AP6" i="32"/>
  <c r="AO6" i="32"/>
  <c r="AN6" i="32"/>
  <c r="AM6" i="32"/>
  <c r="AL6" i="32"/>
  <c r="AK6" i="32"/>
  <c r="AJ6" i="32"/>
  <c r="AI6" i="32"/>
  <c r="AH6" i="32"/>
  <c r="AG6" i="32"/>
  <c r="AF6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5" i="32"/>
  <c r="AG77" i="33"/>
  <c r="AF77" i="33"/>
  <c r="AE77" i="33"/>
  <c r="AD77" i="33"/>
  <c r="AC77" i="33"/>
  <c r="AB77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D77" i="33"/>
  <c r="AG76" i="33"/>
  <c r="AF76" i="33"/>
  <c r="AE76" i="33"/>
  <c r="AD76" i="33"/>
  <c r="AC76" i="33"/>
  <c r="AB76" i="3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D76" i="33"/>
  <c r="AG75" i="33"/>
  <c r="AF75" i="33"/>
  <c r="AE75" i="33"/>
  <c r="AD75" i="33"/>
  <c r="AC75" i="33"/>
  <c r="AB75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D75" i="33"/>
  <c r="AG65" i="33"/>
  <c r="AF65" i="33"/>
  <c r="AE65" i="33"/>
  <c r="AD65" i="33"/>
  <c r="AC65" i="33"/>
  <c r="AB65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D65" i="33"/>
  <c r="AG61" i="33"/>
  <c r="AF61" i="33"/>
  <c r="AE61" i="33"/>
  <c r="AD61" i="33"/>
  <c r="AC61" i="33"/>
  <c r="AB61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D61" i="33"/>
  <c r="C51" i="33"/>
  <c r="D51" i="33" s="1"/>
  <c r="R49" i="33"/>
  <c r="Q49" i="33"/>
  <c r="P49" i="33"/>
  <c r="O49" i="33"/>
  <c r="N49" i="33"/>
  <c r="M49" i="33"/>
  <c r="L49" i="33"/>
  <c r="K49" i="33"/>
  <c r="J49" i="33"/>
  <c r="H49" i="33"/>
  <c r="G49" i="33"/>
  <c r="F49" i="33"/>
  <c r="E49" i="33"/>
  <c r="R48" i="33"/>
  <c r="Q48" i="33"/>
  <c r="P48" i="33"/>
  <c r="O48" i="33"/>
  <c r="N48" i="33"/>
  <c r="M48" i="33"/>
  <c r="L48" i="33"/>
  <c r="K48" i="33"/>
  <c r="J48" i="33"/>
  <c r="H48" i="33"/>
  <c r="G48" i="33"/>
  <c r="F48" i="33"/>
  <c r="E48" i="33"/>
  <c r="R47" i="33"/>
  <c r="Q47" i="33"/>
  <c r="P47" i="33"/>
  <c r="O47" i="33"/>
  <c r="N47" i="33"/>
  <c r="M47" i="33"/>
  <c r="L47" i="33"/>
  <c r="K47" i="33"/>
  <c r="J47" i="33"/>
  <c r="H47" i="33"/>
  <c r="G47" i="33"/>
  <c r="F47" i="33"/>
  <c r="E47" i="33"/>
  <c r="R46" i="33"/>
  <c r="X46" i="33" s="1"/>
  <c r="Q46" i="33"/>
  <c r="W46" i="33" s="1"/>
  <c r="P46" i="33"/>
  <c r="O46" i="33"/>
  <c r="N46" i="33"/>
  <c r="M46" i="33"/>
  <c r="L46" i="33"/>
  <c r="K46" i="33"/>
  <c r="J46" i="33"/>
  <c r="H46" i="33"/>
  <c r="G46" i="33"/>
  <c r="F46" i="33"/>
  <c r="E46" i="33"/>
  <c r="R45" i="33"/>
  <c r="X41" i="33" s="1"/>
  <c r="Q45" i="33"/>
  <c r="W41" i="33" s="1"/>
  <c r="P45" i="33"/>
  <c r="O45" i="33"/>
  <c r="N45" i="33"/>
  <c r="M45" i="33"/>
  <c r="L45" i="33"/>
  <c r="K45" i="33"/>
  <c r="J45" i="33"/>
  <c r="H45" i="33"/>
  <c r="G45" i="33"/>
  <c r="F45" i="33"/>
  <c r="E45" i="33"/>
  <c r="X44" i="33"/>
  <c r="W44" i="33"/>
  <c r="R44" i="33"/>
  <c r="X45" i="33" s="1"/>
  <c r="Q44" i="33"/>
  <c r="W45" i="33" s="1"/>
  <c r="P44" i="33"/>
  <c r="O44" i="33"/>
  <c r="N44" i="33"/>
  <c r="M44" i="33"/>
  <c r="L44" i="33"/>
  <c r="K44" i="33"/>
  <c r="J44" i="33"/>
  <c r="H44" i="33"/>
  <c r="G44" i="33"/>
  <c r="F44" i="33"/>
  <c r="E44" i="33"/>
  <c r="X43" i="33"/>
  <c r="W43" i="33"/>
  <c r="R43" i="33"/>
  <c r="X42" i="33" s="1"/>
  <c r="Q43" i="33"/>
  <c r="W42" i="33" s="1"/>
  <c r="P43" i="33"/>
  <c r="O43" i="33"/>
  <c r="N43" i="33"/>
  <c r="M43" i="33"/>
  <c r="L43" i="33"/>
  <c r="K43" i="33"/>
  <c r="J43" i="33"/>
  <c r="H43" i="33"/>
  <c r="G43" i="33"/>
  <c r="F43" i="33"/>
  <c r="E43" i="33"/>
  <c r="R42" i="33"/>
  <c r="X47" i="33" s="1"/>
  <c r="Q42" i="33"/>
  <c r="W47" i="33" s="1"/>
  <c r="P42" i="33"/>
  <c r="O42" i="33"/>
  <c r="N42" i="33"/>
  <c r="M42" i="33"/>
  <c r="L42" i="33"/>
  <c r="K42" i="33"/>
  <c r="J42" i="33"/>
  <c r="H42" i="33"/>
  <c r="G42" i="33"/>
  <c r="F42" i="33"/>
  <c r="E42" i="33"/>
  <c r="R41" i="33"/>
  <c r="X48" i="33" s="1"/>
  <c r="Q41" i="33"/>
  <c r="W48" i="33" s="1"/>
  <c r="P41" i="33"/>
  <c r="O41" i="33"/>
  <c r="N41" i="33"/>
  <c r="M41" i="33"/>
  <c r="L41" i="33"/>
  <c r="K41" i="33"/>
  <c r="J41" i="33"/>
  <c r="H41" i="33"/>
  <c r="G41" i="33"/>
  <c r="F41" i="33"/>
  <c r="E41" i="33"/>
  <c r="R38" i="33"/>
  <c r="Q38" i="33"/>
  <c r="P38" i="33"/>
  <c r="O38" i="33"/>
  <c r="N38" i="33"/>
  <c r="M38" i="33"/>
  <c r="L38" i="33"/>
  <c r="K38" i="33"/>
  <c r="J38" i="33"/>
  <c r="H38" i="33"/>
  <c r="G38" i="33"/>
  <c r="F38" i="33"/>
  <c r="E38" i="33"/>
  <c r="R37" i="33"/>
  <c r="Q37" i="33"/>
  <c r="P37" i="33"/>
  <c r="O37" i="33"/>
  <c r="N37" i="33"/>
  <c r="M37" i="33"/>
  <c r="L37" i="33"/>
  <c r="K37" i="33"/>
  <c r="J37" i="33"/>
  <c r="H37" i="33"/>
  <c r="G37" i="33"/>
  <c r="F37" i="33"/>
  <c r="E37" i="33"/>
  <c r="R36" i="33"/>
  <c r="Q36" i="33"/>
  <c r="P36" i="33"/>
  <c r="O36" i="33"/>
  <c r="N36" i="33"/>
  <c r="M36" i="33"/>
  <c r="L36" i="33"/>
  <c r="K36" i="33"/>
  <c r="J36" i="33"/>
  <c r="H36" i="33"/>
  <c r="G36" i="33"/>
  <c r="F36" i="33"/>
  <c r="E36" i="33"/>
  <c r="R35" i="33"/>
  <c r="Q35" i="33"/>
  <c r="P35" i="33"/>
  <c r="O35" i="33"/>
  <c r="N35" i="33"/>
  <c r="M35" i="33"/>
  <c r="L35" i="33"/>
  <c r="K35" i="33"/>
  <c r="J35" i="33"/>
  <c r="H35" i="33"/>
  <c r="G35" i="33"/>
  <c r="F35" i="33"/>
  <c r="E35" i="33"/>
  <c r="R34" i="33"/>
  <c r="Q34" i="33"/>
  <c r="P34" i="33"/>
  <c r="O34" i="33"/>
  <c r="N34" i="33"/>
  <c r="M34" i="33"/>
  <c r="L34" i="33"/>
  <c r="K34" i="33"/>
  <c r="J34" i="33"/>
  <c r="H34" i="33"/>
  <c r="G34" i="33"/>
  <c r="F34" i="33"/>
  <c r="E34" i="33"/>
  <c r="R33" i="33"/>
  <c r="Q33" i="33"/>
  <c r="P33" i="33"/>
  <c r="O33" i="33"/>
  <c r="N33" i="33"/>
  <c r="M33" i="33"/>
  <c r="L33" i="33"/>
  <c r="K33" i="33"/>
  <c r="J33" i="33"/>
  <c r="H33" i="33"/>
  <c r="G33" i="33"/>
  <c r="F33" i="33"/>
  <c r="E33" i="33"/>
  <c r="R32" i="33"/>
  <c r="Q32" i="33"/>
  <c r="P32" i="33"/>
  <c r="O32" i="33"/>
  <c r="N32" i="33"/>
  <c r="M32" i="33"/>
  <c r="L32" i="33"/>
  <c r="K32" i="33"/>
  <c r="J32" i="33"/>
  <c r="H32" i="33"/>
  <c r="G32" i="33"/>
  <c r="F32" i="33"/>
  <c r="E32" i="33"/>
  <c r="R31" i="33"/>
  <c r="Q31" i="33"/>
  <c r="P31" i="33"/>
  <c r="O31" i="33"/>
  <c r="N31" i="33"/>
  <c r="M31" i="33"/>
  <c r="L31" i="33"/>
  <c r="K31" i="33"/>
  <c r="J31" i="33"/>
  <c r="H31" i="33"/>
  <c r="G31" i="33"/>
  <c r="F31" i="33"/>
  <c r="E31" i="33"/>
  <c r="R30" i="33"/>
  <c r="Q30" i="33"/>
  <c r="P30" i="33"/>
  <c r="O30" i="33"/>
  <c r="N30" i="33"/>
  <c r="M30" i="33"/>
  <c r="L30" i="33"/>
  <c r="K30" i="33"/>
  <c r="J30" i="33"/>
  <c r="H30" i="33"/>
  <c r="G30" i="33"/>
  <c r="F30" i="33"/>
  <c r="E30" i="33"/>
  <c r="AZ27" i="33"/>
  <c r="AY27" i="33"/>
  <c r="AX27" i="33"/>
  <c r="AW27" i="33"/>
  <c r="AV27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I26" i="33"/>
  <c r="I25" i="33"/>
  <c r="C24" i="33"/>
  <c r="AZ22" i="33"/>
  <c r="AY22" i="33"/>
  <c r="AX22" i="33"/>
  <c r="AW22" i="33"/>
  <c r="AV22" i="33"/>
  <c r="AU22" i="33"/>
  <c r="AT22" i="33"/>
  <c r="AS22" i="33"/>
  <c r="AR22" i="33"/>
  <c r="AQ22" i="33"/>
  <c r="AP22" i="33"/>
  <c r="AO22" i="33"/>
  <c r="AN22" i="33"/>
  <c r="AM22" i="33"/>
  <c r="AL22" i="33"/>
  <c r="AK22" i="33"/>
  <c r="AJ22" i="33"/>
  <c r="AI22" i="33"/>
  <c r="AH22" i="33"/>
  <c r="AG22" i="33"/>
  <c r="AF22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I21" i="33"/>
  <c r="I20" i="33"/>
  <c r="I18" i="33"/>
  <c r="I17" i="33"/>
  <c r="C16" i="33"/>
  <c r="AZ14" i="33"/>
  <c r="AY14" i="33"/>
  <c r="AX14" i="33"/>
  <c r="AW14" i="33"/>
  <c r="AV14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I13" i="33"/>
  <c r="I12" i="33"/>
  <c r="I11" i="33"/>
  <c r="AZ10" i="33"/>
  <c r="AY10" i="33"/>
  <c r="AX10" i="33"/>
  <c r="AW10" i="33"/>
  <c r="AV10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I9" i="33"/>
  <c r="I8" i="33"/>
  <c r="I7" i="33"/>
  <c r="I6" i="33"/>
  <c r="C5" i="33"/>
  <c r="AG77" i="34"/>
  <c r="AF77" i="34"/>
  <c r="AE77" i="34"/>
  <c r="AD77" i="34"/>
  <c r="AC77" i="34"/>
  <c r="AB77" i="34"/>
  <c r="AA77" i="34"/>
  <c r="Z77" i="34"/>
  <c r="Y77" i="34"/>
  <c r="X77" i="34"/>
  <c r="W77" i="34"/>
  <c r="V77" i="34"/>
  <c r="U77" i="34"/>
  <c r="T77" i="34"/>
  <c r="S77" i="34"/>
  <c r="R77" i="34"/>
  <c r="Q77" i="34"/>
  <c r="P77" i="34"/>
  <c r="O77" i="34"/>
  <c r="N77" i="34"/>
  <c r="M77" i="34"/>
  <c r="L77" i="34"/>
  <c r="K77" i="34"/>
  <c r="J77" i="34"/>
  <c r="I77" i="34"/>
  <c r="H77" i="34"/>
  <c r="G77" i="34"/>
  <c r="F77" i="34"/>
  <c r="D77" i="34"/>
  <c r="AG76" i="34"/>
  <c r="AF76" i="34"/>
  <c r="AE76" i="34"/>
  <c r="AD76" i="34"/>
  <c r="AC76" i="34"/>
  <c r="AB76" i="34"/>
  <c r="AA76" i="34"/>
  <c r="Z76" i="34"/>
  <c r="Y76" i="34"/>
  <c r="X76" i="34"/>
  <c r="W76" i="34"/>
  <c r="V76" i="34"/>
  <c r="U76" i="34"/>
  <c r="T76" i="34"/>
  <c r="S76" i="34"/>
  <c r="R76" i="34"/>
  <c r="Q76" i="34"/>
  <c r="P76" i="34"/>
  <c r="O76" i="34"/>
  <c r="N76" i="34"/>
  <c r="M76" i="34"/>
  <c r="L76" i="34"/>
  <c r="K76" i="34"/>
  <c r="J76" i="34"/>
  <c r="I76" i="34"/>
  <c r="H76" i="34"/>
  <c r="G76" i="34"/>
  <c r="F76" i="34"/>
  <c r="D76" i="34"/>
  <c r="AG68" i="34"/>
  <c r="AF68" i="34"/>
  <c r="AE68" i="34"/>
  <c r="AD68" i="34"/>
  <c r="AC68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N68" i="34"/>
  <c r="M68" i="34"/>
  <c r="L68" i="34"/>
  <c r="K68" i="34"/>
  <c r="J68" i="34"/>
  <c r="I68" i="34"/>
  <c r="H68" i="34"/>
  <c r="G68" i="34"/>
  <c r="F68" i="34"/>
  <c r="D68" i="34"/>
  <c r="AG65" i="34"/>
  <c r="AF65" i="34"/>
  <c r="AE65" i="34"/>
  <c r="AD65" i="34"/>
  <c r="AC65" i="34"/>
  <c r="AB65" i="34"/>
  <c r="AA65" i="34"/>
  <c r="Z65" i="34"/>
  <c r="Y65" i="34"/>
  <c r="X65" i="34"/>
  <c r="W65" i="34"/>
  <c r="V65" i="34"/>
  <c r="U65" i="34"/>
  <c r="T65" i="34"/>
  <c r="S65" i="34"/>
  <c r="R65" i="34"/>
  <c r="Q65" i="34"/>
  <c r="P65" i="34"/>
  <c r="O65" i="34"/>
  <c r="N65" i="34"/>
  <c r="M65" i="34"/>
  <c r="L65" i="34"/>
  <c r="K65" i="34"/>
  <c r="J65" i="34"/>
  <c r="I65" i="34"/>
  <c r="H65" i="34"/>
  <c r="G65" i="34"/>
  <c r="F65" i="34"/>
  <c r="D65" i="34"/>
  <c r="AG61" i="34"/>
  <c r="AF61" i="34"/>
  <c r="AE61" i="34"/>
  <c r="AD61" i="34"/>
  <c r="AC61" i="34"/>
  <c r="AB61" i="34"/>
  <c r="AA61" i="34"/>
  <c r="Z61" i="34"/>
  <c r="Y61" i="34"/>
  <c r="X61" i="34"/>
  <c r="W61" i="34"/>
  <c r="V61" i="34"/>
  <c r="U61" i="34"/>
  <c r="T61" i="34"/>
  <c r="S61" i="34"/>
  <c r="R61" i="34"/>
  <c r="Q61" i="34"/>
  <c r="P61" i="34"/>
  <c r="O61" i="34"/>
  <c r="N61" i="34"/>
  <c r="M61" i="34"/>
  <c r="L61" i="34"/>
  <c r="K61" i="34"/>
  <c r="J61" i="34"/>
  <c r="I61" i="34"/>
  <c r="H61" i="34"/>
  <c r="G61" i="34"/>
  <c r="F61" i="34"/>
  <c r="D61" i="34"/>
  <c r="AZ27" i="34"/>
  <c r="AY27" i="34"/>
  <c r="AX27" i="34"/>
  <c r="AW27" i="34"/>
  <c r="AV27" i="34"/>
  <c r="AU27" i="34"/>
  <c r="AT27" i="34"/>
  <c r="AS27" i="34"/>
  <c r="AR27" i="34"/>
  <c r="AQ27" i="34"/>
  <c r="AP27" i="34"/>
  <c r="AO27" i="34"/>
  <c r="AN27" i="34"/>
  <c r="AM27" i="34"/>
  <c r="AL27" i="34"/>
  <c r="AK27" i="34"/>
  <c r="AJ27" i="34"/>
  <c r="AI27" i="34"/>
  <c r="AH27" i="34"/>
  <c r="AG27" i="34"/>
  <c r="AF27" i="34"/>
  <c r="AE27" i="34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I26" i="34"/>
  <c r="I25" i="34"/>
  <c r="AZ22" i="34"/>
  <c r="AY22" i="34"/>
  <c r="AX22" i="34"/>
  <c r="AW22" i="34"/>
  <c r="AV22" i="34"/>
  <c r="AU22" i="34"/>
  <c r="AT22" i="34"/>
  <c r="AS22" i="34"/>
  <c r="AR22" i="34"/>
  <c r="AQ22" i="34"/>
  <c r="AP22" i="34"/>
  <c r="AO22" i="34"/>
  <c r="AN22" i="34"/>
  <c r="AM22" i="34"/>
  <c r="AL22" i="34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I21" i="34"/>
  <c r="I20" i="34"/>
  <c r="I18" i="34"/>
  <c r="I17" i="34"/>
  <c r="AZ14" i="34"/>
  <c r="AY14" i="34"/>
  <c r="AX14" i="34"/>
  <c r="AW14" i="34"/>
  <c r="AV14" i="34"/>
  <c r="AU14" i="34"/>
  <c r="AT14" i="34"/>
  <c r="AS14" i="34"/>
  <c r="AR14" i="34"/>
  <c r="AQ14" i="34"/>
  <c r="AP14" i="34"/>
  <c r="AO14" i="34"/>
  <c r="AN14" i="34"/>
  <c r="AM14" i="34"/>
  <c r="AL14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AY13" i="34"/>
  <c r="AX13" i="34"/>
  <c r="AW13" i="34"/>
  <c r="AV13" i="34"/>
  <c r="AU13" i="34"/>
  <c r="AJ13" i="34"/>
  <c r="AI13" i="34"/>
  <c r="AH13" i="34"/>
  <c r="AG13" i="34"/>
  <c r="AF13" i="34"/>
  <c r="AE13" i="34"/>
  <c r="AD13" i="34"/>
  <c r="T13" i="34"/>
  <c r="S13" i="34"/>
  <c r="R13" i="34"/>
  <c r="Q13" i="34"/>
  <c r="G13" i="34" s="1"/>
  <c r="P13" i="34"/>
  <c r="O13" i="34"/>
  <c r="N13" i="34"/>
  <c r="M13" i="34"/>
  <c r="L13" i="34"/>
  <c r="K13" i="34"/>
  <c r="H13" i="34" s="1"/>
  <c r="J13" i="34"/>
  <c r="I13" i="34"/>
  <c r="E13" i="34"/>
  <c r="D13" i="34"/>
  <c r="I12" i="34"/>
  <c r="I11" i="34"/>
  <c r="I10" i="34"/>
  <c r="I8" i="34"/>
  <c r="I7" i="34"/>
  <c r="I6" i="34"/>
  <c r="C52" i="34"/>
  <c r="C51" i="34"/>
  <c r="R49" i="34"/>
  <c r="Q49" i="34"/>
  <c r="P49" i="34"/>
  <c r="O49" i="34"/>
  <c r="N49" i="34"/>
  <c r="M49" i="34"/>
  <c r="L49" i="34"/>
  <c r="K49" i="34"/>
  <c r="J49" i="34"/>
  <c r="H49" i="34"/>
  <c r="G49" i="34"/>
  <c r="F49" i="34"/>
  <c r="E49" i="34"/>
  <c r="R48" i="34"/>
  <c r="Q48" i="34"/>
  <c r="P48" i="34"/>
  <c r="O48" i="34"/>
  <c r="N48" i="34"/>
  <c r="M48" i="34"/>
  <c r="L48" i="34"/>
  <c r="K48" i="34"/>
  <c r="J48" i="34"/>
  <c r="H48" i="34"/>
  <c r="G48" i="34"/>
  <c r="F48" i="34"/>
  <c r="E48" i="34"/>
  <c r="R47" i="34"/>
  <c r="Q47" i="34"/>
  <c r="P47" i="34"/>
  <c r="O47" i="34"/>
  <c r="N47" i="34"/>
  <c r="M47" i="34"/>
  <c r="L47" i="34"/>
  <c r="K47" i="34"/>
  <c r="J47" i="34"/>
  <c r="H47" i="34"/>
  <c r="G47" i="34"/>
  <c r="F47" i="34"/>
  <c r="E47" i="34"/>
  <c r="R46" i="34"/>
  <c r="X46" i="34" s="1"/>
  <c r="Q46" i="34"/>
  <c r="W46" i="34" s="1"/>
  <c r="P46" i="34"/>
  <c r="O46" i="34"/>
  <c r="N46" i="34"/>
  <c r="M46" i="34"/>
  <c r="L46" i="34"/>
  <c r="K46" i="34"/>
  <c r="J46" i="34"/>
  <c r="H46" i="34"/>
  <c r="G46" i="34"/>
  <c r="F46" i="34"/>
  <c r="E46" i="34"/>
  <c r="R45" i="34"/>
  <c r="X41" i="34" s="1"/>
  <c r="Q45" i="34"/>
  <c r="W41" i="34" s="1"/>
  <c r="P45" i="34"/>
  <c r="O45" i="34"/>
  <c r="N45" i="34"/>
  <c r="M45" i="34"/>
  <c r="L45" i="34"/>
  <c r="K45" i="34"/>
  <c r="J45" i="34"/>
  <c r="H45" i="34"/>
  <c r="G45" i="34"/>
  <c r="F45" i="34"/>
  <c r="E45" i="34"/>
  <c r="X44" i="34"/>
  <c r="W44" i="34"/>
  <c r="R44" i="34"/>
  <c r="X45" i="34" s="1"/>
  <c r="Q44" i="34"/>
  <c r="W45" i="34" s="1"/>
  <c r="P44" i="34"/>
  <c r="O44" i="34"/>
  <c r="N44" i="34"/>
  <c r="M44" i="34"/>
  <c r="L44" i="34"/>
  <c r="K44" i="34"/>
  <c r="J44" i="34"/>
  <c r="H44" i="34"/>
  <c r="G44" i="34"/>
  <c r="F44" i="34"/>
  <c r="E44" i="34"/>
  <c r="X43" i="34"/>
  <c r="W43" i="34"/>
  <c r="R43" i="34"/>
  <c r="X42" i="34" s="1"/>
  <c r="Q43" i="34"/>
  <c r="W42" i="34" s="1"/>
  <c r="P43" i="34"/>
  <c r="O43" i="34"/>
  <c r="N43" i="34"/>
  <c r="M43" i="34"/>
  <c r="L43" i="34"/>
  <c r="K43" i="34"/>
  <c r="J43" i="34"/>
  <c r="H43" i="34"/>
  <c r="G43" i="34"/>
  <c r="F43" i="34"/>
  <c r="E43" i="34"/>
  <c r="R42" i="34"/>
  <c r="X47" i="34" s="1"/>
  <c r="Q42" i="34"/>
  <c r="W47" i="34" s="1"/>
  <c r="P42" i="34"/>
  <c r="O42" i="34"/>
  <c r="N42" i="34"/>
  <c r="M42" i="34"/>
  <c r="L42" i="34"/>
  <c r="K42" i="34"/>
  <c r="J42" i="34"/>
  <c r="H42" i="34"/>
  <c r="G42" i="34"/>
  <c r="F42" i="34"/>
  <c r="E42" i="34"/>
  <c r="R41" i="34"/>
  <c r="X48" i="34" s="1"/>
  <c r="Q41" i="34"/>
  <c r="W48" i="34" s="1"/>
  <c r="P41" i="34"/>
  <c r="O41" i="34"/>
  <c r="N41" i="34"/>
  <c r="M41" i="34"/>
  <c r="L41" i="34"/>
  <c r="K41" i="34"/>
  <c r="J41" i="34"/>
  <c r="H41" i="34"/>
  <c r="G41" i="34"/>
  <c r="F41" i="34"/>
  <c r="E41" i="34"/>
  <c r="R38" i="34"/>
  <c r="Q38" i="34"/>
  <c r="P38" i="34"/>
  <c r="O38" i="34"/>
  <c r="N38" i="34"/>
  <c r="M38" i="34"/>
  <c r="L38" i="34"/>
  <c r="K38" i="34"/>
  <c r="J38" i="34"/>
  <c r="H38" i="34"/>
  <c r="G38" i="34"/>
  <c r="F38" i="34"/>
  <c r="E38" i="34"/>
  <c r="R37" i="34"/>
  <c r="Q37" i="34"/>
  <c r="P37" i="34"/>
  <c r="O37" i="34"/>
  <c r="N37" i="34"/>
  <c r="M37" i="34"/>
  <c r="L37" i="34"/>
  <c r="K37" i="34"/>
  <c r="J37" i="34"/>
  <c r="H37" i="34"/>
  <c r="G37" i="34"/>
  <c r="F37" i="34"/>
  <c r="E37" i="34"/>
  <c r="R36" i="34"/>
  <c r="Q36" i="34"/>
  <c r="P36" i="34"/>
  <c r="O36" i="34"/>
  <c r="N36" i="34"/>
  <c r="M36" i="34"/>
  <c r="L36" i="34"/>
  <c r="K36" i="34"/>
  <c r="J36" i="34"/>
  <c r="H36" i="34"/>
  <c r="G36" i="34"/>
  <c r="F36" i="34"/>
  <c r="E36" i="34"/>
  <c r="R35" i="34"/>
  <c r="Q35" i="34"/>
  <c r="P35" i="34"/>
  <c r="O35" i="34"/>
  <c r="N35" i="34"/>
  <c r="M35" i="34"/>
  <c r="L35" i="34"/>
  <c r="K35" i="34"/>
  <c r="J35" i="34"/>
  <c r="H35" i="34"/>
  <c r="G35" i="34"/>
  <c r="F35" i="34"/>
  <c r="E35" i="34"/>
  <c r="R34" i="34"/>
  <c r="Q34" i="34"/>
  <c r="P34" i="34"/>
  <c r="O34" i="34"/>
  <c r="N34" i="34"/>
  <c r="M34" i="34"/>
  <c r="L34" i="34"/>
  <c r="K34" i="34"/>
  <c r="J34" i="34"/>
  <c r="H34" i="34"/>
  <c r="G34" i="34"/>
  <c r="F34" i="34"/>
  <c r="E34" i="34"/>
  <c r="R33" i="34"/>
  <c r="Q33" i="34"/>
  <c r="P33" i="34"/>
  <c r="O33" i="34"/>
  <c r="N33" i="34"/>
  <c r="M33" i="34"/>
  <c r="L33" i="34"/>
  <c r="K33" i="34"/>
  <c r="J33" i="34"/>
  <c r="H33" i="34"/>
  <c r="G33" i="34"/>
  <c r="F33" i="34"/>
  <c r="E33" i="34"/>
  <c r="R32" i="34"/>
  <c r="Q32" i="34"/>
  <c r="P32" i="34"/>
  <c r="O32" i="34"/>
  <c r="N32" i="34"/>
  <c r="M32" i="34"/>
  <c r="L32" i="34"/>
  <c r="K32" i="34"/>
  <c r="J32" i="34"/>
  <c r="H32" i="34"/>
  <c r="G32" i="34"/>
  <c r="F32" i="34"/>
  <c r="E32" i="34"/>
  <c r="R31" i="34"/>
  <c r="Q31" i="34"/>
  <c r="P31" i="34"/>
  <c r="O31" i="34"/>
  <c r="N31" i="34"/>
  <c r="M31" i="34"/>
  <c r="L31" i="34"/>
  <c r="K31" i="34"/>
  <c r="J31" i="34"/>
  <c r="H31" i="34"/>
  <c r="G31" i="34"/>
  <c r="F31" i="34"/>
  <c r="E31" i="34"/>
  <c r="R30" i="34"/>
  <c r="Q30" i="34"/>
  <c r="P30" i="34"/>
  <c r="O30" i="34"/>
  <c r="N30" i="34"/>
  <c r="M30" i="34"/>
  <c r="L30" i="34"/>
  <c r="K30" i="34"/>
  <c r="J30" i="34"/>
  <c r="H30" i="34"/>
  <c r="G30" i="34"/>
  <c r="F30" i="34"/>
  <c r="E30" i="34"/>
  <c r="C24" i="34"/>
  <c r="C16" i="34"/>
  <c r="I9" i="34"/>
  <c r="C5" i="34"/>
  <c r="I5" i="32" l="1"/>
  <c r="F13" i="34"/>
  <c r="AT13" i="34"/>
  <c r="AP13" i="34"/>
  <c r="AK13" i="34"/>
  <c r="AQ13" i="34"/>
  <c r="V13" i="34"/>
  <c r="Y13" i="34"/>
  <c r="AS13" i="34"/>
  <c r="Z13" i="34"/>
  <c r="AL13" i="34"/>
  <c r="W13" i="34"/>
  <c r="AA13" i="34"/>
  <c r="AM13" i="34"/>
  <c r="X13" i="34"/>
  <c r="AB13" i="34"/>
  <c r="AN13" i="34"/>
  <c r="AR13" i="34"/>
  <c r="AZ13" i="34"/>
  <c r="U13" i="34"/>
  <c r="AC13" i="34"/>
  <c r="AO13" i="34"/>
  <c r="D51" i="34"/>
  <c r="C53" i="32"/>
  <c r="C53" i="30"/>
  <c r="W37" i="32"/>
  <c r="F5" i="30"/>
  <c r="Z26" i="32"/>
  <c r="W30" i="32"/>
  <c r="W34" i="32"/>
  <c r="H25" i="30"/>
  <c r="H11" i="32"/>
  <c r="V25" i="30"/>
  <c r="AB25" i="30"/>
  <c r="U25" i="30"/>
  <c r="H26" i="30"/>
  <c r="AB11" i="32"/>
  <c r="X36" i="32"/>
  <c r="W25" i="30"/>
  <c r="Y25" i="30"/>
  <c r="X32" i="32"/>
  <c r="H19" i="30"/>
  <c r="H16" i="30" s="1"/>
  <c r="W37" i="30"/>
  <c r="AZ26" i="30"/>
  <c r="W31" i="30"/>
  <c r="G58" i="30"/>
  <c r="G16" i="32"/>
  <c r="G58" i="32"/>
  <c r="G60" i="32"/>
  <c r="F18" i="30"/>
  <c r="Z18" i="30"/>
  <c r="F19" i="30"/>
  <c r="F25" i="30"/>
  <c r="F24" i="30" s="1"/>
  <c r="X36" i="30"/>
  <c r="X32" i="30"/>
  <c r="W35" i="30"/>
  <c r="AZ18" i="30"/>
  <c r="AQ25" i="30"/>
  <c r="AL26" i="30"/>
  <c r="AT26" i="30"/>
  <c r="V11" i="32"/>
  <c r="AA11" i="32"/>
  <c r="AQ18" i="30"/>
  <c r="AM18" i="30"/>
  <c r="AK25" i="30"/>
  <c r="AB26" i="30"/>
  <c r="X26" i="30"/>
  <c r="AA26" i="30"/>
  <c r="W26" i="30"/>
  <c r="AK26" i="30"/>
  <c r="AC26" i="30"/>
  <c r="Y26" i="30"/>
  <c r="U26" i="30"/>
  <c r="AZ26" i="32"/>
  <c r="AP26" i="32"/>
  <c r="AL26" i="32"/>
  <c r="AT26" i="32"/>
  <c r="Z9" i="30"/>
  <c r="V9" i="30"/>
  <c r="AK9" i="30"/>
  <c r="AS25" i="30"/>
  <c r="AO25" i="30"/>
  <c r="AZ25" i="30"/>
  <c r="AR25" i="30"/>
  <c r="AN25" i="30"/>
  <c r="AT25" i="30"/>
  <c r="AP25" i="30"/>
  <c r="AL25" i="30"/>
  <c r="H5" i="30"/>
  <c r="G5" i="30"/>
  <c r="AA9" i="30"/>
  <c r="AC11" i="30"/>
  <c r="AB11" i="30"/>
  <c r="AS11" i="30"/>
  <c r="AO11" i="30"/>
  <c r="AZ11" i="30"/>
  <c r="AR11" i="30"/>
  <c r="AN11" i="30"/>
  <c r="AT11" i="30"/>
  <c r="AL11" i="30"/>
  <c r="AL18" i="30"/>
  <c r="V26" i="30"/>
  <c r="X11" i="32"/>
  <c r="I5" i="30"/>
  <c r="U9" i="30"/>
  <c r="AQ9" i="30"/>
  <c r="AT9" i="30"/>
  <c r="AP9" i="30"/>
  <c r="AK11" i="30"/>
  <c r="G16" i="30"/>
  <c r="AB18" i="30"/>
  <c r="X18" i="30"/>
  <c r="AA18" i="30"/>
  <c r="W18" i="30"/>
  <c r="AK18" i="30"/>
  <c r="AC18" i="30"/>
  <c r="U18" i="30"/>
  <c r="AP18" i="30"/>
  <c r="AM25" i="30"/>
  <c r="Z26" i="30"/>
  <c r="H16" i="32"/>
  <c r="X9" i="30"/>
  <c r="AB9" i="30"/>
  <c r="AN9" i="30"/>
  <c r="AR9" i="30"/>
  <c r="Z11" i="30"/>
  <c r="AO18" i="30"/>
  <c r="AS18" i="30"/>
  <c r="Z25" i="30"/>
  <c r="AO26" i="30"/>
  <c r="AS26" i="30"/>
  <c r="W32" i="30"/>
  <c r="X33" i="30"/>
  <c r="W36" i="30"/>
  <c r="X37" i="30"/>
  <c r="D51" i="30"/>
  <c r="H60" i="30"/>
  <c r="W11" i="32"/>
  <c r="F26" i="32"/>
  <c r="W31" i="32"/>
  <c r="W35" i="32"/>
  <c r="AM26" i="30"/>
  <c r="AQ26" i="30"/>
  <c r="W30" i="30"/>
  <c r="X31" i="30"/>
  <c r="W34" i="30"/>
  <c r="X35" i="30"/>
  <c r="F58" i="30"/>
  <c r="F60" i="30"/>
  <c r="AP26" i="30"/>
  <c r="F16" i="32"/>
  <c r="H26" i="32"/>
  <c r="X31" i="32"/>
  <c r="X35" i="32"/>
  <c r="W9" i="30"/>
  <c r="Y11" i="30"/>
  <c r="AN18" i="30"/>
  <c r="AR18" i="30"/>
  <c r="AC25" i="30"/>
  <c r="AN26" i="30"/>
  <c r="AR26" i="30"/>
  <c r="X30" i="30"/>
  <c r="W33" i="30"/>
  <c r="X34" i="30"/>
  <c r="AS11" i="32"/>
  <c r="AO11" i="32"/>
  <c r="AT11" i="32"/>
  <c r="AL11" i="32"/>
  <c r="F11" i="32"/>
  <c r="AK11" i="32"/>
  <c r="Y11" i="32"/>
  <c r="Z11" i="32"/>
  <c r="AR11" i="32"/>
  <c r="Y26" i="32"/>
  <c r="AM11" i="32"/>
  <c r="AN11" i="32"/>
  <c r="AZ11" i="32"/>
  <c r="AB26" i="32"/>
  <c r="X26" i="32"/>
  <c r="AA26" i="32"/>
  <c r="W26" i="32"/>
  <c r="AK26" i="32"/>
  <c r="AC26" i="32"/>
  <c r="U26" i="32"/>
  <c r="AC11" i="32"/>
  <c r="U11" i="32"/>
  <c r="AQ11" i="32"/>
  <c r="AP11" i="32"/>
  <c r="AQ26" i="32"/>
  <c r="AM26" i="32"/>
  <c r="F58" i="32"/>
  <c r="J58" i="32"/>
  <c r="F60" i="32"/>
  <c r="J60" i="32"/>
  <c r="AO26" i="32"/>
  <c r="AS26" i="32"/>
  <c r="W32" i="32"/>
  <c r="X33" i="32"/>
  <c r="W36" i="32"/>
  <c r="X37" i="32"/>
  <c r="D51" i="32"/>
  <c r="H58" i="32"/>
  <c r="H60" i="32"/>
  <c r="AN26" i="32"/>
  <c r="AR26" i="32"/>
  <c r="X30" i="32"/>
  <c r="W33" i="32"/>
  <c r="X34" i="32"/>
  <c r="I5" i="33"/>
  <c r="I5" i="34"/>
  <c r="D52" i="34"/>
  <c r="C53" i="34"/>
  <c r="M7" i="26"/>
  <c r="K7" i="26"/>
  <c r="N7" i="26" s="1"/>
  <c r="F16" i="30" l="1"/>
  <c r="CH12" i="23"/>
  <c r="CI12" i="23"/>
  <c r="CL12" i="23"/>
  <c r="CM12" i="23"/>
  <c r="CH13" i="23"/>
  <c r="CI13" i="23"/>
  <c r="CL13" i="23"/>
  <c r="CM13" i="23"/>
  <c r="BX14" i="23"/>
  <c r="BY14" i="23"/>
  <c r="CD14" i="23"/>
  <c r="CE14" i="23"/>
  <c r="CH14" i="23"/>
  <c r="CI14" i="23"/>
  <c r="CL14" i="23"/>
  <c r="CM14" i="23"/>
  <c r="BX15" i="23"/>
  <c r="BY15" i="23"/>
  <c r="CH15" i="23"/>
  <c r="CI15" i="23"/>
  <c r="CJ15" i="23"/>
  <c r="CK15" i="23"/>
  <c r="CL15" i="23"/>
  <c r="CM15" i="23"/>
  <c r="BX16" i="23"/>
  <c r="BY16" i="23"/>
  <c r="CD16" i="23"/>
  <c r="CE16" i="23"/>
  <c r="CH16" i="23"/>
  <c r="CI16" i="23"/>
  <c r="CJ16" i="23"/>
  <c r="CK16" i="23"/>
  <c r="CL16" i="23"/>
  <c r="CM16" i="23"/>
  <c r="BX17" i="23"/>
  <c r="BY17" i="23"/>
  <c r="CF17" i="23"/>
  <c r="CG17" i="23"/>
  <c r="CH17" i="23"/>
  <c r="CI17" i="23"/>
  <c r="CJ17" i="23"/>
  <c r="CK17" i="23"/>
  <c r="CL17" i="23"/>
  <c r="CM17" i="23"/>
  <c r="CD18" i="23"/>
  <c r="CE18" i="23"/>
  <c r="CH18" i="23"/>
  <c r="CI18" i="23"/>
  <c r="CJ18" i="23"/>
  <c r="CK18" i="23"/>
  <c r="CL18" i="23"/>
  <c r="CM18" i="23"/>
  <c r="BX19" i="23"/>
  <c r="BY19" i="23"/>
  <c r="BZ19" i="23"/>
  <c r="CA19" i="23"/>
  <c r="CD19" i="23"/>
  <c r="CE19" i="23"/>
  <c r="CF19" i="23"/>
  <c r="CG19" i="23"/>
  <c r="CJ19" i="23"/>
  <c r="CK19" i="23"/>
  <c r="CL19" i="23"/>
  <c r="CM19" i="23"/>
  <c r="BX20" i="23"/>
  <c r="BY20" i="23"/>
  <c r="CF20" i="23"/>
  <c r="CG20" i="23"/>
  <c r="CH20" i="23"/>
  <c r="CI20" i="23"/>
  <c r="CJ20" i="23"/>
  <c r="CK20" i="23"/>
  <c r="CL20" i="23"/>
  <c r="CM20" i="23"/>
  <c r="BX21" i="23"/>
  <c r="BY21" i="23"/>
  <c r="CB21" i="23"/>
  <c r="CC21" i="23"/>
  <c r="CF21" i="23"/>
  <c r="CG21" i="23"/>
  <c r="CJ21" i="23"/>
  <c r="CK21" i="23"/>
  <c r="CL21" i="23"/>
  <c r="CM21" i="23"/>
  <c r="CD22" i="23"/>
  <c r="CE22" i="23"/>
  <c r="CH22" i="23"/>
  <c r="CI22" i="23"/>
  <c r="CJ22" i="23"/>
  <c r="CK22" i="23"/>
  <c r="CL22" i="23"/>
  <c r="CM22" i="23"/>
  <c r="BX23" i="23"/>
  <c r="BY23" i="23"/>
  <c r="CD23" i="23"/>
  <c r="CE23" i="23"/>
  <c r="CH23" i="23"/>
  <c r="CI23" i="23"/>
  <c r="CL23" i="23"/>
  <c r="CM23" i="23"/>
  <c r="BX24" i="23"/>
  <c r="BY24" i="23"/>
  <c r="CH24" i="23"/>
  <c r="CI24" i="23"/>
  <c r="CL24" i="23"/>
  <c r="CM24" i="23"/>
  <c r="BX25" i="23"/>
  <c r="BY25" i="23"/>
  <c r="CF25" i="23"/>
  <c r="CG25" i="23"/>
  <c r="CH25" i="23"/>
  <c r="CI25" i="23"/>
  <c r="CL25" i="23"/>
  <c r="CM25" i="23"/>
  <c r="CH26" i="23"/>
  <c r="CI26" i="23"/>
  <c r="CJ26" i="23"/>
  <c r="CK26" i="23"/>
  <c r="CL26" i="23"/>
  <c r="CM26" i="23"/>
  <c r="BX27" i="23"/>
  <c r="BY27" i="23"/>
  <c r="CB27" i="23"/>
  <c r="CC27" i="23"/>
  <c r="CF27" i="23"/>
  <c r="CG27" i="23"/>
  <c r="CH27" i="23"/>
  <c r="CI27" i="23"/>
  <c r="CJ27" i="23"/>
  <c r="CK27" i="23"/>
  <c r="CL27" i="23"/>
  <c r="CM27" i="23"/>
  <c r="BX28" i="23"/>
  <c r="BY28" i="23"/>
  <c r="BZ28" i="23"/>
  <c r="CA28" i="23"/>
  <c r="CF28" i="23"/>
  <c r="CG28" i="23"/>
  <c r="CH28" i="23"/>
  <c r="CI28" i="23"/>
  <c r="CJ28" i="23"/>
  <c r="CK28" i="23"/>
  <c r="CL28" i="23"/>
  <c r="CM28" i="23"/>
  <c r="BX29" i="23"/>
  <c r="BY29" i="23"/>
  <c r="CD29" i="23"/>
  <c r="CE29" i="23"/>
  <c r="CH29" i="23"/>
  <c r="CI29" i="23"/>
  <c r="CJ29" i="23"/>
  <c r="CK29" i="23"/>
  <c r="CL29" i="23"/>
  <c r="CM29" i="23"/>
  <c r="BX30" i="23"/>
  <c r="BY30" i="23"/>
  <c r="CH30" i="23"/>
  <c r="CI30" i="23"/>
  <c r="CJ30" i="23"/>
  <c r="CK30" i="23"/>
  <c r="CL30" i="23"/>
  <c r="CM30" i="23"/>
  <c r="BX31" i="23"/>
  <c r="BY31" i="23"/>
  <c r="CH31" i="23"/>
  <c r="CI31" i="23"/>
  <c r="CJ31" i="23"/>
  <c r="CK31" i="23"/>
  <c r="CL31" i="23"/>
  <c r="CM31" i="23"/>
  <c r="BX32" i="23"/>
  <c r="BY32" i="23"/>
  <c r="BZ32" i="23"/>
  <c r="CA32" i="23"/>
  <c r="CF32" i="23"/>
  <c r="CG32" i="23"/>
  <c r="CH32" i="23"/>
  <c r="CI32" i="23"/>
  <c r="CL32" i="23"/>
  <c r="CM32" i="23"/>
  <c r="BX33" i="23"/>
  <c r="BY33" i="23"/>
  <c r="CF33" i="23"/>
  <c r="CG33" i="23"/>
  <c r="CJ33" i="23"/>
  <c r="CK33" i="23"/>
  <c r="CL33" i="23"/>
  <c r="CM33" i="23"/>
  <c r="CH34" i="23"/>
  <c r="CI34" i="23"/>
  <c r="CJ34" i="23"/>
  <c r="CK34" i="23"/>
  <c r="CL34" i="23"/>
  <c r="CM34" i="23"/>
  <c r="BX35" i="23"/>
  <c r="BY35" i="23"/>
  <c r="BZ35" i="23"/>
  <c r="CA35" i="23"/>
  <c r="CF35" i="23"/>
  <c r="CG35" i="23"/>
  <c r="CJ35" i="23"/>
  <c r="CK35" i="23"/>
  <c r="CL35" i="23"/>
  <c r="CM35" i="23"/>
  <c r="CF36" i="23"/>
  <c r="CG36" i="23"/>
  <c r="CH36" i="23"/>
  <c r="CI36" i="23"/>
  <c r="CJ36" i="23"/>
  <c r="CK36" i="23"/>
  <c r="CL36" i="23"/>
  <c r="CM36" i="23"/>
  <c r="CB37" i="23"/>
  <c r="CC37" i="23"/>
  <c r="CF37" i="23"/>
  <c r="CG37" i="23"/>
  <c r="CH37" i="23"/>
  <c r="CI37" i="23"/>
  <c r="CJ37" i="23"/>
  <c r="CK37" i="23"/>
  <c r="CL37" i="23"/>
  <c r="CM37" i="23"/>
  <c r="BZ38" i="23"/>
  <c r="CA38" i="23"/>
  <c r="CB38" i="23"/>
  <c r="CC38" i="23"/>
  <c r="CD38" i="23"/>
  <c r="CE38" i="23"/>
  <c r="CH38" i="23"/>
  <c r="CI38" i="23"/>
  <c r="CJ38" i="23"/>
  <c r="CK38" i="23"/>
  <c r="CL38" i="23"/>
  <c r="CM38" i="23"/>
  <c r="BX39" i="23"/>
  <c r="BY39" i="23"/>
  <c r="CH39" i="23"/>
  <c r="CI39" i="23"/>
  <c r="CL39" i="23"/>
  <c r="CM39" i="23"/>
  <c r="BX40" i="23"/>
  <c r="BY40" i="23"/>
  <c r="CH40" i="23"/>
  <c r="CI40" i="23"/>
  <c r="CJ40" i="23"/>
  <c r="CK40" i="23"/>
  <c r="CL40" i="23"/>
  <c r="CM40" i="23"/>
  <c r="CF41" i="23"/>
  <c r="CG41" i="23"/>
  <c r="CH41" i="23"/>
  <c r="CI41" i="23"/>
  <c r="CJ41" i="23"/>
  <c r="CK41" i="23"/>
  <c r="CL41" i="23"/>
  <c r="CM41" i="23"/>
  <c r="BX42" i="23"/>
  <c r="BY42" i="23"/>
  <c r="BZ42" i="23"/>
  <c r="CA42" i="23"/>
  <c r="CD42" i="23"/>
  <c r="CE42" i="23"/>
  <c r="CF42" i="23"/>
  <c r="CG42" i="23"/>
  <c r="CH42" i="23"/>
  <c r="CI42" i="23"/>
  <c r="CL42" i="23"/>
  <c r="CM42" i="23"/>
  <c r="CH43" i="23"/>
  <c r="CI43" i="23"/>
  <c r="CJ43" i="23"/>
  <c r="CK43" i="23"/>
  <c r="CL43" i="23"/>
  <c r="CM43" i="23"/>
  <c r="BX44" i="23"/>
  <c r="BY44" i="23"/>
  <c r="CH44" i="23"/>
  <c r="CI44" i="23"/>
  <c r="CL44" i="23"/>
  <c r="CM44" i="23"/>
  <c r="BX45" i="23"/>
  <c r="BY45" i="23"/>
  <c r="CH45" i="23"/>
  <c r="CI45" i="23"/>
  <c r="CL45" i="23"/>
  <c r="CM45" i="23"/>
  <c r="BZ46" i="23"/>
  <c r="CA46" i="23"/>
  <c r="CB46" i="23"/>
  <c r="CC46" i="23"/>
  <c r="CF46" i="23"/>
  <c r="CG46" i="23"/>
  <c r="CH46" i="23"/>
  <c r="CI46" i="23"/>
  <c r="CL46" i="23"/>
  <c r="CM46" i="23"/>
  <c r="BX47" i="23"/>
  <c r="BY47" i="23"/>
  <c r="BZ47" i="23"/>
  <c r="CA47" i="23"/>
  <c r="CJ47" i="23"/>
  <c r="CK47" i="23"/>
  <c r="CL47" i="23"/>
  <c r="CM47" i="23"/>
  <c r="BX48" i="23"/>
  <c r="BY48" i="23"/>
  <c r="CF48" i="23"/>
  <c r="CG48" i="23"/>
  <c r="CH48" i="23"/>
  <c r="CI48" i="23"/>
  <c r="CJ48" i="23"/>
  <c r="CK48" i="23"/>
  <c r="CL48" i="23"/>
  <c r="CM48" i="23"/>
  <c r="BX49" i="23"/>
  <c r="BY49" i="23"/>
  <c r="CH49" i="23"/>
  <c r="CI49" i="23"/>
  <c r="CJ49" i="23"/>
  <c r="CK49" i="23"/>
  <c r="CL49" i="23"/>
  <c r="CM49" i="23"/>
  <c r="BX50" i="23"/>
  <c r="BY50" i="23"/>
  <c r="BZ50" i="23"/>
  <c r="CA50" i="23"/>
  <c r="CF50" i="23"/>
  <c r="CG50" i="23"/>
  <c r="CH50" i="23"/>
  <c r="CI50" i="23"/>
  <c r="CJ50" i="23"/>
  <c r="CK50" i="23"/>
  <c r="CL50" i="23"/>
  <c r="CM50" i="23"/>
  <c r="BX51" i="23"/>
  <c r="BY51" i="23"/>
  <c r="BZ51" i="23"/>
  <c r="CA51" i="23"/>
  <c r="CF51" i="23"/>
  <c r="CG51" i="23"/>
  <c r="CH51" i="23"/>
  <c r="CI51" i="23"/>
  <c r="CJ51" i="23"/>
  <c r="CK51" i="23"/>
  <c r="CL51" i="23"/>
  <c r="CM51" i="23"/>
  <c r="BX52" i="23"/>
  <c r="BY52" i="23"/>
  <c r="BZ52" i="23"/>
  <c r="CA52" i="23"/>
  <c r="CL52" i="23"/>
  <c r="CM52" i="23"/>
  <c r="BX53" i="23"/>
  <c r="BY53" i="23"/>
  <c r="CH53" i="23"/>
  <c r="CI53" i="23"/>
  <c r="CJ53" i="23"/>
  <c r="CK53" i="23"/>
  <c r="CL53" i="23"/>
  <c r="CM53" i="23"/>
  <c r="BZ54" i="23"/>
  <c r="CA54" i="23"/>
  <c r="CF54" i="23"/>
  <c r="CG54" i="23"/>
  <c r="CH54" i="23"/>
  <c r="CI54" i="23"/>
  <c r="CL54" i="23"/>
  <c r="CM54" i="23"/>
  <c r="BX55" i="23"/>
  <c r="BY55" i="23"/>
  <c r="CB55" i="23"/>
  <c r="CC55" i="23"/>
  <c r="CD55" i="23"/>
  <c r="CE55" i="23"/>
  <c r="CF55" i="23"/>
  <c r="CG55" i="23"/>
  <c r="CH55" i="23"/>
  <c r="CI55" i="23"/>
  <c r="CL55" i="23"/>
  <c r="CM55" i="23"/>
  <c r="BX56" i="23"/>
  <c r="CF56" i="23"/>
  <c r="CG56" i="23"/>
  <c r="CH56" i="23"/>
  <c r="CI56" i="23"/>
  <c r="CJ56" i="23"/>
  <c r="CK56" i="23"/>
  <c r="CL56" i="23"/>
  <c r="CM56" i="23"/>
  <c r="CB57" i="23"/>
  <c r="CC57" i="23"/>
  <c r="CH57" i="23"/>
  <c r="CI57" i="23"/>
  <c r="CJ57" i="23"/>
  <c r="CK57" i="23"/>
  <c r="CL57" i="23"/>
  <c r="CM57" i="23"/>
  <c r="BX58" i="23"/>
  <c r="BY58" i="23"/>
  <c r="CF58" i="23"/>
  <c r="CG58" i="23"/>
  <c r="CH58" i="23"/>
  <c r="CI58" i="23"/>
  <c r="CJ58" i="23"/>
  <c r="CK58" i="23"/>
  <c r="CL58" i="23"/>
  <c r="CM58" i="23"/>
  <c r="BX59" i="23"/>
  <c r="BY59" i="23"/>
  <c r="CB59" i="23"/>
  <c r="CC59" i="23"/>
  <c r="CF59" i="23"/>
  <c r="CG59" i="23"/>
  <c r="CH59" i="23"/>
  <c r="CI59" i="23"/>
  <c r="CJ59" i="23"/>
  <c r="CK59" i="23"/>
  <c r="CL59" i="23"/>
  <c r="CM59" i="23"/>
  <c r="BX60" i="23"/>
  <c r="BY60" i="23"/>
  <c r="CB60" i="23"/>
  <c r="CC60" i="23"/>
  <c r="CF60" i="23"/>
  <c r="CG60" i="23"/>
  <c r="CH60" i="23"/>
  <c r="CI60" i="23"/>
  <c r="CL60" i="23"/>
  <c r="CM60" i="23"/>
  <c r="BZ61" i="23"/>
  <c r="CA61" i="23"/>
  <c r="CF61" i="23"/>
  <c r="CG61" i="23"/>
  <c r="CH61" i="23"/>
  <c r="CI61" i="23"/>
  <c r="CL61" i="23"/>
  <c r="CM61" i="23"/>
  <c r="CB62" i="23"/>
  <c r="CC62" i="23"/>
  <c r="CH62" i="23"/>
  <c r="CI62" i="23"/>
  <c r="CL62" i="23"/>
  <c r="CM62" i="23"/>
  <c r="BX63" i="23"/>
  <c r="BY63" i="23"/>
  <c r="BZ63" i="23"/>
  <c r="CA63" i="23"/>
  <c r="CH63" i="23"/>
  <c r="CI63" i="23"/>
  <c r="CL63" i="23"/>
  <c r="CM63" i="23"/>
  <c r="BX64" i="23"/>
  <c r="BY64" i="23"/>
  <c r="CF64" i="23"/>
  <c r="CG64" i="23"/>
  <c r="CH64" i="23"/>
  <c r="CI64" i="23"/>
  <c r="CL64" i="23"/>
  <c r="CM64" i="23"/>
  <c r="CD65" i="23"/>
  <c r="CE65" i="23"/>
  <c r="CH65" i="23"/>
  <c r="CI65" i="23"/>
  <c r="CJ65" i="23"/>
  <c r="CK65" i="23"/>
  <c r="CL65" i="23"/>
  <c r="CM65" i="23"/>
  <c r="BX66" i="23"/>
  <c r="BY66" i="23"/>
  <c r="CD66" i="23"/>
  <c r="CE66" i="23"/>
  <c r="CH66" i="23"/>
  <c r="CI66" i="23"/>
  <c r="CL66" i="23"/>
  <c r="CM66" i="23"/>
  <c r="BZ67" i="23"/>
  <c r="CA67" i="23"/>
  <c r="CF67" i="23"/>
  <c r="CG67" i="23"/>
  <c r="CJ67" i="23"/>
  <c r="CK67" i="23"/>
  <c r="CL67" i="23"/>
  <c r="CM67" i="23"/>
  <c r="BX68" i="23"/>
  <c r="BY68" i="23"/>
  <c r="CF68" i="23"/>
  <c r="CG68" i="23"/>
  <c r="CH68" i="23"/>
  <c r="CI68" i="23"/>
  <c r="CJ68" i="23"/>
  <c r="CK68" i="23"/>
  <c r="CL68" i="23"/>
  <c r="CM68" i="23"/>
  <c r="BX69" i="23"/>
  <c r="BY69" i="23"/>
  <c r="BZ69" i="23"/>
  <c r="CA69" i="23"/>
  <c r="CB69" i="23"/>
  <c r="CC69" i="23"/>
  <c r="CD69" i="23"/>
  <c r="CE69" i="23"/>
  <c r="CJ69" i="23"/>
  <c r="CK69" i="23"/>
  <c r="CL69" i="23"/>
  <c r="CM69" i="23"/>
  <c r="BX70" i="23"/>
  <c r="BY70" i="23"/>
  <c r="CH70" i="23"/>
  <c r="CI70" i="23"/>
  <c r="CJ70" i="23"/>
  <c r="CK70" i="23"/>
  <c r="CL70" i="23"/>
  <c r="CM70" i="23"/>
  <c r="BZ71" i="23"/>
  <c r="CA71" i="23"/>
  <c r="CH71" i="23"/>
  <c r="CI71" i="23"/>
  <c r="CJ71" i="23"/>
  <c r="CK71" i="23"/>
  <c r="CL71" i="23"/>
  <c r="CM71" i="23"/>
  <c r="BX72" i="23"/>
  <c r="BY72" i="23"/>
  <c r="BZ72" i="23"/>
  <c r="CA72" i="23"/>
  <c r="CD72" i="23"/>
  <c r="CE72" i="23"/>
  <c r="CH72" i="23"/>
  <c r="CI72" i="23"/>
  <c r="CJ72" i="23"/>
  <c r="CK72" i="23"/>
  <c r="CL72" i="23"/>
  <c r="CM72" i="23"/>
  <c r="CD73" i="23"/>
  <c r="CE73" i="23"/>
  <c r="CF73" i="23"/>
  <c r="CG73" i="23"/>
  <c r="CL73" i="23"/>
  <c r="CM73" i="23"/>
  <c r="BX74" i="23"/>
  <c r="BY74" i="23"/>
  <c r="CH74" i="23"/>
  <c r="CI74" i="23"/>
  <c r="CJ74" i="23"/>
  <c r="CK74" i="23"/>
  <c r="CL74" i="23"/>
  <c r="CM74" i="23"/>
  <c r="BZ75" i="23"/>
  <c r="CA75" i="23"/>
  <c r="CD75" i="23"/>
  <c r="CE75" i="23"/>
  <c r="CH75" i="23"/>
  <c r="CI75" i="23"/>
  <c r="CJ75" i="23"/>
  <c r="CK75" i="23"/>
  <c r="CL75" i="23"/>
  <c r="CM75" i="23"/>
  <c r="BX76" i="23"/>
  <c r="BY76" i="23"/>
  <c r="CH76" i="23"/>
  <c r="CI76" i="23"/>
  <c r="CJ76" i="23"/>
  <c r="CK76" i="23"/>
  <c r="CL76" i="23"/>
  <c r="CM76" i="23"/>
  <c r="BV77" i="23"/>
  <c r="BW77" i="23"/>
  <c r="BX77" i="23"/>
  <c r="BY77" i="23"/>
  <c r="CF77" i="23"/>
  <c r="CG77" i="23"/>
  <c r="CH77" i="23"/>
  <c r="CI77" i="23"/>
  <c r="CJ77" i="23"/>
  <c r="CK77" i="23"/>
  <c r="CL77" i="23"/>
  <c r="CM77" i="23"/>
  <c r="BX78" i="23"/>
  <c r="BY78" i="23"/>
  <c r="CB78" i="23"/>
  <c r="CC78" i="23"/>
  <c r="CD78" i="23"/>
  <c r="CE78" i="23"/>
  <c r="CL78" i="23"/>
  <c r="CM78" i="23"/>
  <c r="BX79" i="23"/>
  <c r="BY79" i="23"/>
  <c r="CH79" i="23"/>
  <c r="CI79" i="23"/>
  <c r="CJ79" i="23"/>
  <c r="CK79" i="23"/>
  <c r="CL79" i="23"/>
  <c r="CM79" i="23"/>
  <c r="BX80" i="23"/>
  <c r="BY80" i="23"/>
  <c r="CF80" i="23"/>
  <c r="CG80" i="23"/>
  <c r="CH80" i="23"/>
  <c r="CI80" i="23"/>
  <c r="CJ80" i="23"/>
  <c r="CK80" i="23"/>
  <c r="CL80" i="23"/>
  <c r="CM80" i="23"/>
  <c r="CH81" i="23"/>
  <c r="CI81" i="23"/>
  <c r="CJ81" i="23"/>
  <c r="CK81" i="23"/>
  <c r="CL81" i="23"/>
  <c r="CM81" i="23"/>
  <c r="BX82" i="23"/>
  <c r="BY82" i="23"/>
  <c r="CF82" i="23"/>
  <c r="CG82" i="23"/>
  <c r="CH82" i="23"/>
  <c r="CI82" i="23"/>
  <c r="CJ82" i="23"/>
  <c r="CK82" i="23"/>
  <c r="CL82" i="23"/>
  <c r="CM82" i="23"/>
  <c r="CM11" i="23"/>
  <c r="CL11" i="23"/>
  <c r="CI11" i="23"/>
  <c r="CH11" i="23"/>
  <c r="BY11" i="23"/>
  <c r="BX11" i="23"/>
  <c r="CI12" i="22"/>
  <c r="CJ13" i="22"/>
  <c r="CN13" i="22"/>
  <c r="CI14" i="22"/>
  <c r="CO15" i="22"/>
  <c r="CI17" i="22"/>
  <c r="CJ18" i="22"/>
  <c r="CO18" i="22"/>
  <c r="CL19" i="22"/>
  <c r="CJ20" i="22"/>
  <c r="CJ21" i="22"/>
  <c r="CI22" i="22"/>
  <c r="CO22" i="22"/>
  <c r="CJ24" i="22"/>
  <c r="CL24" i="22"/>
  <c r="CO24" i="22"/>
  <c r="CI25" i="22"/>
  <c r="CJ25" i="22"/>
  <c r="CI26" i="22"/>
  <c r="CK26" i="22"/>
  <c r="CM26" i="22"/>
  <c r="CO28" i="22"/>
  <c r="CJ29" i="22"/>
  <c r="CI30" i="22"/>
  <c r="CJ31" i="22"/>
  <c r="CK33" i="22"/>
  <c r="CM33" i="22"/>
  <c r="CK34" i="22"/>
  <c r="CM34" i="22"/>
  <c r="CN35" i="22"/>
  <c r="CO35" i="22"/>
  <c r="CP35" i="22"/>
  <c r="CJ36" i="22"/>
  <c r="CM37" i="22"/>
  <c r="CI39" i="22"/>
  <c r="CI40" i="22"/>
  <c r="CK41" i="22"/>
  <c r="CN41" i="22"/>
  <c r="CP41" i="22"/>
  <c r="CI42" i="22"/>
  <c r="CJ43" i="22"/>
  <c r="CM44" i="22"/>
  <c r="CO44" i="22"/>
  <c r="CI46" i="22"/>
  <c r="CO47" i="22"/>
  <c r="CK48" i="22"/>
  <c r="CL48" i="22"/>
  <c r="CM48" i="22"/>
  <c r="CJ49" i="22"/>
  <c r="CK49" i="22"/>
  <c r="CM49" i="22"/>
  <c r="CI50" i="22"/>
  <c r="CM50" i="22"/>
  <c r="CO51" i="22"/>
  <c r="CP51" i="22"/>
  <c r="CI52" i="22"/>
  <c r="CN55" i="22"/>
  <c r="CO55" i="22"/>
  <c r="CP55" i="22"/>
  <c r="CI56" i="22"/>
  <c r="CK56" i="22"/>
  <c r="CL56" i="22"/>
  <c r="CM56" i="22"/>
  <c r="CJ59" i="22"/>
  <c r="CL59" i="22"/>
  <c r="CI61" i="22"/>
  <c r="CI63" i="22"/>
  <c r="CJ64" i="22"/>
  <c r="CN64" i="22"/>
  <c r="CP64" i="22"/>
  <c r="CI65" i="22"/>
  <c r="CJ66" i="22"/>
  <c r="CO67" i="22"/>
  <c r="CP67" i="22"/>
  <c r="CI68" i="22"/>
  <c r="CO69" i="22"/>
  <c r="CI70" i="22"/>
  <c r="CO72" i="22"/>
  <c r="CI73" i="22"/>
  <c r="CK73" i="22"/>
  <c r="CK74" i="22"/>
  <c r="CM74" i="22"/>
  <c r="CI75" i="22"/>
  <c r="CJ76" i="22"/>
  <c r="CI78" i="22"/>
  <c r="CJ78" i="22"/>
  <c r="CI79" i="22"/>
  <c r="CJ83" i="22"/>
  <c r="CP83" i="22"/>
  <c r="CI84" i="22"/>
  <c r="CM84" i="22"/>
  <c r="CI85" i="22"/>
  <c r="CI86" i="22"/>
  <c r="CN11" i="22"/>
  <c r="CI11" i="22"/>
  <c r="BA86" i="23"/>
  <c r="BB86" i="23" s="1"/>
  <c r="BC86" i="23"/>
  <c r="BG86" i="23"/>
  <c r="BH86" i="23"/>
  <c r="BI86" i="23"/>
  <c r="BA87" i="23"/>
  <c r="BB87" i="23" s="1"/>
  <c r="BC87" i="23"/>
  <c r="BG87" i="23"/>
  <c r="BH87" i="23"/>
  <c r="BI87" i="23"/>
  <c r="BA88" i="23"/>
  <c r="BB88" i="23" s="1"/>
  <c r="BC88" i="23"/>
  <c r="BG88" i="23"/>
  <c r="BH88" i="23"/>
  <c r="BI88" i="23"/>
  <c r="BA89" i="23"/>
  <c r="BB89" i="23" s="1"/>
  <c r="BC89" i="23"/>
  <c r="BG89" i="23"/>
  <c r="BH89" i="23"/>
  <c r="BI89" i="23"/>
  <c r="BA90" i="23"/>
  <c r="BB90" i="23" s="1"/>
  <c r="BC90" i="23"/>
  <c r="BG90" i="23"/>
  <c r="BH90" i="23"/>
  <c r="BI90" i="23"/>
  <c r="BA91" i="23"/>
  <c r="BB91" i="23" s="1"/>
  <c r="BC91" i="23"/>
  <c r="BG91" i="23"/>
  <c r="BH91" i="23"/>
  <c r="BI91" i="23"/>
  <c r="BA92" i="23"/>
  <c r="BB92" i="23" s="1"/>
  <c r="BC92" i="23"/>
  <c r="BG92" i="23"/>
  <c r="BH92" i="23"/>
  <c r="BI92" i="23"/>
  <c r="BA93" i="23"/>
  <c r="BB93" i="23" s="1"/>
  <c r="BC93" i="23"/>
  <c r="BG93" i="23"/>
  <c r="BH93" i="23"/>
  <c r="BI93" i="23"/>
  <c r="BA94" i="23"/>
  <c r="BB94" i="23" s="1"/>
  <c r="BC94" i="23"/>
  <c r="BG94" i="23"/>
  <c r="BH94" i="23"/>
  <c r="BI94" i="23"/>
  <c r="BA95" i="23"/>
  <c r="BB95" i="23" s="1"/>
  <c r="BC95" i="23"/>
  <c r="BG95" i="23"/>
  <c r="BH95" i="23"/>
  <c r="BI95" i="23"/>
  <c r="BA96" i="23"/>
  <c r="BB96" i="23" s="1"/>
  <c r="BC96" i="23"/>
  <c r="BG96" i="23"/>
  <c r="BH96" i="23"/>
  <c r="BI96" i="23"/>
  <c r="BA97" i="23"/>
  <c r="BB97" i="23" s="1"/>
  <c r="BC97" i="23"/>
  <c r="BG97" i="23"/>
  <c r="BH97" i="23"/>
  <c r="BI97" i="23"/>
  <c r="BA98" i="23"/>
  <c r="BB98" i="23" s="1"/>
  <c r="BC98" i="23"/>
  <c r="BG98" i="23"/>
  <c r="BH98" i="23"/>
  <c r="BI98" i="23"/>
  <c r="BA99" i="23"/>
  <c r="BB99" i="23" s="1"/>
  <c r="BC99" i="23"/>
  <c r="BG99" i="23"/>
  <c r="BH99" i="23"/>
  <c r="BI99" i="23"/>
  <c r="BA100" i="23"/>
  <c r="BB100" i="23" s="1"/>
  <c r="BC100" i="23"/>
  <c r="BG100" i="23"/>
  <c r="BH100" i="23"/>
  <c r="BI100" i="23"/>
  <c r="BA101" i="23"/>
  <c r="BB101" i="23" s="1"/>
  <c r="BC101" i="23"/>
  <c r="BG101" i="23"/>
  <c r="BH101" i="23"/>
  <c r="BI101" i="23"/>
  <c r="BA102" i="23"/>
  <c r="BB102" i="23" s="1"/>
  <c r="BC102" i="23"/>
  <c r="BG102" i="23"/>
  <c r="BH102" i="23"/>
  <c r="BI102" i="23"/>
  <c r="BA103" i="23"/>
  <c r="BB103" i="23" s="1"/>
  <c r="BC103" i="23"/>
  <c r="BG103" i="23"/>
  <c r="BH103" i="23"/>
  <c r="BI103" i="23"/>
  <c r="BA104" i="23"/>
  <c r="BB104" i="23" s="1"/>
  <c r="BC104" i="23"/>
  <c r="BG104" i="23"/>
  <c r="BH104" i="23"/>
  <c r="BI104" i="23"/>
  <c r="BA105" i="23"/>
  <c r="BB105" i="23" s="1"/>
  <c r="BC105" i="23"/>
  <c r="BG105" i="23"/>
  <c r="BH105" i="23"/>
  <c r="BI105" i="23"/>
  <c r="BA106" i="23"/>
  <c r="BB106" i="23" s="1"/>
  <c r="BC106" i="23"/>
  <c r="BG106" i="23"/>
  <c r="BH106" i="23"/>
  <c r="BI106" i="23"/>
  <c r="BA107" i="23"/>
  <c r="BB107" i="23" s="1"/>
  <c r="BC107" i="23"/>
  <c r="BG107" i="23"/>
  <c r="BH107" i="23"/>
  <c r="BI107" i="23"/>
  <c r="BA108" i="23"/>
  <c r="BB108" i="23" s="1"/>
  <c r="BC108" i="23"/>
  <c r="BG108" i="23"/>
  <c r="BH108" i="23"/>
  <c r="BI108" i="23"/>
  <c r="A120" i="22"/>
  <c r="A121" i="22"/>
  <c r="A122" i="22"/>
  <c r="A123" i="22"/>
  <c r="A124" i="22"/>
  <c r="AW91" i="22"/>
  <c r="AX91" i="22" s="1"/>
  <c r="BA91" i="22"/>
  <c r="BB91" i="22"/>
  <c r="BC91" i="22"/>
  <c r="BD91" i="22"/>
  <c r="BE91" i="22"/>
  <c r="BF91" i="22"/>
  <c r="BG91" i="22"/>
  <c r="BH91" i="22"/>
  <c r="BI91" i="22"/>
  <c r="BJ91" i="22"/>
  <c r="BK91" i="22"/>
  <c r="BL91" i="22"/>
  <c r="BM91" i="22"/>
  <c r="BN91" i="22"/>
  <c r="BO91" i="22"/>
  <c r="BP91" i="22"/>
  <c r="BQ91" i="22"/>
  <c r="BR91" i="22"/>
  <c r="BS91" i="22"/>
  <c r="BT91" i="22"/>
  <c r="BU91" i="22"/>
  <c r="AV92" i="22"/>
  <c r="AW92" i="22"/>
  <c r="BA92" i="22"/>
  <c r="BB92" i="22"/>
  <c r="BC92" i="22"/>
  <c r="BD92" i="22"/>
  <c r="BE92" i="22"/>
  <c r="BF92" i="22"/>
  <c r="BG92" i="22"/>
  <c r="BH92" i="22"/>
  <c r="BI92" i="22"/>
  <c r="BJ92" i="22"/>
  <c r="BK92" i="22"/>
  <c r="BL92" i="22"/>
  <c r="BM92" i="22"/>
  <c r="BN92" i="22"/>
  <c r="BO92" i="22"/>
  <c r="BP92" i="22"/>
  <c r="BQ92" i="22"/>
  <c r="BR92" i="22"/>
  <c r="BS92" i="22"/>
  <c r="BT92" i="22"/>
  <c r="BU92" i="22"/>
  <c r="AV93" i="22"/>
  <c r="AW93" i="22"/>
  <c r="AX93" i="22" s="1"/>
  <c r="BA93" i="22"/>
  <c r="BB93" i="22"/>
  <c r="BC93" i="22"/>
  <c r="BD93" i="22"/>
  <c r="BE93" i="22"/>
  <c r="BF93" i="22"/>
  <c r="BG93" i="22"/>
  <c r="BH93" i="22"/>
  <c r="BI93" i="22"/>
  <c r="BJ93" i="22"/>
  <c r="BK93" i="22"/>
  <c r="BL93" i="22"/>
  <c r="BM93" i="22"/>
  <c r="BN93" i="22"/>
  <c r="BO93" i="22"/>
  <c r="BP93" i="22"/>
  <c r="BQ93" i="22"/>
  <c r="BR93" i="22"/>
  <c r="BS93" i="22"/>
  <c r="BT93" i="22"/>
  <c r="BU93" i="22"/>
  <c r="AW94" i="22"/>
  <c r="AX94" i="22" s="1"/>
  <c r="BA94" i="22"/>
  <c r="BB94" i="22"/>
  <c r="BC94" i="22"/>
  <c r="BD94" i="22"/>
  <c r="BE94" i="22"/>
  <c r="BF94" i="22"/>
  <c r="BG94" i="22"/>
  <c r="BH94" i="22"/>
  <c r="BI94" i="22"/>
  <c r="BJ94" i="22"/>
  <c r="BK94" i="22"/>
  <c r="BL94" i="22"/>
  <c r="BM94" i="22"/>
  <c r="BN94" i="22"/>
  <c r="BO94" i="22"/>
  <c r="BP94" i="22"/>
  <c r="BQ94" i="22"/>
  <c r="BR94" i="22"/>
  <c r="BS94" i="22"/>
  <c r="BT94" i="22"/>
  <c r="BU94" i="22"/>
  <c r="AV95" i="22"/>
  <c r="AW95" i="22"/>
  <c r="BA95" i="22"/>
  <c r="BB95" i="22"/>
  <c r="BC95" i="22"/>
  <c r="BD95" i="22"/>
  <c r="BE95" i="22"/>
  <c r="BF95" i="22"/>
  <c r="BG95" i="22"/>
  <c r="BH95" i="22"/>
  <c r="BI95" i="22"/>
  <c r="BJ95" i="22"/>
  <c r="BK95" i="22"/>
  <c r="BL95" i="22"/>
  <c r="BM95" i="22"/>
  <c r="BN95" i="22"/>
  <c r="BO95" i="22"/>
  <c r="BP95" i="22"/>
  <c r="BQ95" i="22"/>
  <c r="BR95" i="22"/>
  <c r="BS95" i="22"/>
  <c r="BT95" i="22"/>
  <c r="BU95" i="22"/>
  <c r="AV96" i="22"/>
  <c r="AW96" i="22"/>
  <c r="BA96" i="22"/>
  <c r="BB96" i="22"/>
  <c r="BC96" i="22"/>
  <c r="BD96" i="22"/>
  <c r="BE96" i="22"/>
  <c r="BF96" i="22"/>
  <c r="BG96" i="22"/>
  <c r="BH96" i="22"/>
  <c r="BI96" i="22"/>
  <c r="BJ96" i="22"/>
  <c r="BK96" i="22"/>
  <c r="BL96" i="22"/>
  <c r="BM96" i="22"/>
  <c r="BN96" i="22"/>
  <c r="BO96" i="22"/>
  <c r="BP96" i="22"/>
  <c r="BQ96" i="22"/>
  <c r="BR96" i="22"/>
  <c r="BS96" i="22"/>
  <c r="BT96" i="22"/>
  <c r="BU96" i="22"/>
  <c r="AV97" i="22"/>
  <c r="AW97" i="22"/>
  <c r="AX97" i="22" s="1"/>
  <c r="BA97" i="22"/>
  <c r="BB97" i="22"/>
  <c r="BC97" i="22"/>
  <c r="BD97" i="22"/>
  <c r="BE97" i="22"/>
  <c r="BF97" i="22"/>
  <c r="BG97" i="22"/>
  <c r="BH97" i="22"/>
  <c r="BI97" i="22"/>
  <c r="BJ97" i="22"/>
  <c r="BK97" i="22"/>
  <c r="BL97" i="22"/>
  <c r="BM97" i="22"/>
  <c r="BN97" i="22"/>
  <c r="BO97" i="22"/>
  <c r="BP97" i="22"/>
  <c r="BQ97" i="22"/>
  <c r="BR97" i="22"/>
  <c r="BS97" i="22"/>
  <c r="BT97" i="22"/>
  <c r="BU97" i="22"/>
  <c r="AW98" i="22"/>
  <c r="AX98" i="22" s="1"/>
  <c r="BA98" i="22"/>
  <c r="BB98" i="22"/>
  <c r="BC98" i="22"/>
  <c r="BD98" i="22"/>
  <c r="BE98" i="22"/>
  <c r="BF98" i="22"/>
  <c r="BG98" i="22"/>
  <c r="BH98" i="22"/>
  <c r="BI98" i="22"/>
  <c r="BJ98" i="22"/>
  <c r="BK98" i="22"/>
  <c r="BL98" i="22"/>
  <c r="BM98" i="22"/>
  <c r="BN98" i="22"/>
  <c r="BO98" i="22"/>
  <c r="BP98" i="22"/>
  <c r="BQ98" i="22"/>
  <c r="BR98" i="22"/>
  <c r="BS98" i="22"/>
  <c r="BT98" i="22"/>
  <c r="BU98" i="22"/>
  <c r="AV99" i="22"/>
  <c r="AW99" i="22"/>
  <c r="BA99" i="22"/>
  <c r="BB99" i="22"/>
  <c r="BC99" i="22"/>
  <c r="BD99" i="22"/>
  <c r="BE99" i="22"/>
  <c r="BF99" i="22"/>
  <c r="BG99" i="22"/>
  <c r="BH99" i="22"/>
  <c r="BI99" i="22"/>
  <c r="BJ99" i="22"/>
  <c r="BK99" i="22"/>
  <c r="BL99" i="22"/>
  <c r="BM99" i="22"/>
  <c r="BN99" i="22"/>
  <c r="BO99" i="22"/>
  <c r="BP99" i="22"/>
  <c r="BQ99" i="22"/>
  <c r="BR99" i="22"/>
  <c r="BS99" i="22"/>
  <c r="BT99" i="22"/>
  <c r="BU99" i="22"/>
  <c r="AW100" i="22"/>
  <c r="AX100" i="22" s="1"/>
  <c r="BA100" i="22"/>
  <c r="BB100" i="22"/>
  <c r="BC100" i="22"/>
  <c r="BD100" i="22"/>
  <c r="BE100" i="22"/>
  <c r="BF100" i="22"/>
  <c r="BG100" i="22"/>
  <c r="BH100" i="22"/>
  <c r="BI100" i="22"/>
  <c r="BJ100" i="22"/>
  <c r="BK100" i="22"/>
  <c r="BL100" i="22"/>
  <c r="BM100" i="22"/>
  <c r="BN100" i="22"/>
  <c r="BO100" i="22"/>
  <c r="BP100" i="22"/>
  <c r="BQ100" i="22"/>
  <c r="BR100" i="22"/>
  <c r="BS100" i="22"/>
  <c r="BT100" i="22"/>
  <c r="BU100" i="22"/>
  <c r="AV101" i="22"/>
  <c r="AW101" i="22"/>
  <c r="AX101" i="22" s="1"/>
  <c r="BA101" i="22"/>
  <c r="BB101" i="22"/>
  <c r="BC101" i="22"/>
  <c r="BD101" i="22"/>
  <c r="BE101" i="22"/>
  <c r="BF101" i="22"/>
  <c r="BG101" i="22"/>
  <c r="BH101" i="22"/>
  <c r="BI101" i="22"/>
  <c r="BJ101" i="22"/>
  <c r="BK101" i="22"/>
  <c r="BL101" i="22"/>
  <c r="BM101" i="22"/>
  <c r="BN101" i="22"/>
  <c r="BO101" i="22"/>
  <c r="BP101" i="22"/>
  <c r="BQ101" i="22"/>
  <c r="BR101" i="22"/>
  <c r="BS101" i="22"/>
  <c r="BT101" i="22"/>
  <c r="BU101" i="22"/>
  <c r="AW102" i="22"/>
  <c r="AX102" i="22" s="1"/>
  <c r="BA102" i="22"/>
  <c r="BB102" i="22"/>
  <c r="BC102" i="22"/>
  <c r="BD102" i="22"/>
  <c r="BE102" i="22"/>
  <c r="BF102" i="22"/>
  <c r="BG102" i="22"/>
  <c r="BH102" i="22"/>
  <c r="BI102" i="22"/>
  <c r="BJ102" i="22"/>
  <c r="BK102" i="22"/>
  <c r="BL102" i="22"/>
  <c r="BM102" i="22"/>
  <c r="BN102" i="22"/>
  <c r="BO102" i="22"/>
  <c r="BP102" i="22"/>
  <c r="BQ102" i="22"/>
  <c r="BR102" i="22"/>
  <c r="BS102" i="22"/>
  <c r="BT102" i="22"/>
  <c r="BU102" i="22"/>
  <c r="AV103" i="22"/>
  <c r="AW103" i="22"/>
  <c r="AX103" i="22" s="1"/>
  <c r="BA103" i="22"/>
  <c r="BB103" i="22"/>
  <c r="BC103" i="22"/>
  <c r="BD103" i="22"/>
  <c r="BE103" i="22"/>
  <c r="BF103" i="22"/>
  <c r="BG103" i="22"/>
  <c r="BH103" i="22"/>
  <c r="BI103" i="22"/>
  <c r="BJ103" i="22"/>
  <c r="BK103" i="22"/>
  <c r="BL103" i="22"/>
  <c r="BM103" i="22"/>
  <c r="BN103" i="22"/>
  <c r="BO103" i="22"/>
  <c r="BP103" i="22"/>
  <c r="BQ103" i="22"/>
  <c r="BR103" i="22"/>
  <c r="BS103" i="22"/>
  <c r="BT103" i="22"/>
  <c r="BU103" i="22"/>
  <c r="AW104" i="22"/>
  <c r="AX104" i="22" s="1"/>
  <c r="BA104" i="22"/>
  <c r="BB104" i="22"/>
  <c r="BC104" i="22"/>
  <c r="BD104" i="22"/>
  <c r="BE104" i="22"/>
  <c r="BF104" i="22"/>
  <c r="BG104" i="22"/>
  <c r="BH104" i="22"/>
  <c r="BI104" i="22"/>
  <c r="BJ104" i="22"/>
  <c r="BK104" i="22"/>
  <c r="BL104" i="22"/>
  <c r="BM104" i="22"/>
  <c r="BN104" i="22"/>
  <c r="BO104" i="22"/>
  <c r="BP104" i="22"/>
  <c r="BQ104" i="22"/>
  <c r="BR104" i="22"/>
  <c r="BS104" i="22"/>
  <c r="BT104" i="22"/>
  <c r="BU104" i="22"/>
  <c r="AV105" i="22"/>
  <c r="AW105" i="22"/>
  <c r="AX105" i="22" s="1"/>
  <c r="BA105" i="22"/>
  <c r="BB105" i="22"/>
  <c r="BC105" i="22"/>
  <c r="BD105" i="22"/>
  <c r="BE105" i="22"/>
  <c r="BF105" i="22"/>
  <c r="BG105" i="22"/>
  <c r="BH105" i="22"/>
  <c r="BI105" i="22"/>
  <c r="BJ105" i="22"/>
  <c r="BK105" i="22"/>
  <c r="BL105" i="22"/>
  <c r="BM105" i="22"/>
  <c r="BN105" i="22"/>
  <c r="BO105" i="22"/>
  <c r="BP105" i="22"/>
  <c r="BQ105" i="22"/>
  <c r="BR105" i="22"/>
  <c r="BS105" i="22"/>
  <c r="BT105" i="22"/>
  <c r="BU105" i="22"/>
  <c r="AW106" i="22"/>
  <c r="AX106" i="22" s="1"/>
  <c r="BA106" i="22"/>
  <c r="BB106" i="22"/>
  <c r="BC106" i="22"/>
  <c r="BD106" i="22"/>
  <c r="BE106" i="22"/>
  <c r="BF106" i="22"/>
  <c r="BG106" i="22"/>
  <c r="BH106" i="22"/>
  <c r="BI106" i="22"/>
  <c r="BJ106" i="22"/>
  <c r="BK106" i="22"/>
  <c r="BL106" i="22"/>
  <c r="BM106" i="22"/>
  <c r="BN106" i="22"/>
  <c r="BO106" i="22"/>
  <c r="BP106" i="22"/>
  <c r="BQ106" i="22"/>
  <c r="BR106" i="22"/>
  <c r="BS106" i="22"/>
  <c r="BT106" i="22"/>
  <c r="BU106" i="22"/>
  <c r="AV107" i="22"/>
  <c r="AW107" i="22"/>
  <c r="BA107" i="22"/>
  <c r="BB107" i="22"/>
  <c r="BC107" i="22"/>
  <c r="BD107" i="22"/>
  <c r="BE107" i="22"/>
  <c r="BF107" i="22"/>
  <c r="BG107" i="22"/>
  <c r="BH107" i="22"/>
  <c r="BI107" i="22"/>
  <c r="BJ107" i="22"/>
  <c r="BK107" i="22"/>
  <c r="BL107" i="22"/>
  <c r="BM107" i="22"/>
  <c r="BN107" i="22"/>
  <c r="BO107" i="22"/>
  <c r="BP107" i="22"/>
  <c r="BQ107" i="22"/>
  <c r="BR107" i="22"/>
  <c r="BS107" i="22"/>
  <c r="BT107" i="22"/>
  <c r="BU107" i="22"/>
  <c r="AW108" i="22"/>
  <c r="AX108" i="22" s="1"/>
  <c r="BA108" i="22"/>
  <c r="BB108" i="22"/>
  <c r="BC108" i="22"/>
  <c r="BD108" i="22"/>
  <c r="BE108" i="22"/>
  <c r="BF108" i="22"/>
  <c r="BG108" i="22"/>
  <c r="BH108" i="22"/>
  <c r="BI108" i="22"/>
  <c r="BJ108" i="22"/>
  <c r="BK108" i="22"/>
  <c r="BL108" i="22"/>
  <c r="BM108" i="22"/>
  <c r="BN108" i="22"/>
  <c r="BO108" i="22"/>
  <c r="BP108" i="22"/>
  <c r="BQ108" i="22"/>
  <c r="BR108" i="22"/>
  <c r="BS108" i="22"/>
  <c r="BT108" i="22"/>
  <c r="BU108" i="22"/>
  <c r="AV109" i="22"/>
  <c r="AW109" i="22"/>
  <c r="AX109" i="22" s="1"/>
  <c r="BA109" i="22"/>
  <c r="BB109" i="22"/>
  <c r="BC109" i="22"/>
  <c r="BD109" i="22"/>
  <c r="BE109" i="22"/>
  <c r="BF109" i="22"/>
  <c r="BG109" i="22"/>
  <c r="BH109" i="22"/>
  <c r="BI109" i="22"/>
  <c r="BJ109" i="22"/>
  <c r="BK109" i="22"/>
  <c r="BL109" i="22"/>
  <c r="BM109" i="22"/>
  <c r="BN109" i="22"/>
  <c r="BO109" i="22"/>
  <c r="BP109" i="22"/>
  <c r="BQ109" i="22"/>
  <c r="BR109" i="22"/>
  <c r="BS109" i="22"/>
  <c r="BT109" i="22"/>
  <c r="BU109" i="22"/>
  <c r="AW110" i="22"/>
  <c r="AX110" i="22" s="1"/>
  <c r="BA110" i="22"/>
  <c r="BB110" i="22"/>
  <c r="BC110" i="22"/>
  <c r="BD110" i="22"/>
  <c r="BE110" i="22"/>
  <c r="BF110" i="22"/>
  <c r="BG110" i="22"/>
  <c r="BH110" i="22"/>
  <c r="BI110" i="22"/>
  <c r="BJ110" i="22"/>
  <c r="BK110" i="22"/>
  <c r="BL110" i="22"/>
  <c r="BM110" i="22"/>
  <c r="BN110" i="22"/>
  <c r="BO110" i="22"/>
  <c r="BP110" i="22"/>
  <c r="BQ110" i="22"/>
  <c r="BR110" i="22"/>
  <c r="BS110" i="22"/>
  <c r="BT110" i="22"/>
  <c r="BU110" i="22"/>
  <c r="AV111" i="22"/>
  <c r="AW111" i="22"/>
  <c r="AX111" i="22" s="1"/>
  <c r="BA111" i="22"/>
  <c r="BB111" i="22"/>
  <c r="BC111" i="22"/>
  <c r="BD111" i="22"/>
  <c r="BE111" i="22"/>
  <c r="BF111" i="22"/>
  <c r="BG111" i="22"/>
  <c r="BH111" i="22"/>
  <c r="BI111" i="22"/>
  <c r="BJ111" i="22"/>
  <c r="BK111" i="22"/>
  <c r="BL111" i="22"/>
  <c r="BM111" i="22"/>
  <c r="BN111" i="22"/>
  <c r="BO111" i="22"/>
  <c r="BP111" i="22"/>
  <c r="BQ111" i="22"/>
  <c r="BR111" i="22"/>
  <c r="BS111" i="22"/>
  <c r="BT111" i="22"/>
  <c r="BU111" i="22"/>
  <c r="AW112" i="22"/>
  <c r="AX112" i="22" s="1"/>
  <c r="BA112" i="22"/>
  <c r="BB112" i="22"/>
  <c r="BC112" i="22"/>
  <c r="BD112" i="22"/>
  <c r="BE112" i="22"/>
  <c r="BF112" i="22"/>
  <c r="BG112" i="22"/>
  <c r="BH112" i="22"/>
  <c r="BI112" i="22"/>
  <c r="BJ112" i="22"/>
  <c r="BK112" i="22"/>
  <c r="BL112" i="22"/>
  <c r="BM112" i="22"/>
  <c r="BN112" i="22"/>
  <c r="BO112" i="22"/>
  <c r="BP112" i="22"/>
  <c r="BQ112" i="22"/>
  <c r="BR112" i="22"/>
  <c r="BS112" i="22"/>
  <c r="BT112" i="22"/>
  <c r="BU112" i="22"/>
  <c r="AV113" i="22"/>
  <c r="AW113" i="22"/>
  <c r="BA113" i="22"/>
  <c r="BB113" i="22"/>
  <c r="BC113" i="22"/>
  <c r="BD113" i="22"/>
  <c r="BE113" i="22"/>
  <c r="BF113" i="22"/>
  <c r="BG113" i="22"/>
  <c r="BH113" i="22"/>
  <c r="BI113" i="22"/>
  <c r="BJ113" i="22"/>
  <c r="BK113" i="22"/>
  <c r="BL113" i="22"/>
  <c r="BM113" i="22"/>
  <c r="BN113" i="22"/>
  <c r="BO113" i="22"/>
  <c r="BP113" i="22"/>
  <c r="BQ113" i="22"/>
  <c r="BR113" i="22"/>
  <c r="BS113" i="22"/>
  <c r="BT113" i="22"/>
  <c r="BU113" i="22"/>
  <c r="AW114" i="22"/>
  <c r="AX114" i="22" s="1"/>
  <c r="BA114" i="22"/>
  <c r="BB114" i="22"/>
  <c r="BC114" i="22"/>
  <c r="BD114" i="22"/>
  <c r="BE114" i="22"/>
  <c r="BF114" i="22"/>
  <c r="BG114" i="22"/>
  <c r="BH114" i="22"/>
  <c r="BI114" i="22"/>
  <c r="BJ114" i="22"/>
  <c r="BK114" i="22"/>
  <c r="BL114" i="22"/>
  <c r="BM114" i="22"/>
  <c r="BN114" i="22"/>
  <c r="BO114" i="22"/>
  <c r="BP114" i="22"/>
  <c r="BQ114" i="22"/>
  <c r="BR114" i="22"/>
  <c r="BS114" i="22"/>
  <c r="BT114" i="22"/>
  <c r="BU114" i="22"/>
  <c r="AV115" i="22"/>
  <c r="AW115" i="22"/>
  <c r="BA115" i="22"/>
  <c r="BB115" i="22"/>
  <c r="BC115" i="22"/>
  <c r="BD115" i="22"/>
  <c r="BE115" i="22"/>
  <c r="BF115" i="22"/>
  <c r="BG115" i="22"/>
  <c r="BH115" i="22"/>
  <c r="BI115" i="22"/>
  <c r="BJ115" i="22"/>
  <c r="BK115" i="22"/>
  <c r="BL115" i="22"/>
  <c r="BM115" i="22"/>
  <c r="BN115" i="22"/>
  <c r="BO115" i="22"/>
  <c r="BP115" i="22"/>
  <c r="BQ115" i="22"/>
  <c r="BR115" i="22"/>
  <c r="BS115" i="22"/>
  <c r="BT115" i="22"/>
  <c r="BU115" i="22"/>
  <c r="AW116" i="22"/>
  <c r="AX116" i="22" s="1"/>
  <c r="BA116" i="22"/>
  <c r="BB116" i="22"/>
  <c r="BC116" i="22"/>
  <c r="BD116" i="22"/>
  <c r="BE116" i="22"/>
  <c r="BF116" i="22"/>
  <c r="BG116" i="22"/>
  <c r="BH116" i="22"/>
  <c r="BI116" i="22"/>
  <c r="BJ116" i="22"/>
  <c r="BK116" i="22"/>
  <c r="BL116" i="22"/>
  <c r="BM116" i="22"/>
  <c r="BN116" i="22"/>
  <c r="BO116" i="22"/>
  <c r="BP116" i="22"/>
  <c r="BQ116" i="22"/>
  <c r="BR116" i="22"/>
  <c r="BS116" i="22"/>
  <c r="BT116" i="22"/>
  <c r="BU116" i="22"/>
  <c r="AV117" i="22"/>
  <c r="AW117" i="22"/>
  <c r="AX117" i="22" s="1"/>
  <c r="BA117" i="22"/>
  <c r="BB117" i="22"/>
  <c r="BC117" i="22"/>
  <c r="BD117" i="22"/>
  <c r="BE117" i="22"/>
  <c r="BF117" i="22"/>
  <c r="BG117" i="22"/>
  <c r="BH117" i="22"/>
  <c r="BI117" i="22"/>
  <c r="BJ117" i="22"/>
  <c r="BK117" i="22"/>
  <c r="BL117" i="22"/>
  <c r="BM117" i="22"/>
  <c r="BN117" i="22"/>
  <c r="BO117" i="22"/>
  <c r="BP117" i="22"/>
  <c r="BQ117" i="22"/>
  <c r="BR117" i="22"/>
  <c r="BS117" i="22"/>
  <c r="BT117" i="22"/>
  <c r="BU117" i="22"/>
  <c r="AW118" i="22"/>
  <c r="AX118" i="22" s="1"/>
  <c r="BA118" i="22"/>
  <c r="BB118" i="22"/>
  <c r="BC118" i="22"/>
  <c r="BD118" i="22"/>
  <c r="BE118" i="22"/>
  <c r="BF118" i="22"/>
  <c r="BG118" i="22"/>
  <c r="BH118" i="22"/>
  <c r="BI118" i="22"/>
  <c r="BJ118" i="22"/>
  <c r="BK118" i="22"/>
  <c r="BL118" i="22"/>
  <c r="BM118" i="22"/>
  <c r="BN118" i="22"/>
  <c r="BO118" i="22"/>
  <c r="BP118" i="22"/>
  <c r="BQ118" i="22"/>
  <c r="BR118" i="22"/>
  <c r="BS118" i="22"/>
  <c r="BT118" i="22"/>
  <c r="BU118" i="22"/>
  <c r="AV119" i="22"/>
  <c r="AW119" i="22"/>
  <c r="AX119" i="22" s="1"/>
  <c r="BA119" i="22"/>
  <c r="BB119" i="22"/>
  <c r="BC119" i="22"/>
  <c r="BD119" i="22"/>
  <c r="BE119" i="22"/>
  <c r="BF119" i="22"/>
  <c r="BG119" i="22"/>
  <c r="BH119" i="22"/>
  <c r="BI119" i="22"/>
  <c r="BJ119" i="22"/>
  <c r="BK119" i="22"/>
  <c r="BL119" i="22"/>
  <c r="BM119" i="22"/>
  <c r="BN119" i="22"/>
  <c r="BO119" i="22"/>
  <c r="BP119" i="22"/>
  <c r="BQ119" i="22"/>
  <c r="BR119" i="22"/>
  <c r="BS119" i="22"/>
  <c r="BT119" i="22"/>
  <c r="BU119" i="22"/>
  <c r="AW120" i="22"/>
  <c r="AX120" i="22" s="1"/>
  <c r="BA120" i="22"/>
  <c r="BB120" i="22"/>
  <c r="BC120" i="22"/>
  <c r="BD120" i="22"/>
  <c r="BE120" i="22"/>
  <c r="BF120" i="22"/>
  <c r="BG120" i="22"/>
  <c r="BH120" i="22"/>
  <c r="BI120" i="22"/>
  <c r="BJ120" i="22"/>
  <c r="BK120" i="22"/>
  <c r="BL120" i="22"/>
  <c r="BM120" i="22"/>
  <c r="BN120" i="22"/>
  <c r="BO120" i="22"/>
  <c r="BP120" i="22"/>
  <c r="BQ120" i="22"/>
  <c r="BR120" i="22"/>
  <c r="BS120" i="22"/>
  <c r="BT120" i="22"/>
  <c r="BU120" i="22"/>
  <c r="AV121" i="22"/>
  <c r="AW121" i="22"/>
  <c r="AX121" i="22" s="1"/>
  <c r="BA121" i="22"/>
  <c r="BB121" i="22"/>
  <c r="BC121" i="22"/>
  <c r="BD121" i="22"/>
  <c r="BE121" i="22"/>
  <c r="BF121" i="22"/>
  <c r="BG121" i="22"/>
  <c r="BH121" i="22"/>
  <c r="BI121" i="22"/>
  <c r="BJ121" i="22"/>
  <c r="BK121" i="22"/>
  <c r="BL121" i="22"/>
  <c r="BM121" i="22"/>
  <c r="BN121" i="22"/>
  <c r="BO121" i="22"/>
  <c r="BP121" i="22"/>
  <c r="BQ121" i="22"/>
  <c r="BR121" i="22"/>
  <c r="BS121" i="22"/>
  <c r="BT121" i="22"/>
  <c r="BU121" i="22"/>
  <c r="AW122" i="22"/>
  <c r="AX122" i="22" s="1"/>
  <c r="BA122" i="22"/>
  <c r="BB122" i="22"/>
  <c r="BC122" i="22"/>
  <c r="BD122" i="22"/>
  <c r="BE122" i="22"/>
  <c r="BF122" i="22"/>
  <c r="BG122" i="22"/>
  <c r="BH122" i="22"/>
  <c r="BI122" i="22"/>
  <c r="BJ122" i="22"/>
  <c r="BK122" i="22"/>
  <c r="BL122" i="22"/>
  <c r="BM122" i="22"/>
  <c r="BN122" i="22"/>
  <c r="BO122" i="22"/>
  <c r="BP122" i="22"/>
  <c r="BQ122" i="22"/>
  <c r="BR122" i="22"/>
  <c r="BS122" i="22"/>
  <c r="BT122" i="22"/>
  <c r="BU122" i="22"/>
  <c r="AV123" i="22"/>
  <c r="AW123" i="22"/>
  <c r="BA123" i="22"/>
  <c r="BB123" i="22"/>
  <c r="BC123" i="22"/>
  <c r="BD123" i="22"/>
  <c r="BE123" i="22"/>
  <c r="BF123" i="22"/>
  <c r="BG123" i="22"/>
  <c r="BH123" i="22"/>
  <c r="BI123" i="22"/>
  <c r="BJ123" i="22"/>
  <c r="BK123" i="22"/>
  <c r="BL123" i="22"/>
  <c r="BM123" i="22"/>
  <c r="BN123" i="22"/>
  <c r="BO123" i="22"/>
  <c r="BP123" i="22"/>
  <c r="BQ123" i="22"/>
  <c r="BR123" i="22"/>
  <c r="BS123" i="22"/>
  <c r="BT123" i="22"/>
  <c r="BU123" i="22"/>
  <c r="AW124" i="22"/>
  <c r="AX124" i="22" s="1"/>
  <c r="BA124" i="22"/>
  <c r="BB124" i="22"/>
  <c r="BC124" i="22"/>
  <c r="BD124" i="22"/>
  <c r="BE124" i="22"/>
  <c r="BF124" i="22"/>
  <c r="BG124" i="22"/>
  <c r="BH124" i="22"/>
  <c r="BI124" i="22"/>
  <c r="BJ124" i="22"/>
  <c r="BK124" i="22"/>
  <c r="BL124" i="22"/>
  <c r="BM124" i="22"/>
  <c r="BN124" i="22"/>
  <c r="BO124" i="22"/>
  <c r="BP124" i="22"/>
  <c r="BQ124" i="22"/>
  <c r="BR124" i="22"/>
  <c r="BS124" i="22"/>
  <c r="BT124" i="22"/>
  <c r="BU124" i="22"/>
  <c r="F120" i="22"/>
  <c r="F121" i="22"/>
  <c r="F122" i="22"/>
  <c r="F123" i="22"/>
  <c r="F124" i="22"/>
  <c r="AY120" i="22" l="1"/>
  <c r="AZ120" i="22" s="1"/>
  <c r="D122" i="22"/>
  <c r="E122" i="22"/>
  <c r="D121" i="22"/>
  <c r="AY124" i="22"/>
  <c r="AZ124" i="22" s="1"/>
  <c r="D124" i="22"/>
  <c r="E123" i="22"/>
  <c r="D123" i="22"/>
  <c r="E124" i="22"/>
  <c r="D120" i="22"/>
  <c r="E121" i="22"/>
  <c r="AY97" i="22"/>
  <c r="AZ97" i="22" s="1"/>
  <c r="AY104" i="22"/>
  <c r="AZ104" i="22" s="1"/>
  <c r="AY100" i="22"/>
  <c r="AZ100" i="22" s="1"/>
  <c r="AY111" i="22"/>
  <c r="AZ111" i="22" s="1"/>
  <c r="AY112" i="22"/>
  <c r="AZ112" i="22" s="1"/>
  <c r="AY103" i="22"/>
  <c r="AZ103" i="22" s="1"/>
  <c r="AY93" i="22"/>
  <c r="AZ93" i="22" s="1"/>
  <c r="AY116" i="22"/>
  <c r="AZ116" i="22" s="1"/>
  <c r="AV116" i="22"/>
  <c r="AY106" i="22"/>
  <c r="AZ106" i="22" s="1"/>
  <c r="AV106" i="22"/>
  <c r="AY96" i="22"/>
  <c r="AZ96" i="22" s="1"/>
  <c r="AX96" i="22"/>
  <c r="AV94" i="22"/>
  <c r="AY94" i="22"/>
  <c r="AZ94" i="22" s="1"/>
  <c r="AY121" i="22"/>
  <c r="AZ121" i="22" s="1"/>
  <c r="AY119" i="22"/>
  <c r="AZ119" i="22" s="1"/>
  <c r="AY114" i="22"/>
  <c r="AZ114" i="22" s="1"/>
  <c r="AV114" i="22"/>
  <c r="AY98" i="22"/>
  <c r="AZ98" i="22" s="1"/>
  <c r="AV98" i="22"/>
  <c r="AY92" i="22"/>
  <c r="AZ92" i="22" s="1"/>
  <c r="AX92" i="22"/>
  <c r="AY122" i="22"/>
  <c r="AZ122" i="22" s="1"/>
  <c r="AV122" i="22"/>
  <c r="AX113" i="22"/>
  <c r="AY113" i="22"/>
  <c r="AZ113" i="22" s="1"/>
  <c r="AY102" i="22"/>
  <c r="AZ102" i="22" s="1"/>
  <c r="AV102" i="22"/>
  <c r="AX123" i="22"/>
  <c r="AY123" i="22"/>
  <c r="AZ123" i="22" s="1"/>
  <c r="AY108" i="22"/>
  <c r="AZ108" i="22" s="1"/>
  <c r="AV108" i="22"/>
  <c r="E120" i="22"/>
  <c r="AX115" i="22"/>
  <c r="AY115" i="22"/>
  <c r="AZ115" i="22" s="1"/>
  <c r="AY91" i="22"/>
  <c r="AZ91" i="22" s="1"/>
  <c r="AV91" i="22"/>
  <c r="AV124" i="22"/>
  <c r="AY110" i="22"/>
  <c r="AZ110" i="22" s="1"/>
  <c r="AV110" i="22"/>
  <c r="AX99" i="22"/>
  <c r="AY99" i="22"/>
  <c r="AZ99" i="22" s="1"/>
  <c r="AY118" i="22"/>
  <c r="AZ118" i="22" s="1"/>
  <c r="AV118" i="22"/>
  <c r="AX107" i="22"/>
  <c r="AY107" i="22"/>
  <c r="AZ107" i="22" s="1"/>
  <c r="AY105" i="22"/>
  <c r="AZ105" i="22" s="1"/>
  <c r="AV100" i="22"/>
  <c r="AV120" i="22"/>
  <c r="AY117" i="22"/>
  <c r="AZ117" i="22" s="1"/>
  <c r="AV112" i="22"/>
  <c r="AY109" i="22"/>
  <c r="AZ109" i="22" s="1"/>
  <c r="AV104" i="22"/>
  <c r="AY101" i="22"/>
  <c r="AZ101" i="22" s="1"/>
  <c r="AY95" i="22"/>
  <c r="AZ95" i="22" s="1"/>
  <c r="AX95" i="22"/>
  <c r="BE88" i="23"/>
  <c r="BF88" i="23" s="1"/>
  <c r="BD88" i="23"/>
  <c r="BE87" i="23"/>
  <c r="BF87" i="23" s="1"/>
  <c r="BD87" i="23"/>
  <c r="BE86" i="23"/>
  <c r="BF86" i="23" s="1"/>
  <c r="BD86" i="23"/>
  <c r="BE108" i="23"/>
  <c r="BF108" i="23" s="1"/>
  <c r="BD108" i="23"/>
  <c r="BE107" i="23"/>
  <c r="BF107" i="23" s="1"/>
  <c r="BD107" i="23"/>
  <c r="BE106" i="23"/>
  <c r="BF106" i="23" s="1"/>
  <c r="BD106" i="23"/>
  <c r="BE105" i="23"/>
  <c r="BF105" i="23" s="1"/>
  <c r="BD105" i="23"/>
  <c r="BE104" i="23"/>
  <c r="BF104" i="23" s="1"/>
  <c r="BD104" i="23"/>
  <c r="BE103" i="23"/>
  <c r="BF103" i="23" s="1"/>
  <c r="BD103" i="23"/>
  <c r="BE102" i="23"/>
  <c r="BF102" i="23" s="1"/>
  <c r="BD102" i="23"/>
  <c r="BE101" i="23"/>
  <c r="BF101" i="23" s="1"/>
  <c r="BD101" i="23"/>
  <c r="BE100" i="23"/>
  <c r="BF100" i="23" s="1"/>
  <c r="BD100" i="23"/>
  <c r="BE99" i="23"/>
  <c r="BF99" i="23" s="1"/>
  <c r="BD99" i="23"/>
  <c r="BE98" i="23"/>
  <c r="BF98" i="23" s="1"/>
  <c r="BD98" i="23"/>
  <c r="BE97" i="23"/>
  <c r="BF97" i="23" s="1"/>
  <c r="BD97" i="23"/>
  <c r="BE96" i="23"/>
  <c r="BF96" i="23" s="1"/>
  <c r="BD96" i="23"/>
  <c r="BE95" i="23"/>
  <c r="BF95" i="23" s="1"/>
  <c r="BD95" i="23"/>
  <c r="BE94" i="23"/>
  <c r="BF94" i="23" s="1"/>
  <c r="BD94" i="23"/>
  <c r="BE93" i="23"/>
  <c r="BF93" i="23" s="1"/>
  <c r="BD93" i="23"/>
  <c r="BE92" i="23"/>
  <c r="BF92" i="23" s="1"/>
  <c r="BD92" i="23"/>
  <c r="BE91" i="23"/>
  <c r="BF91" i="23" s="1"/>
  <c r="BD91" i="23"/>
  <c r="BE90" i="23"/>
  <c r="BF90" i="23" s="1"/>
  <c r="BD90" i="23"/>
  <c r="BE89" i="23"/>
  <c r="BF89" i="23" s="1"/>
  <c r="BD89" i="23"/>
  <c r="AG74" i="36"/>
  <c r="AF74" i="36"/>
  <c r="AE74" i="36"/>
  <c r="AD74" i="36"/>
  <c r="AC74" i="36"/>
  <c r="AB74" i="36"/>
  <c r="AA74" i="36"/>
  <c r="Z74" i="36"/>
  <c r="Y74" i="36"/>
  <c r="X74" i="36"/>
  <c r="W74" i="36"/>
  <c r="V74" i="36"/>
  <c r="U74" i="36"/>
  <c r="T74" i="36"/>
  <c r="S74" i="36"/>
  <c r="R74" i="36"/>
  <c r="Q74" i="36"/>
  <c r="P74" i="36"/>
  <c r="O74" i="36"/>
  <c r="N74" i="36"/>
  <c r="M74" i="36"/>
  <c r="L74" i="36"/>
  <c r="K74" i="36"/>
  <c r="J74" i="36"/>
  <c r="I74" i="36"/>
  <c r="H74" i="36"/>
  <c r="G74" i="36"/>
  <c r="F74" i="36"/>
  <c r="E74" i="36"/>
  <c r="D74" i="36"/>
  <c r="AG73" i="36"/>
  <c r="AF73" i="36"/>
  <c r="AE73" i="36"/>
  <c r="AD73" i="36"/>
  <c r="AC73" i="36"/>
  <c r="AB73" i="36"/>
  <c r="AA73" i="36"/>
  <c r="Z73" i="36"/>
  <c r="Y73" i="36"/>
  <c r="X73" i="36"/>
  <c r="W73" i="36"/>
  <c r="V73" i="36"/>
  <c r="U73" i="36"/>
  <c r="T73" i="36"/>
  <c r="S73" i="36"/>
  <c r="R73" i="36"/>
  <c r="Q73" i="36"/>
  <c r="P73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AG72" i="36"/>
  <c r="AF72" i="36"/>
  <c r="AE72" i="36"/>
  <c r="AD72" i="36"/>
  <c r="AC72" i="36"/>
  <c r="AB72" i="36"/>
  <c r="AA72" i="36"/>
  <c r="Z72" i="36"/>
  <c r="Y72" i="36"/>
  <c r="X72" i="36"/>
  <c r="W72" i="36"/>
  <c r="V72" i="36"/>
  <c r="U72" i="36"/>
  <c r="T72" i="36"/>
  <c r="S72" i="36"/>
  <c r="R72" i="36"/>
  <c r="Q72" i="36"/>
  <c r="P72" i="36"/>
  <c r="O72" i="36"/>
  <c r="N72" i="36"/>
  <c r="M72" i="36"/>
  <c r="L72" i="36"/>
  <c r="K72" i="36"/>
  <c r="J72" i="36"/>
  <c r="I72" i="36"/>
  <c r="H72" i="36"/>
  <c r="G72" i="36"/>
  <c r="F72" i="36"/>
  <c r="E72" i="36"/>
  <c r="D72" i="36"/>
  <c r="AG71" i="36"/>
  <c r="AF71" i="36"/>
  <c r="AE71" i="36"/>
  <c r="AD71" i="36"/>
  <c r="AC71" i="36"/>
  <c r="AB71" i="36"/>
  <c r="AA71" i="36"/>
  <c r="Z71" i="36"/>
  <c r="Y71" i="36"/>
  <c r="X71" i="36"/>
  <c r="W71" i="36"/>
  <c r="V71" i="36"/>
  <c r="U71" i="36"/>
  <c r="T71" i="36"/>
  <c r="S71" i="36"/>
  <c r="R71" i="36"/>
  <c r="Q71" i="36"/>
  <c r="P71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AG70" i="36"/>
  <c r="AF70" i="36"/>
  <c r="AE70" i="36"/>
  <c r="AD70" i="36"/>
  <c r="AC70" i="36"/>
  <c r="AB70" i="36"/>
  <c r="AA70" i="36"/>
  <c r="Z70" i="36"/>
  <c r="Y70" i="36"/>
  <c r="X70" i="36"/>
  <c r="W70" i="36"/>
  <c r="V70" i="36"/>
  <c r="U70" i="36"/>
  <c r="T70" i="36"/>
  <c r="S70" i="36"/>
  <c r="R70" i="36"/>
  <c r="Q70" i="36"/>
  <c r="P70" i="36"/>
  <c r="O70" i="36"/>
  <c r="N70" i="36"/>
  <c r="M70" i="36"/>
  <c r="L70" i="36"/>
  <c r="K70" i="36"/>
  <c r="J70" i="36"/>
  <c r="I70" i="36"/>
  <c r="H70" i="36"/>
  <c r="G70" i="36"/>
  <c r="F70" i="36"/>
  <c r="E70" i="36"/>
  <c r="D70" i="36"/>
  <c r="AG69" i="36"/>
  <c r="AF69" i="36"/>
  <c r="AE69" i="36"/>
  <c r="AD69" i="36"/>
  <c r="AC69" i="36"/>
  <c r="AB69" i="36"/>
  <c r="AA69" i="36"/>
  <c r="Z69" i="36"/>
  <c r="Y69" i="36"/>
  <c r="X69" i="36"/>
  <c r="W69" i="36"/>
  <c r="V69" i="36"/>
  <c r="U69" i="36"/>
  <c r="T69" i="36"/>
  <c r="S69" i="36"/>
  <c r="R69" i="36"/>
  <c r="Q69" i="36"/>
  <c r="P69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AG68" i="36"/>
  <c r="AF68" i="36"/>
  <c r="AE68" i="36"/>
  <c r="AD68" i="36"/>
  <c r="AC68" i="36"/>
  <c r="AB68" i="36"/>
  <c r="AA68" i="36"/>
  <c r="Z68" i="36"/>
  <c r="Y68" i="36"/>
  <c r="X68" i="36"/>
  <c r="W68" i="36"/>
  <c r="V68" i="36"/>
  <c r="U68" i="36"/>
  <c r="T68" i="36"/>
  <c r="S68" i="36"/>
  <c r="R68" i="36"/>
  <c r="Q68" i="36"/>
  <c r="P68" i="36"/>
  <c r="O68" i="36"/>
  <c r="N68" i="36"/>
  <c r="M68" i="36"/>
  <c r="L68" i="36"/>
  <c r="K68" i="36"/>
  <c r="J68" i="36"/>
  <c r="I68" i="36"/>
  <c r="H68" i="36"/>
  <c r="G68" i="36"/>
  <c r="F68" i="36"/>
  <c r="E68" i="36"/>
  <c r="D68" i="36"/>
  <c r="AG67" i="36"/>
  <c r="AF67" i="36"/>
  <c r="AE67" i="36"/>
  <c r="AD67" i="36"/>
  <c r="AC67" i="36"/>
  <c r="AB67" i="36"/>
  <c r="AA67" i="36"/>
  <c r="Z67" i="36"/>
  <c r="Y67" i="36"/>
  <c r="X67" i="36"/>
  <c r="W67" i="36"/>
  <c r="V67" i="36"/>
  <c r="U67" i="36"/>
  <c r="T67" i="36"/>
  <c r="S67" i="36"/>
  <c r="R67" i="36"/>
  <c r="Q67" i="36"/>
  <c r="P67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AG66" i="36"/>
  <c r="AF66" i="36"/>
  <c r="AE66" i="36"/>
  <c r="AD66" i="36"/>
  <c r="AC66" i="36"/>
  <c r="AB66" i="36"/>
  <c r="AA66" i="36"/>
  <c r="Z66" i="36"/>
  <c r="Y66" i="36"/>
  <c r="X66" i="36"/>
  <c r="W66" i="36"/>
  <c r="V66" i="36"/>
  <c r="U66" i="36"/>
  <c r="T66" i="36"/>
  <c r="S66" i="36"/>
  <c r="R66" i="36"/>
  <c r="Q66" i="36"/>
  <c r="P66" i="36"/>
  <c r="O66" i="36"/>
  <c r="N66" i="36"/>
  <c r="M66" i="36"/>
  <c r="L66" i="36"/>
  <c r="K66" i="36"/>
  <c r="J66" i="36"/>
  <c r="I66" i="36"/>
  <c r="H66" i="36"/>
  <c r="G66" i="36"/>
  <c r="F66" i="36"/>
  <c r="E66" i="36"/>
  <c r="D66" i="36"/>
  <c r="AG65" i="36"/>
  <c r="AF65" i="36"/>
  <c r="AE65" i="36"/>
  <c r="AD65" i="36"/>
  <c r="AC65" i="36"/>
  <c r="AB65" i="36"/>
  <c r="AA65" i="36"/>
  <c r="Z65" i="36"/>
  <c r="Y65" i="36"/>
  <c r="X65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AG62" i="36"/>
  <c r="AF62" i="36"/>
  <c r="AE62" i="36"/>
  <c r="AD62" i="36"/>
  <c r="AC62" i="36"/>
  <c r="AB62" i="36"/>
  <c r="AA62" i="36"/>
  <c r="Z62" i="36"/>
  <c r="Y62" i="36"/>
  <c r="X62" i="36"/>
  <c r="W62" i="36"/>
  <c r="V62" i="36"/>
  <c r="U62" i="36"/>
  <c r="T62" i="36"/>
  <c r="S62" i="36"/>
  <c r="R62" i="36"/>
  <c r="Q62" i="36"/>
  <c r="P62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C49" i="36"/>
  <c r="C48" i="36"/>
  <c r="R46" i="36"/>
  <c r="X41" i="36" s="1"/>
  <c r="Q46" i="36"/>
  <c r="W41" i="36" s="1"/>
  <c r="P46" i="36"/>
  <c r="O46" i="36"/>
  <c r="N46" i="36"/>
  <c r="M46" i="36"/>
  <c r="L46" i="36"/>
  <c r="K46" i="36"/>
  <c r="J46" i="36"/>
  <c r="H46" i="36"/>
  <c r="G46" i="36"/>
  <c r="F46" i="36"/>
  <c r="E46" i="36"/>
  <c r="R45" i="36"/>
  <c r="X40" i="36" s="1"/>
  <c r="Q45" i="36"/>
  <c r="W40" i="36" s="1"/>
  <c r="P45" i="36"/>
  <c r="O45" i="36"/>
  <c r="N45" i="36"/>
  <c r="M45" i="36"/>
  <c r="L45" i="36"/>
  <c r="K45" i="36"/>
  <c r="J45" i="36"/>
  <c r="H45" i="36"/>
  <c r="G45" i="36"/>
  <c r="F45" i="36"/>
  <c r="E45" i="36"/>
  <c r="R44" i="36"/>
  <c r="Q44" i="36"/>
  <c r="P44" i="36"/>
  <c r="O44" i="36"/>
  <c r="N44" i="36"/>
  <c r="M44" i="36"/>
  <c r="L44" i="36"/>
  <c r="K44" i="36"/>
  <c r="J44" i="36"/>
  <c r="H44" i="36"/>
  <c r="G44" i="36"/>
  <c r="F44" i="36"/>
  <c r="E44" i="36"/>
  <c r="R43" i="36"/>
  <c r="X43" i="36" s="1"/>
  <c r="Q43" i="36"/>
  <c r="W43" i="36" s="1"/>
  <c r="P43" i="36"/>
  <c r="O43" i="36"/>
  <c r="N43" i="36"/>
  <c r="M43" i="36"/>
  <c r="L43" i="36"/>
  <c r="K43" i="36"/>
  <c r="J43" i="36"/>
  <c r="H43" i="36"/>
  <c r="G43" i="36"/>
  <c r="F43" i="36"/>
  <c r="E43" i="36"/>
  <c r="R42" i="36"/>
  <c r="X38" i="36" s="1"/>
  <c r="Q42" i="36"/>
  <c r="W38" i="36" s="1"/>
  <c r="P42" i="36"/>
  <c r="O42" i="36"/>
  <c r="N42" i="36"/>
  <c r="M42" i="36"/>
  <c r="L42" i="36"/>
  <c r="K42" i="36"/>
  <c r="J42" i="36"/>
  <c r="H42" i="36"/>
  <c r="G42" i="36"/>
  <c r="F42" i="36"/>
  <c r="E42" i="36"/>
  <c r="R41" i="36"/>
  <c r="X42" i="36" s="1"/>
  <c r="Q41" i="36"/>
  <c r="W42" i="36" s="1"/>
  <c r="P41" i="36"/>
  <c r="O41" i="36"/>
  <c r="N41" i="36"/>
  <c r="M41" i="36"/>
  <c r="L41" i="36"/>
  <c r="K41" i="36"/>
  <c r="J41" i="36"/>
  <c r="H41" i="36"/>
  <c r="G41" i="36"/>
  <c r="F41" i="36"/>
  <c r="E41" i="36"/>
  <c r="R40" i="36"/>
  <c r="X39" i="36" s="1"/>
  <c r="Q40" i="36"/>
  <c r="W39" i="36" s="1"/>
  <c r="P40" i="36"/>
  <c r="O40" i="36"/>
  <c r="N40" i="36"/>
  <c r="M40" i="36"/>
  <c r="L40" i="36"/>
  <c r="K40" i="36"/>
  <c r="J40" i="36"/>
  <c r="H40" i="36"/>
  <c r="G40" i="36"/>
  <c r="F40" i="36"/>
  <c r="E40" i="36"/>
  <c r="R39" i="36"/>
  <c r="X44" i="36" s="1"/>
  <c r="Q39" i="36"/>
  <c r="W44" i="36" s="1"/>
  <c r="P39" i="36"/>
  <c r="O39" i="36"/>
  <c r="N39" i="36"/>
  <c r="M39" i="36"/>
  <c r="L39" i="36"/>
  <c r="K39" i="36"/>
  <c r="J39" i="36"/>
  <c r="H39" i="36"/>
  <c r="G39" i="36"/>
  <c r="F39" i="36"/>
  <c r="E39" i="36"/>
  <c r="R38" i="36"/>
  <c r="X45" i="36" s="1"/>
  <c r="Q38" i="36"/>
  <c r="W45" i="36" s="1"/>
  <c r="P38" i="36"/>
  <c r="O38" i="36"/>
  <c r="N38" i="36"/>
  <c r="M38" i="36"/>
  <c r="L38" i="36"/>
  <c r="K38" i="36"/>
  <c r="J38" i="36"/>
  <c r="H38" i="36"/>
  <c r="G38" i="36"/>
  <c r="F38" i="36"/>
  <c r="E38" i="36"/>
  <c r="R34" i="36"/>
  <c r="X32" i="36" s="1"/>
  <c r="Q34" i="36"/>
  <c r="W32" i="36" s="1"/>
  <c r="P34" i="36"/>
  <c r="O34" i="36"/>
  <c r="N34" i="36"/>
  <c r="M34" i="36"/>
  <c r="L34" i="36"/>
  <c r="K34" i="36"/>
  <c r="J34" i="36"/>
  <c r="H34" i="36"/>
  <c r="G34" i="36"/>
  <c r="F34" i="36"/>
  <c r="E34" i="36"/>
  <c r="R33" i="36"/>
  <c r="X27" i="36" s="1"/>
  <c r="Q33" i="36"/>
  <c r="W27" i="36" s="1"/>
  <c r="P33" i="36"/>
  <c r="O33" i="36"/>
  <c r="N33" i="36"/>
  <c r="M33" i="36"/>
  <c r="L33" i="36"/>
  <c r="K33" i="36"/>
  <c r="J33" i="36"/>
  <c r="H33" i="36"/>
  <c r="G33" i="36"/>
  <c r="F33" i="36"/>
  <c r="E33" i="36"/>
  <c r="R32" i="36"/>
  <c r="X30" i="36" s="1"/>
  <c r="Q32" i="36"/>
  <c r="W30" i="36" s="1"/>
  <c r="P32" i="36"/>
  <c r="O32" i="36"/>
  <c r="N32" i="36"/>
  <c r="M32" i="36"/>
  <c r="L32" i="36"/>
  <c r="K32" i="36"/>
  <c r="J32" i="36"/>
  <c r="H32" i="36"/>
  <c r="G32" i="36"/>
  <c r="F32" i="36"/>
  <c r="E32" i="36"/>
  <c r="R31" i="36"/>
  <c r="Q31" i="36"/>
  <c r="P31" i="36"/>
  <c r="O31" i="36"/>
  <c r="N31" i="36"/>
  <c r="M31" i="36"/>
  <c r="L31" i="36"/>
  <c r="K31" i="36"/>
  <c r="J31" i="36"/>
  <c r="H31" i="36"/>
  <c r="G31" i="36"/>
  <c r="F31" i="36"/>
  <c r="E31" i="36"/>
  <c r="R30" i="36"/>
  <c r="X33" i="36" s="1"/>
  <c r="Q30" i="36"/>
  <c r="W33" i="36" s="1"/>
  <c r="P30" i="36"/>
  <c r="O30" i="36"/>
  <c r="N30" i="36"/>
  <c r="M30" i="36"/>
  <c r="L30" i="36"/>
  <c r="K30" i="36"/>
  <c r="J30" i="36"/>
  <c r="H30" i="36"/>
  <c r="G30" i="36"/>
  <c r="F30" i="36"/>
  <c r="E30" i="36"/>
  <c r="R29" i="36"/>
  <c r="X28" i="36" s="1"/>
  <c r="Q29" i="36"/>
  <c r="W28" i="36" s="1"/>
  <c r="P29" i="36"/>
  <c r="O29" i="36"/>
  <c r="N29" i="36"/>
  <c r="M29" i="36"/>
  <c r="L29" i="36"/>
  <c r="K29" i="36"/>
  <c r="J29" i="36"/>
  <c r="H29" i="36"/>
  <c r="G29" i="36"/>
  <c r="F29" i="36"/>
  <c r="E29" i="36"/>
  <c r="R28" i="36"/>
  <c r="X31" i="36" s="1"/>
  <c r="Q28" i="36"/>
  <c r="W31" i="36" s="1"/>
  <c r="P28" i="36"/>
  <c r="O28" i="36"/>
  <c r="N28" i="36"/>
  <c r="M28" i="36"/>
  <c r="L28" i="36"/>
  <c r="K28" i="36"/>
  <c r="J28" i="36"/>
  <c r="H28" i="36"/>
  <c r="G28" i="36"/>
  <c r="F28" i="36"/>
  <c r="E28" i="36"/>
  <c r="R27" i="36"/>
  <c r="X34" i="36" s="1"/>
  <c r="Q27" i="36"/>
  <c r="W34" i="36" s="1"/>
  <c r="P27" i="36"/>
  <c r="O27" i="36"/>
  <c r="N27" i="36"/>
  <c r="M27" i="36"/>
  <c r="L27" i="36"/>
  <c r="K27" i="36"/>
  <c r="J27" i="36"/>
  <c r="H27" i="36"/>
  <c r="G27" i="36"/>
  <c r="F27" i="36"/>
  <c r="E27" i="36"/>
  <c r="AZ24" i="36"/>
  <c r="AY24" i="36"/>
  <c r="AX24" i="36"/>
  <c r="AW24" i="36"/>
  <c r="AV24" i="36"/>
  <c r="AU24" i="36"/>
  <c r="AT24" i="36"/>
  <c r="AS24" i="36"/>
  <c r="AR24" i="36"/>
  <c r="AQ24" i="36"/>
  <c r="AP24" i="36"/>
  <c r="AO24" i="36"/>
  <c r="AN24" i="36"/>
  <c r="AM24" i="36"/>
  <c r="AL24" i="36"/>
  <c r="AK24" i="36"/>
  <c r="AJ24" i="36"/>
  <c r="AI24" i="36"/>
  <c r="AH24" i="36"/>
  <c r="AG24" i="36"/>
  <c r="AF24" i="36"/>
  <c r="AE24" i="36"/>
  <c r="AD24" i="36"/>
  <c r="AC24" i="36"/>
  <c r="AB24" i="36"/>
  <c r="AA24" i="36"/>
  <c r="Z24" i="36"/>
  <c r="Y24" i="36"/>
  <c r="X24" i="36"/>
  <c r="W24" i="36"/>
  <c r="V24" i="36"/>
  <c r="U24" i="36"/>
  <c r="T24" i="36"/>
  <c r="S24" i="36"/>
  <c r="R24" i="36"/>
  <c r="Q24" i="36"/>
  <c r="P24" i="36"/>
  <c r="O24" i="36"/>
  <c r="N24" i="36"/>
  <c r="M24" i="36"/>
  <c r="L24" i="36"/>
  <c r="K24" i="36"/>
  <c r="J24" i="36"/>
  <c r="I24" i="36"/>
  <c r="H24" i="36"/>
  <c r="G24" i="36"/>
  <c r="F24" i="36"/>
  <c r="E24" i="36"/>
  <c r="D24" i="36"/>
  <c r="AZ23" i="36"/>
  <c r="AY23" i="36"/>
  <c r="AX23" i="36"/>
  <c r="AW23" i="36"/>
  <c r="AV23" i="36"/>
  <c r="AU23" i="36"/>
  <c r="AT23" i="36"/>
  <c r="AS23" i="36"/>
  <c r="AR23" i="36"/>
  <c r="AQ23" i="36"/>
  <c r="AP23" i="36"/>
  <c r="AO23" i="36"/>
  <c r="AN23" i="36"/>
  <c r="AM23" i="36"/>
  <c r="AL23" i="36"/>
  <c r="AK23" i="36"/>
  <c r="AJ23" i="36"/>
  <c r="AI23" i="36"/>
  <c r="AH23" i="36"/>
  <c r="AG23" i="36"/>
  <c r="AF23" i="36"/>
  <c r="AE23" i="36"/>
  <c r="AD23" i="36"/>
  <c r="AC23" i="36"/>
  <c r="AB23" i="36"/>
  <c r="AA23" i="36"/>
  <c r="Z23" i="36"/>
  <c r="Y23" i="36"/>
  <c r="X23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I22" i="36"/>
  <c r="C21" i="36"/>
  <c r="AZ19" i="36"/>
  <c r="AY19" i="36"/>
  <c r="AX19" i="36"/>
  <c r="AW19" i="36"/>
  <c r="AV19" i="36"/>
  <c r="AU19" i="36"/>
  <c r="AT19" i="36"/>
  <c r="AS19" i="36"/>
  <c r="AR19" i="36"/>
  <c r="AQ19" i="36"/>
  <c r="AP19" i="36"/>
  <c r="AO19" i="36"/>
  <c r="AN19" i="36"/>
  <c r="AM19" i="36"/>
  <c r="AL19" i="36"/>
  <c r="AK19" i="36"/>
  <c r="AJ19" i="36"/>
  <c r="AI19" i="36"/>
  <c r="AH19" i="36"/>
  <c r="AG19" i="36"/>
  <c r="AF19" i="36"/>
  <c r="AE19" i="36"/>
  <c r="AD19" i="36"/>
  <c r="AC19" i="36"/>
  <c r="AB19" i="36"/>
  <c r="AA19" i="36"/>
  <c r="Z19" i="36"/>
  <c r="Y19" i="36"/>
  <c r="X19" i="36"/>
  <c r="W19" i="36"/>
  <c r="V19" i="36"/>
  <c r="U19" i="36"/>
  <c r="T19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AZ18" i="36"/>
  <c r="AY18" i="36"/>
  <c r="AX18" i="36"/>
  <c r="AW18" i="36"/>
  <c r="AV18" i="36"/>
  <c r="AU18" i="36"/>
  <c r="AT18" i="36"/>
  <c r="AS18" i="36"/>
  <c r="AR18" i="36"/>
  <c r="AQ18" i="36"/>
  <c r="AP18" i="36"/>
  <c r="AO18" i="36"/>
  <c r="AN18" i="36"/>
  <c r="AM18" i="36"/>
  <c r="AL18" i="36"/>
  <c r="AK18" i="36"/>
  <c r="AJ18" i="36"/>
  <c r="AI18" i="36"/>
  <c r="AH18" i="36"/>
  <c r="AG18" i="36"/>
  <c r="AF18" i="36"/>
  <c r="AE18" i="36"/>
  <c r="AD18" i="36"/>
  <c r="AC18" i="36"/>
  <c r="AB18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AZ17" i="36"/>
  <c r="AY17" i="36"/>
  <c r="AX17" i="36"/>
  <c r="AW17" i="36"/>
  <c r="AV17" i="36"/>
  <c r="AU17" i="36"/>
  <c r="AT17" i="36"/>
  <c r="AS17" i="36"/>
  <c r="AR17" i="36"/>
  <c r="AQ17" i="36"/>
  <c r="AP17" i="36"/>
  <c r="AO17" i="36"/>
  <c r="AN17" i="36"/>
  <c r="AM17" i="36"/>
  <c r="AL17" i="36"/>
  <c r="AK17" i="36"/>
  <c r="AJ17" i="36"/>
  <c r="AI17" i="36"/>
  <c r="AH17" i="36"/>
  <c r="AG17" i="36"/>
  <c r="AF17" i="36"/>
  <c r="AE17" i="36"/>
  <c r="AD17" i="36"/>
  <c r="AC17" i="36"/>
  <c r="AB17" i="36"/>
  <c r="AA17" i="36"/>
  <c r="Z17" i="36"/>
  <c r="Y17" i="36"/>
  <c r="X17" i="36"/>
  <c r="W17" i="36"/>
  <c r="V17" i="36"/>
  <c r="U17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D17" i="36"/>
  <c r="I16" i="36"/>
  <c r="I15" i="36"/>
  <c r="I14" i="36"/>
  <c r="C13" i="36"/>
  <c r="I11" i="36"/>
  <c r="I10" i="36"/>
  <c r="I9" i="36"/>
  <c r="I8" i="36"/>
  <c r="AZ7" i="36"/>
  <c r="AY7" i="36"/>
  <c r="AX7" i="36"/>
  <c r="AW7" i="36"/>
  <c r="AV7" i="36"/>
  <c r="AU7" i="36"/>
  <c r="AT7" i="36"/>
  <c r="AS7" i="36"/>
  <c r="AR7" i="36"/>
  <c r="AQ7" i="36"/>
  <c r="AP7" i="36"/>
  <c r="AO7" i="36"/>
  <c r="AN7" i="36"/>
  <c r="AM7" i="36"/>
  <c r="AL7" i="36"/>
  <c r="AK7" i="36"/>
  <c r="AJ7" i="36"/>
  <c r="AI7" i="36"/>
  <c r="AH7" i="36"/>
  <c r="AG7" i="36"/>
  <c r="AF7" i="36"/>
  <c r="AE7" i="36"/>
  <c r="AD7" i="36"/>
  <c r="AC7" i="36"/>
  <c r="AB7" i="36"/>
  <c r="AA7" i="36"/>
  <c r="Z7" i="36"/>
  <c r="Y7" i="36"/>
  <c r="X7" i="36"/>
  <c r="W7" i="36"/>
  <c r="V7" i="36"/>
  <c r="U7" i="36"/>
  <c r="T7" i="36"/>
  <c r="S7" i="36"/>
  <c r="R7" i="36"/>
  <c r="Q7" i="36"/>
  <c r="P7" i="36"/>
  <c r="O7" i="36"/>
  <c r="N7" i="36"/>
  <c r="M7" i="36"/>
  <c r="L7" i="36"/>
  <c r="K7" i="36"/>
  <c r="J7" i="36"/>
  <c r="I7" i="36"/>
  <c r="H7" i="36"/>
  <c r="G7" i="36"/>
  <c r="F7" i="36"/>
  <c r="E7" i="36"/>
  <c r="D7" i="36"/>
  <c r="I6" i="36"/>
  <c r="I5" i="36"/>
  <c r="AZ4" i="36"/>
  <c r="AY4" i="36"/>
  <c r="AX4" i="36"/>
  <c r="AW4" i="36"/>
  <c r="AV4" i="36"/>
  <c r="AU4" i="36"/>
  <c r="AT4" i="36"/>
  <c r="AS4" i="36"/>
  <c r="AR4" i="36"/>
  <c r="AQ4" i="36"/>
  <c r="AP4" i="36"/>
  <c r="AO4" i="36"/>
  <c r="AN4" i="36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AZ3" i="36"/>
  <c r="AY3" i="36"/>
  <c r="AX3" i="36"/>
  <c r="AW3" i="36"/>
  <c r="AV3" i="36"/>
  <c r="AU3" i="36"/>
  <c r="AT3" i="36"/>
  <c r="AS3" i="36"/>
  <c r="AR3" i="36"/>
  <c r="AQ3" i="36"/>
  <c r="AP3" i="36"/>
  <c r="AO3" i="36"/>
  <c r="AN3" i="36"/>
  <c r="AM3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R3" i="36"/>
  <c r="Q3" i="36"/>
  <c r="P3" i="36"/>
  <c r="O3" i="36"/>
  <c r="N3" i="36"/>
  <c r="M3" i="36"/>
  <c r="L3" i="36"/>
  <c r="K3" i="36"/>
  <c r="J3" i="36"/>
  <c r="I3" i="36"/>
  <c r="H3" i="36"/>
  <c r="G3" i="36"/>
  <c r="F3" i="36"/>
  <c r="E3" i="36"/>
  <c r="D3" i="36"/>
  <c r="C2" i="36"/>
  <c r="I74" i="9"/>
  <c r="H74" i="9"/>
  <c r="G74" i="9"/>
  <c r="F74" i="9"/>
  <c r="I73" i="9"/>
  <c r="H73" i="9"/>
  <c r="G73" i="9"/>
  <c r="F73" i="9"/>
  <c r="I72" i="9"/>
  <c r="H72" i="9"/>
  <c r="G72" i="9"/>
  <c r="F72" i="9"/>
  <c r="I11" i="9"/>
  <c r="I10" i="9"/>
  <c r="I9" i="9"/>
  <c r="I8" i="9"/>
  <c r="I7" i="9"/>
  <c r="I6" i="9"/>
  <c r="I5" i="9"/>
  <c r="I4" i="9"/>
  <c r="I3" i="9"/>
  <c r="AT24" i="9"/>
  <c r="AS24" i="9"/>
  <c r="AR24" i="9"/>
  <c r="AQ24" i="9"/>
  <c r="AP24" i="9"/>
  <c r="AO24" i="9"/>
  <c r="AN24" i="9"/>
  <c r="AM24" i="9"/>
  <c r="AL24" i="9"/>
  <c r="AC24" i="9"/>
  <c r="AB24" i="9"/>
  <c r="AA24" i="9"/>
  <c r="Z24" i="9"/>
  <c r="Y24" i="9"/>
  <c r="X24" i="9"/>
  <c r="W24" i="9"/>
  <c r="V24" i="9"/>
  <c r="U24" i="9"/>
  <c r="AT19" i="9"/>
  <c r="AS19" i="9"/>
  <c r="AR19" i="9"/>
  <c r="AQ19" i="9"/>
  <c r="AP19" i="9"/>
  <c r="AO19" i="9"/>
  <c r="AN19" i="9"/>
  <c r="AM19" i="9"/>
  <c r="AL19" i="9"/>
  <c r="AC19" i="9"/>
  <c r="AB19" i="9"/>
  <c r="AA19" i="9"/>
  <c r="Z19" i="9"/>
  <c r="Y19" i="9"/>
  <c r="X19" i="9"/>
  <c r="W19" i="9"/>
  <c r="V19" i="9"/>
  <c r="U19" i="9"/>
  <c r="I19" i="9"/>
  <c r="H19" i="9"/>
  <c r="G19" i="9"/>
  <c r="F19" i="9"/>
  <c r="I18" i="9"/>
  <c r="I17" i="9"/>
  <c r="I14" i="9"/>
  <c r="P4" i="7"/>
  <c r="P5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M2" i="7"/>
  <c r="I71" i="9" l="1"/>
  <c r="AG70" i="33"/>
  <c r="Q70" i="33"/>
  <c r="R70" i="33"/>
  <c r="Z64" i="33"/>
  <c r="M71" i="34"/>
  <c r="AG71" i="34"/>
  <c r="E56" i="33"/>
  <c r="E70" i="33"/>
  <c r="L70" i="33"/>
  <c r="Q64" i="33"/>
  <c r="V70" i="33"/>
  <c r="AD64" i="33"/>
  <c r="E71" i="34"/>
  <c r="D71" i="34"/>
  <c r="O71" i="34"/>
  <c r="U71" i="34"/>
  <c r="L64" i="33"/>
  <c r="U64" i="33"/>
  <c r="K70" i="33"/>
  <c r="AC71" i="34"/>
  <c r="Z71" i="34"/>
  <c r="Q71" i="34"/>
  <c r="D70" i="33"/>
  <c r="E64" i="33"/>
  <c r="P70" i="33"/>
  <c r="Z70" i="33"/>
  <c r="E56" i="34"/>
  <c r="K71" i="34"/>
  <c r="AB64" i="33"/>
  <c r="K64" i="33"/>
  <c r="T70" i="33"/>
  <c r="Y64" i="33"/>
  <c r="AD70" i="33"/>
  <c r="O70" i="33"/>
  <c r="E59" i="34"/>
  <c r="R71" i="34"/>
  <c r="N71" i="34"/>
  <c r="AF71" i="34"/>
  <c r="N64" i="33"/>
  <c r="T64" i="33"/>
  <c r="M70" i="33"/>
  <c r="O64" i="33"/>
  <c r="X70" i="33"/>
  <c r="AC64" i="33"/>
  <c r="I64" i="33"/>
  <c r="S70" i="33"/>
  <c r="E60" i="34"/>
  <c r="X71" i="34"/>
  <c r="T71" i="34"/>
  <c r="L71" i="34"/>
  <c r="U70" i="33"/>
  <c r="AC70" i="33"/>
  <c r="S64" i="33"/>
  <c r="AB70" i="33"/>
  <c r="AG64" i="33"/>
  <c r="W70" i="33"/>
  <c r="E58" i="34"/>
  <c r="X64" i="33"/>
  <c r="P64" i="33"/>
  <c r="W64" i="33"/>
  <c r="AF70" i="33"/>
  <c r="I70" i="33"/>
  <c r="R64" i="33"/>
  <c r="AA70" i="33"/>
  <c r="E57" i="34"/>
  <c r="AA71" i="34"/>
  <c r="AD71" i="34"/>
  <c r="V71" i="34"/>
  <c r="AE64" i="33"/>
  <c r="S71" i="34"/>
  <c r="AE71" i="34"/>
  <c r="Y70" i="33"/>
  <c r="AF64" i="33"/>
  <c r="AA64" i="33"/>
  <c r="D64" i="33"/>
  <c r="N70" i="33"/>
  <c r="V64" i="33"/>
  <c r="AE70" i="33"/>
  <c r="W71" i="34"/>
  <c r="I71" i="34"/>
  <c r="AB71" i="34"/>
  <c r="M64" i="33"/>
  <c r="E57" i="32"/>
  <c r="P71" i="34"/>
  <c r="Y71" i="34"/>
  <c r="BZ20" i="23"/>
  <c r="CD36" i="23"/>
  <c r="CG14" i="23"/>
  <c r="CA20" i="23"/>
  <c r="CE36" i="23"/>
  <c r="BZ13" i="23"/>
  <c r="CF18" i="23"/>
  <c r="CD20" i="23"/>
  <c r="CA13" i="23"/>
  <c r="CG18" i="23"/>
  <c r="CE20" i="23"/>
  <c r="CK13" i="23"/>
  <c r="BV21" i="23"/>
  <c r="BW21" i="23"/>
  <c r="CJ13" i="23"/>
  <c r="CF14" i="23"/>
  <c r="I2" i="36"/>
  <c r="AV21" i="33"/>
  <c r="L13" i="33"/>
  <c r="AU13" i="33"/>
  <c r="M21" i="33"/>
  <c r="D21" i="33"/>
  <c r="AG13" i="33"/>
  <c r="AH13" i="33"/>
  <c r="AD21" i="33"/>
  <c r="K13" i="33"/>
  <c r="T13" i="33"/>
  <c r="L21" i="33"/>
  <c r="AH21" i="33"/>
  <c r="N21" i="33"/>
  <c r="AX13" i="33"/>
  <c r="AY13" i="33"/>
  <c r="S13" i="33"/>
  <c r="K21" i="33"/>
  <c r="T21" i="33"/>
  <c r="AI21" i="33"/>
  <c r="E21" i="33"/>
  <c r="P21" i="33"/>
  <c r="J13" i="33"/>
  <c r="AJ13" i="33"/>
  <c r="S21" i="33"/>
  <c r="AG21" i="33"/>
  <c r="O21" i="33"/>
  <c r="AU21" i="33"/>
  <c r="AJ21" i="33"/>
  <c r="J21" i="33"/>
  <c r="AF21" i="33"/>
  <c r="AY21" i="33"/>
  <c r="D13" i="33"/>
  <c r="R21" i="33"/>
  <c r="AX21" i="33"/>
  <c r="N13" i="33"/>
  <c r="O13" i="33"/>
  <c r="R13" i="33"/>
  <c r="AE21" i="33"/>
  <c r="M13" i="33"/>
  <c r="AE13" i="33"/>
  <c r="AF13" i="33"/>
  <c r="E13" i="33"/>
  <c r="AI13" i="33"/>
  <c r="AW21" i="33"/>
  <c r="AD13" i="33"/>
  <c r="AV13" i="33"/>
  <c r="AW13" i="33"/>
  <c r="P13" i="33"/>
  <c r="Q13" i="33"/>
  <c r="G13" i="33" s="1"/>
  <c r="Q21" i="33"/>
  <c r="G21" i="33" s="1"/>
  <c r="AV20" i="33"/>
  <c r="AH20" i="33"/>
  <c r="AD20" i="33"/>
  <c r="Q20" i="33"/>
  <c r="G20" i="33" s="1"/>
  <c r="M20" i="33"/>
  <c r="AW20" i="33"/>
  <c r="AE20" i="33"/>
  <c r="R20" i="33"/>
  <c r="D20" i="33"/>
  <c r="AJ20" i="33"/>
  <c r="S20" i="33"/>
  <c r="E20" i="33"/>
  <c r="AI20" i="33"/>
  <c r="N20" i="33"/>
  <c r="J20" i="33"/>
  <c r="AX20" i="33"/>
  <c r="AF20" i="33"/>
  <c r="O20" i="33"/>
  <c r="K20" i="33"/>
  <c r="L20" i="33"/>
  <c r="AU20" i="33"/>
  <c r="AY20" i="33"/>
  <c r="P20" i="33"/>
  <c r="T20" i="33"/>
  <c r="AG20" i="33"/>
  <c r="AU18" i="33"/>
  <c r="E18" i="33"/>
  <c r="AV18" i="33"/>
  <c r="AH18" i="33"/>
  <c r="AD18" i="33"/>
  <c r="Q18" i="33"/>
  <c r="G18" i="33" s="1"/>
  <c r="M18" i="33"/>
  <c r="AY18" i="33"/>
  <c r="AG18" i="33"/>
  <c r="T18" i="33"/>
  <c r="P18" i="33"/>
  <c r="L18" i="33"/>
  <c r="AX18" i="33"/>
  <c r="AE18" i="33"/>
  <c r="K18" i="33"/>
  <c r="AJ18" i="33"/>
  <c r="N18" i="33"/>
  <c r="S18" i="33"/>
  <c r="R18" i="33"/>
  <c r="AF18" i="33"/>
  <c r="J18" i="33"/>
  <c r="AI18" i="33"/>
  <c r="O18" i="33"/>
  <c r="AW18" i="33"/>
  <c r="D18" i="33"/>
  <c r="Q11" i="33"/>
  <c r="G11" i="33" s="1"/>
  <c r="D12" i="33"/>
  <c r="AF12" i="33"/>
  <c r="N17" i="33"/>
  <c r="AW17" i="33"/>
  <c r="AE11" i="33"/>
  <c r="L12" i="33"/>
  <c r="AU12" i="33"/>
  <c r="O17" i="33"/>
  <c r="AX17" i="33"/>
  <c r="T11" i="33"/>
  <c r="J12" i="33"/>
  <c r="AI12" i="33"/>
  <c r="AD17" i="33"/>
  <c r="K11" i="33"/>
  <c r="AJ11" i="33"/>
  <c r="AD12" i="33"/>
  <c r="L17" i="33"/>
  <c r="AU17" i="33"/>
  <c r="AD11" i="33"/>
  <c r="K12" i="33"/>
  <c r="AJ12" i="33"/>
  <c r="R17" i="33"/>
  <c r="J11" i="33"/>
  <c r="AI11" i="33"/>
  <c r="P12" i="33"/>
  <c r="AY12" i="33"/>
  <c r="S17" i="33"/>
  <c r="E11" i="33"/>
  <c r="AG11" i="33"/>
  <c r="N12" i="33"/>
  <c r="AW12" i="33"/>
  <c r="AH17" i="33"/>
  <c r="O11" i="33"/>
  <c r="AX11" i="33"/>
  <c r="AH12" i="33"/>
  <c r="P17" i="33"/>
  <c r="AY17" i="33"/>
  <c r="AH11" i="33"/>
  <c r="O12" i="33"/>
  <c r="AX12" i="33"/>
  <c r="AE17" i="33"/>
  <c r="N11" i="33"/>
  <c r="AW11" i="33"/>
  <c r="T12" i="33"/>
  <c r="D17" i="33"/>
  <c r="AF17" i="33"/>
  <c r="L11" i="33"/>
  <c r="AU11" i="33"/>
  <c r="R12" i="33"/>
  <c r="M17" i="33"/>
  <c r="AV17" i="33"/>
  <c r="S11" i="33"/>
  <c r="M12" i="33"/>
  <c r="AV12" i="33"/>
  <c r="AV11" i="33"/>
  <c r="R11" i="33"/>
  <c r="AJ17" i="33"/>
  <c r="Q17" i="33"/>
  <c r="G17" i="33" s="1"/>
  <c r="E17" i="33"/>
  <c r="S12" i="33"/>
  <c r="E12" i="33"/>
  <c r="P11" i="33"/>
  <c r="D11" i="33"/>
  <c r="T17" i="33"/>
  <c r="J17" i="33"/>
  <c r="AG12" i="33"/>
  <c r="AY11" i="33"/>
  <c r="AF11" i="33"/>
  <c r="AG17" i="33"/>
  <c r="M11" i="33"/>
  <c r="AI17" i="33"/>
  <c r="K17" i="33"/>
  <c r="AE12" i="33"/>
  <c r="Q12" i="33"/>
  <c r="G12" i="33" s="1"/>
  <c r="D9" i="33"/>
  <c r="AF9" i="33"/>
  <c r="AU19" i="33"/>
  <c r="M19" i="33"/>
  <c r="T9" i="33"/>
  <c r="AX19" i="33"/>
  <c r="L19" i="33"/>
  <c r="AD9" i="33"/>
  <c r="AJ19" i="33"/>
  <c r="K19" i="33"/>
  <c r="R9" i="33"/>
  <c r="AV19" i="33"/>
  <c r="N19" i="33"/>
  <c r="K9" i="33"/>
  <c r="AJ9" i="33"/>
  <c r="AH19" i="33"/>
  <c r="E9" i="33"/>
  <c r="AG9" i="33"/>
  <c r="AG19" i="33"/>
  <c r="E19" i="33"/>
  <c r="AH9" i="33"/>
  <c r="AF19" i="33"/>
  <c r="D19" i="33"/>
  <c r="AE9" i="33"/>
  <c r="AI19" i="33"/>
  <c r="O9" i="33"/>
  <c r="AX9" i="33"/>
  <c r="AD19" i="33"/>
  <c r="L9" i="33"/>
  <c r="AU9" i="33"/>
  <c r="T19" i="33"/>
  <c r="M9" i="33"/>
  <c r="AV9" i="33"/>
  <c r="S19" i="33"/>
  <c r="J9" i="33"/>
  <c r="AI9" i="33"/>
  <c r="AE19" i="33"/>
  <c r="J19" i="33"/>
  <c r="S9" i="33"/>
  <c r="AY19" i="33"/>
  <c r="Q19" i="33"/>
  <c r="G19" i="33" s="1"/>
  <c r="P9" i="33"/>
  <c r="AY9" i="33"/>
  <c r="P19" i="33"/>
  <c r="Q9" i="33"/>
  <c r="G9" i="33" s="1"/>
  <c r="AW19" i="33"/>
  <c r="O19" i="33"/>
  <c r="N9" i="33"/>
  <c r="AW9" i="33"/>
  <c r="R19" i="33"/>
  <c r="AV26" i="33"/>
  <c r="AH26" i="33"/>
  <c r="AD26" i="33"/>
  <c r="Q26" i="33"/>
  <c r="G26" i="33" s="1"/>
  <c r="M26" i="33"/>
  <c r="AY8" i="33"/>
  <c r="AU8" i="33"/>
  <c r="AG8" i="33"/>
  <c r="T8" i="33"/>
  <c r="P8" i="33"/>
  <c r="L8" i="33"/>
  <c r="E8" i="33"/>
  <c r="AX6" i="33"/>
  <c r="AJ6" i="33"/>
  <c r="AF6" i="33"/>
  <c r="S6" i="33"/>
  <c r="O6" i="33"/>
  <c r="K6" i="33"/>
  <c r="D6" i="33"/>
  <c r="N8" i="33"/>
  <c r="AW26" i="33"/>
  <c r="R26" i="33"/>
  <c r="AV8" i="33"/>
  <c r="Q8" i="33"/>
  <c r="G8" i="33" s="1"/>
  <c r="AU6" i="33"/>
  <c r="T6" i="33"/>
  <c r="E6" i="33"/>
  <c r="AY26" i="33"/>
  <c r="AU26" i="33"/>
  <c r="AG26" i="33"/>
  <c r="T26" i="33"/>
  <c r="P26" i="33"/>
  <c r="L26" i="33"/>
  <c r="E26" i="33"/>
  <c r="AX8" i="33"/>
  <c r="AJ8" i="33"/>
  <c r="AF8" i="33"/>
  <c r="S8" i="33"/>
  <c r="O8" i="33"/>
  <c r="K8" i="33"/>
  <c r="D8" i="33"/>
  <c r="AW6" i="33"/>
  <c r="AI6" i="33"/>
  <c r="AE6" i="33"/>
  <c r="R6" i="33"/>
  <c r="N6" i="33"/>
  <c r="J6" i="33"/>
  <c r="AX26" i="33"/>
  <c r="AJ26" i="33"/>
  <c r="AF26" i="33"/>
  <c r="S26" i="33"/>
  <c r="O26" i="33"/>
  <c r="K26" i="33"/>
  <c r="D26" i="33"/>
  <c r="AW8" i="33"/>
  <c r="AI8" i="33"/>
  <c r="AE8" i="33"/>
  <c r="R8" i="33"/>
  <c r="J8" i="33"/>
  <c r="AV6" i="33"/>
  <c r="AH6" i="33"/>
  <c r="AD6" i="33"/>
  <c r="Q6" i="33"/>
  <c r="G6" i="33" s="1"/>
  <c r="M6" i="33"/>
  <c r="AI26" i="33"/>
  <c r="AE26" i="33"/>
  <c r="N26" i="33"/>
  <c r="J26" i="33"/>
  <c r="AH8" i="33"/>
  <c r="AD8" i="33"/>
  <c r="M8" i="33"/>
  <c r="AY6" i="33"/>
  <c r="AG6" i="33"/>
  <c r="P6" i="33"/>
  <c r="L6" i="33"/>
  <c r="AV21" i="34"/>
  <c r="R21" i="34"/>
  <c r="E21" i="34"/>
  <c r="AF21" i="34"/>
  <c r="P21" i="34"/>
  <c r="AY21" i="34"/>
  <c r="AH21" i="34"/>
  <c r="D21" i="34"/>
  <c r="AE21" i="34"/>
  <c r="K21" i="34"/>
  <c r="AJ21" i="34"/>
  <c r="T21" i="34"/>
  <c r="M21" i="34"/>
  <c r="J21" i="34"/>
  <c r="AI21" i="34"/>
  <c r="O21" i="34"/>
  <c r="AX21" i="34"/>
  <c r="AG21" i="34"/>
  <c r="Q21" i="34"/>
  <c r="G21" i="34" s="1"/>
  <c r="N21" i="34"/>
  <c r="AW21" i="34"/>
  <c r="S21" i="34"/>
  <c r="L21" i="34"/>
  <c r="AU21" i="34"/>
  <c r="AD21" i="34"/>
  <c r="AV10" i="32"/>
  <c r="E9" i="32"/>
  <c r="AY9" i="32"/>
  <c r="AW10" i="32"/>
  <c r="AE26" i="34"/>
  <c r="Q9" i="32"/>
  <c r="G9" i="32" s="1"/>
  <c r="D10" i="32"/>
  <c r="AF10" i="32"/>
  <c r="K26" i="34"/>
  <c r="AJ26" i="34"/>
  <c r="R9" i="32"/>
  <c r="E10" i="32"/>
  <c r="AG10" i="32"/>
  <c r="AH26" i="34"/>
  <c r="AI10" i="32"/>
  <c r="T26" i="34"/>
  <c r="D9" i="32"/>
  <c r="AF9" i="32"/>
  <c r="Q10" i="32"/>
  <c r="G10" i="32" s="1"/>
  <c r="AG9" i="32"/>
  <c r="N9" i="32"/>
  <c r="M26" i="34"/>
  <c r="AY26" i="34"/>
  <c r="Q26" i="34"/>
  <c r="G26" i="34" s="1"/>
  <c r="P9" i="32"/>
  <c r="J10" i="32"/>
  <c r="J26" i="34"/>
  <c r="AI26" i="34"/>
  <c r="AD9" i="32"/>
  <c r="K10" i="32"/>
  <c r="AJ10" i="32"/>
  <c r="O26" i="34"/>
  <c r="AX26" i="34"/>
  <c r="AE9" i="32"/>
  <c r="L10" i="32"/>
  <c r="AU10" i="32"/>
  <c r="L9" i="32"/>
  <c r="E26" i="34"/>
  <c r="AG26" i="34"/>
  <c r="K9" i="32"/>
  <c r="AJ9" i="32"/>
  <c r="AD10" i="32"/>
  <c r="AD26" i="34"/>
  <c r="T9" i="32"/>
  <c r="R10" i="32"/>
  <c r="N26" i="34"/>
  <c r="AW26" i="34"/>
  <c r="AH9" i="32"/>
  <c r="O10" i="32"/>
  <c r="AX10" i="32"/>
  <c r="S26" i="34"/>
  <c r="J9" i="32"/>
  <c r="AI9" i="32"/>
  <c r="P10" i="32"/>
  <c r="AY10" i="32"/>
  <c r="AU9" i="32"/>
  <c r="L26" i="34"/>
  <c r="AU26" i="34"/>
  <c r="O9" i="32"/>
  <c r="AX9" i="32"/>
  <c r="AH10" i="32"/>
  <c r="AV26" i="34"/>
  <c r="AE10" i="32"/>
  <c r="R26" i="34"/>
  <c r="M9" i="32"/>
  <c r="AV9" i="32"/>
  <c r="S10" i="32"/>
  <c r="D26" i="34"/>
  <c r="AF26" i="34"/>
  <c r="AW9" i="32"/>
  <c r="T10" i="32"/>
  <c r="N10" i="32"/>
  <c r="P26" i="34"/>
  <c r="S9" i="32"/>
  <c r="M10" i="32"/>
  <c r="W74" i="33"/>
  <c r="S74" i="33"/>
  <c r="AG73" i="33"/>
  <c r="Q73" i="33"/>
  <c r="AE72" i="33"/>
  <c r="S72" i="33"/>
  <c r="AF71" i="33"/>
  <c r="T71" i="33"/>
  <c r="V68" i="33"/>
  <c r="I68" i="33"/>
  <c r="AA74" i="33"/>
  <c r="K74" i="33"/>
  <c r="AC73" i="33"/>
  <c r="U73" i="33"/>
  <c r="W72" i="33"/>
  <c r="K72" i="33"/>
  <c r="X71" i="33"/>
  <c r="L71" i="33"/>
  <c r="Z68" i="33"/>
  <c r="N68" i="33"/>
  <c r="AE74" i="33"/>
  <c r="O74" i="33"/>
  <c r="Y73" i="33"/>
  <c r="M73" i="33"/>
  <c r="AA72" i="33"/>
  <c r="O72" i="33"/>
  <c r="AB71" i="33"/>
  <c r="P71" i="33"/>
  <c r="AD68" i="33"/>
  <c r="R68" i="33"/>
  <c r="E73" i="33"/>
  <c r="U68" i="33"/>
  <c r="S71" i="33"/>
  <c r="I72" i="33"/>
  <c r="Z72" i="33"/>
  <c r="P73" i="33"/>
  <c r="AF73" i="33"/>
  <c r="V74" i="33"/>
  <c r="S68" i="33"/>
  <c r="Q71" i="33"/>
  <c r="AG71" i="33"/>
  <c r="X72" i="33"/>
  <c r="N73" i="33"/>
  <c r="AD73" i="33"/>
  <c r="T74" i="33"/>
  <c r="T68" i="33"/>
  <c r="R71" i="33"/>
  <c r="D72" i="33"/>
  <c r="Y72" i="33"/>
  <c r="O73" i="33"/>
  <c r="AE73" i="33"/>
  <c r="Y74" i="33"/>
  <c r="M68" i="33"/>
  <c r="K71" i="33"/>
  <c r="D73" i="33"/>
  <c r="K68" i="33"/>
  <c r="D71" i="33"/>
  <c r="AF72" i="33"/>
  <c r="AB74" i="33"/>
  <c r="L68" i="33"/>
  <c r="Q72" i="33"/>
  <c r="Q74" i="33"/>
  <c r="E74" i="33"/>
  <c r="E72" i="33"/>
  <c r="D68" i="33"/>
  <c r="Y68" i="33"/>
  <c r="W71" i="33"/>
  <c r="N72" i="33"/>
  <c r="AD72" i="33"/>
  <c r="T73" i="33"/>
  <c r="I74" i="33"/>
  <c r="Z74" i="33"/>
  <c r="W68" i="33"/>
  <c r="U71" i="33"/>
  <c r="L72" i="33"/>
  <c r="AB72" i="33"/>
  <c r="R73" i="33"/>
  <c r="D74" i="33"/>
  <c r="X74" i="33"/>
  <c r="X68" i="33"/>
  <c r="V71" i="33"/>
  <c r="M72" i="33"/>
  <c r="AC72" i="33"/>
  <c r="S73" i="33"/>
  <c r="M74" i="33"/>
  <c r="AC74" i="33"/>
  <c r="E71" i="33"/>
  <c r="AA71" i="33"/>
  <c r="N74" i="33"/>
  <c r="AD74" i="33"/>
  <c r="AA68" i="33"/>
  <c r="Y71" i="33"/>
  <c r="L74" i="33"/>
  <c r="I71" i="33"/>
  <c r="W73" i="33"/>
  <c r="E68" i="33"/>
  <c r="Q68" i="33"/>
  <c r="AG68" i="33"/>
  <c r="O71" i="33"/>
  <c r="AE71" i="33"/>
  <c r="V72" i="33"/>
  <c r="L73" i="33"/>
  <c r="AB73" i="33"/>
  <c r="R74" i="33"/>
  <c r="O68" i="33"/>
  <c r="AE68" i="33"/>
  <c r="M71" i="33"/>
  <c r="AC71" i="33"/>
  <c r="T72" i="33"/>
  <c r="I73" i="33"/>
  <c r="Z73" i="33"/>
  <c r="P74" i="33"/>
  <c r="AF74" i="33"/>
  <c r="P68" i="33"/>
  <c r="AF68" i="33"/>
  <c r="N71" i="33"/>
  <c r="AD71" i="33"/>
  <c r="U72" i="33"/>
  <c r="K73" i="33"/>
  <c r="AA73" i="33"/>
  <c r="U74" i="33"/>
  <c r="AC68" i="33"/>
  <c r="R72" i="33"/>
  <c r="X73" i="33"/>
  <c r="P72" i="33"/>
  <c r="V73" i="33"/>
  <c r="AB68" i="33"/>
  <c r="Z71" i="33"/>
  <c r="AG72" i="33"/>
  <c r="AG74" i="33"/>
  <c r="R69" i="33"/>
  <c r="I69" i="33"/>
  <c r="N69" i="33"/>
  <c r="S69" i="33"/>
  <c r="L69" i="33"/>
  <c r="AB69" i="33"/>
  <c r="Q69" i="33"/>
  <c r="AG69" i="33"/>
  <c r="AE69" i="33"/>
  <c r="AC69" i="33"/>
  <c r="E69" i="33"/>
  <c r="W69" i="33"/>
  <c r="P69" i="33"/>
  <c r="AF69" i="33"/>
  <c r="U69" i="33"/>
  <c r="V69" i="33"/>
  <c r="K69" i="33"/>
  <c r="AA69" i="33"/>
  <c r="T69" i="33"/>
  <c r="D69" i="33"/>
  <c r="Y69" i="33"/>
  <c r="Z69" i="33"/>
  <c r="O69" i="33"/>
  <c r="X69" i="33"/>
  <c r="M69" i="33"/>
  <c r="AD69" i="33"/>
  <c r="Y60" i="33"/>
  <c r="Q60" i="33"/>
  <c r="D60" i="33"/>
  <c r="V59" i="33"/>
  <c r="I59" i="33"/>
  <c r="X58" i="33"/>
  <c r="L58" i="33"/>
  <c r="AC60" i="33"/>
  <c r="M60" i="33"/>
  <c r="Z59" i="33"/>
  <c r="N59" i="33"/>
  <c r="AB58" i="33"/>
  <c r="T58" i="33"/>
  <c r="AG60" i="33"/>
  <c r="U60" i="33"/>
  <c r="AD59" i="33"/>
  <c r="R59" i="33"/>
  <c r="AF58" i="33"/>
  <c r="P58" i="33"/>
  <c r="E59" i="33"/>
  <c r="K58" i="33"/>
  <c r="AA58" i="33"/>
  <c r="U59" i="33"/>
  <c r="L60" i="33"/>
  <c r="AB60" i="33"/>
  <c r="Q58" i="33"/>
  <c r="AG58" i="33"/>
  <c r="W59" i="33"/>
  <c r="N60" i="33"/>
  <c r="AD60" i="33"/>
  <c r="V58" i="33"/>
  <c r="L59" i="33"/>
  <c r="AB59" i="33"/>
  <c r="S60" i="33"/>
  <c r="Q57" i="30"/>
  <c r="S56" i="30"/>
  <c r="AF57" i="30"/>
  <c r="P57" i="30"/>
  <c r="Z56" i="30"/>
  <c r="I56" i="30"/>
  <c r="AA57" i="30"/>
  <c r="K57" i="30"/>
  <c r="U56" i="30"/>
  <c r="L56" i="30"/>
  <c r="R57" i="30"/>
  <c r="W56" i="30"/>
  <c r="AC57" i="30"/>
  <c r="X56" i="30"/>
  <c r="AD57" i="30"/>
  <c r="M59" i="33"/>
  <c r="D58" i="33"/>
  <c r="AE59" i="33"/>
  <c r="AD58" i="33"/>
  <c r="AA60" i="33"/>
  <c r="X57" i="30"/>
  <c r="AC56" i="30"/>
  <c r="AB56" i="30"/>
  <c r="M57" i="30"/>
  <c r="N57" i="30"/>
  <c r="E56" i="32"/>
  <c r="O58" i="33"/>
  <c r="AE58" i="33"/>
  <c r="Y59" i="33"/>
  <c r="P60" i="33"/>
  <c r="AF60" i="33"/>
  <c r="U58" i="33"/>
  <c r="K59" i="33"/>
  <c r="AA59" i="33"/>
  <c r="R60" i="33"/>
  <c r="I58" i="33"/>
  <c r="Z58" i="33"/>
  <c r="P59" i="33"/>
  <c r="AF59" i="33"/>
  <c r="W60" i="33"/>
  <c r="E57" i="30"/>
  <c r="Y57" i="30"/>
  <c r="AB57" i="30"/>
  <c r="L57" i="30"/>
  <c r="V56" i="30"/>
  <c r="W57" i="30"/>
  <c r="AG56" i="30"/>
  <c r="Q56" i="30"/>
  <c r="T56" i="30"/>
  <c r="Z57" i="30"/>
  <c r="AE56" i="30"/>
  <c r="AF56" i="30"/>
  <c r="E58" i="33"/>
  <c r="T60" i="33"/>
  <c r="Y58" i="33"/>
  <c r="V60" i="33"/>
  <c r="T59" i="33"/>
  <c r="R56" i="30"/>
  <c r="M56" i="30"/>
  <c r="E60" i="33"/>
  <c r="W58" i="33"/>
  <c r="Q59" i="33"/>
  <c r="AG59" i="33"/>
  <c r="X60" i="33"/>
  <c r="M58" i="33"/>
  <c r="AC58" i="33"/>
  <c r="S59" i="33"/>
  <c r="I60" i="33"/>
  <c r="Z60" i="33"/>
  <c r="R58" i="33"/>
  <c r="D59" i="33"/>
  <c r="X59" i="33"/>
  <c r="O60" i="33"/>
  <c r="AE60" i="33"/>
  <c r="AG57" i="30"/>
  <c r="K56" i="30"/>
  <c r="AA56" i="30"/>
  <c r="T57" i="30"/>
  <c r="AD56" i="30"/>
  <c r="N56" i="30"/>
  <c r="AE57" i="30"/>
  <c r="O57" i="30"/>
  <c r="Y56" i="30"/>
  <c r="E56" i="30"/>
  <c r="I57" i="30"/>
  <c r="O56" i="30"/>
  <c r="U57" i="30"/>
  <c r="P56" i="30"/>
  <c r="V57" i="30"/>
  <c r="S58" i="33"/>
  <c r="AC59" i="33"/>
  <c r="O59" i="33"/>
  <c r="N58" i="33"/>
  <c r="K60" i="33"/>
  <c r="D57" i="30"/>
  <c r="S57" i="30"/>
  <c r="D56" i="30"/>
  <c r="E74" i="34"/>
  <c r="E64" i="34"/>
  <c r="E70" i="34"/>
  <c r="E75" i="34"/>
  <c r="E57" i="33"/>
  <c r="E69" i="34"/>
  <c r="E73" i="34"/>
  <c r="E72" i="34"/>
  <c r="AF75" i="34"/>
  <c r="AB75" i="34"/>
  <c r="X75" i="34"/>
  <c r="T75" i="34"/>
  <c r="P75" i="34"/>
  <c r="L75" i="34"/>
  <c r="AD75" i="34"/>
  <c r="Z75" i="34"/>
  <c r="V75" i="34"/>
  <c r="R75" i="34"/>
  <c r="N75" i="34"/>
  <c r="AG75" i="34"/>
  <c r="W75" i="34"/>
  <c r="I75" i="34"/>
  <c r="Y75" i="34"/>
  <c r="K75" i="34"/>
  <c r="AA75" i="34"/>
  <c r="M75" i="34"/>
  <c r="AC75" i="34"/>
  <c r="O75" i="34"/>
  <c r="AE75" i="34"/>
  <c r="Q75" i="34"/>
  <c r="S75" i="34"/>
  <c r="D75" i="34"/>
  <c r="U75" i="34"/>
  <c r="AC74" i="34"/>
  <c r="U74" i="34"/>
  <c r="M74" i="34"/>
  <c r="AF73" i="34"/>
  <c r="X73" i="34"/>
  <c r="P73" i="34"/>
  <c r="D73" i="34"/>
  <c r="Z72" i="34"/>
  <c r="R72" i="34"/>
  <c r="I72" i="34"/>
  <c r="AB70" i="34"/>
  <c r="W70" i="34"/>
  <c r="R70" i="34"/>
  <c r="L70" i="34"/>
  <c r="AG69" i="34"/>
  <c r="AB69" i="34"/>
  <c r="V69" i="34"/>
  <c r="Q69" i="34"/>
  <c r="L69" i="34"/>
  <c r="AF74" i="34"/>
  <c r="P74" i="34"/>
  <c r="AA73" i="34"/>
  <c r="K73" i="34"/>
  <c r="U72" i="34"/>
  <c r="Y70" i="34"/>
  <c r="S69" i="34"/>
  <c r="AE74" i="34"/>
  <c r="O74" i="34"/>
  <c r="Z73" i="34"/>
  <c r="I73" i="34"/>
  <c r="T72" i="34"/>
  <c r="D69" i="34"/>
  <c r="AC69" i="34"/>
  <c r="X70" i="34"/>
  <c r="S72" i="34"/>
  <c r="Y73" i="34"/>
  <c r="AD74" i="34"/>
  <c r="N69" i="34"/>
  <c r="I70" i="34"/>
  <c r="AE70" i="34"/>
  <c r="AD72" i="34"/>
  <c r="Q74" i="34"/>
  <c r="Z69" i="34"/>
  <c r="V70" i="34"/>
  <c r="O72" i="34"/>
  <c r="U73" i="34"/>
  <c r="Z74" i="34"/>
  <c r="AB74" i="34"/>
  <c r="L74" i="34"/>
  <c r="W73" i="34"/>
  <c r="AG72" i="34"/>
  <c r="Q72" i="34"/>
  <c r="U70" i="34"/>
  <c r="AE69" i="34"/>
  <c r="O69" i="34"/>
  <c r="AA74" i="34"/>
  <c r="K74" i="34"/>
  <c r="V73" i="34"/>
  <c r="AF72" i="34"/>
  <c r="P72" i="34"/>
  <c r="M69" i="34"/>
  <c r="D70" i="34"/>
  <c r="AD70" i="34"/>
  <c r="AA72" i="34"/>
  <c r="AG73" i="34"/>
  <c r="T69" i="34"/>
  <c r="O70" i="34"/>
  <c r="L73" i="34"/>
  <c r="Y74" i="34"/>
  <c r="I69" i="34"/>
  <c r="AF69" i="34"/>
  <c r="AA70" i="34"/>
  <c r="W72" i="34"/>
  <c r="AC73" i="34"/>
  <c r="X74" i="34"/>
  <c r="S73" i="34"/>
  <c r="AC72" i="34"/>
  <c r="M72" i="34"/>
  <c r="AG70" i="34"/>
  <c r="Q70" i="34"/>
  <c r="AA69" i="34"/>
  <c r="K69" i="34"/>
  <c r="W74" i="34"/>
  <c r="D74" i="34"/>
  <c r="R73" i="34"/>
  <c r="AB72" i="34"/>
  <c r="L72" i="34"/>
  <c r="R69" i="34"/>
  <c r="N70" i="34"/>
  <c r="N74" i="34"/>
  <c r="Y69" i="34"/>
  <c r="T70" i="34"/>
  <c r="N72" i="34"/>
  <c r="T73" i="34"/>
  <c r="AG74" i="34"/>
  <c r="P69" i="34"/>
  <c r="K70" i="34"/>
  <c r="AF70" i="34"/>
  <c r="AE72" i="34"/>
  <c r="I74" i="34"/>
  <c r="T74" i="34"/>
  <c r="AE73" i="34"/>
  <c r="O73" i="34"/>
  <c r="Y72" i="34"/>
  <c r="AC70" i="34"/>
  <c r="M70" i="34"/>
  <c r="W69" i="34"/>
  <c r="S74" i="34"/>
  <c r="AD73" i="34"/>
  <c r="N73" i="34"/>
  <c r="X72" i="34"/>
  <c r="D72" i="34"/>
  <c r="X69" i="34"/>
  <c r="S70" i="34"/>
  <c r="K72" i="34"/>
  <c r="Q73" i="34"/>
  <c r="V74" i="34"/>
  <c r="AD69" i="34"/>
  <c r="Z70" i="34"/>
  <c r="V72" i="34"/>
  <c r="AB73" i="34"/>
  <c r="U69" i="34"/>
  <c r="P70" i="34"/>
  <c r="M73" i="34"/>
  <c r="R74" i="34"/>
  <c r="H71" i="9"/>
  <c r="F71" i="9"/>
  <c r="G71" i="9"/>
  <c r="AV25" i="34"/>
  <c r="M25" i="34"/>
  <c r="R20" i="34"/>
  <c r="AV18" i="34"/>
  <c r="M18" i="34"/>
  <c r="T12" i="34"/>
  <c r="AW11" i="34"/>
  <c r="N11" i="34"/>
  <c r="AG10" i="34"/>
  <c r="E10" i="34"/>
  <c r="T25" i="34"/>
  <c r="AY20" i="34"/>
  <c r="Q20" i="34"/>
  <c r="G20" i="34" s="1"/>
  <c r="AG18" i="34"/>
  <c r="E18" i="34"/>
  <c r="S12" i="34"/>
  <c r="AV11" i="34"/>
  <c r="M11" i="34"/>
  <c r="S10" i="34"/>
  <c r="AJ25" i="34"/>
  <c r="D25" i="34"/>
  <c r="AX25" i="34"/>
  <c r="AX18" i="34"/>
  <c r="K11" i="34"/>
  <c r="AH12" i="34"/>
  <c r="K20" i="34"/>
  <c r="AH10" i="34"/>
  <c r="AU11" i="34"/>
  <c r="D18" i="34"/>
  <c r="O20" i="34"/>
  <c r="J10" i="34"/>
  <c r="O11" i="34"/>
  <c r="AD12" i="34"/>
  <c r="E20" i="34"/>
  <c r="M10" i="34"/>
  <c r="AG11" i="34"/>
  <c r="AW12" i="34"/>
  <c r="AF20" i="34"/>
  <c r="AH25" i="34"/>
  <c r="AV20" i="34"/>
  <c r="N20" i="34"/>
  <c r="AH18" i="34"/>
  <c r="AY12" i="34"/>
  <c r="P12" i="34"/>
  <c r="AI11" i="34"/>
  <c r="J11" i="34"/>
  <c r="T10" i="34"/>
  <c r="AY25" i="34"/>
  <c r="P25" i="34"/>
  <c r="AU20" i="34"/>
  <c r="M20" i="34"/>
  <c r="T18" i="34"/>
  <c r="AX12" i="34"/>
  <c r="O12" i="34"/>
  <c r="AH11" i="34"/>
  <c r="AX10" i="34"/>
  <c r="O10" i="34"/>
  <c r="AF25" i="34"/>
  <c r="AX20" i="34"/>
  <c r="K25" i="34"/>
  <c r="N10" i="34"/>
  <c r="S11" i="34"/>
  <c r="K18" i="34"/>
  <c r="AJ20" i="34"/>
  <c r="D11" i="34"/>
  <c r="J12" i="34"/>
  <c r="N18" i="34"/>
  <c r="AW20" i="34"/>
  <c r="R10" i="34"/>
  <c r="AF11" i="34"/>
  <c r="AV12" i="34"/>
  <c r="S20" i="34"/>
  <c r="AD10" i="34"/>
  <c r="AY11" i="34"/>
  <c r="J18" i="34"/>
  <c r="R25" i="34"/>
  <c r="AD25" i="34"/>
  <c r="AI20" i="34"/>
  <c r="J20" i="34"/>
  <c r="AD18" i="34"/>
  <c r="AU12" i="34"/>
  <c r="L12" i="34"/>
  <c r="AE11" i="34"/>
  <c r="AY10" i="34"/>
  <c r="P10" i="34"/>
  <c r="AU25" i="34"/>
  <c r="L25" i="34"/>
  <c r="AH20" i="34"/>
  <c r="AY18" i="34"/>
  <c r="P18" i="34"/>
  <c r="AJ12" i="34"/>
  <c r="K12" i="34"/>
  <c r="H12" i="34" s="1"/>
  <c r="AD11" i="34"/>
  <c r="AJ10" i="34"/>
  <c r="K10" i="34"/>
  <c r="S25" i="34"/>
  <c r="AG20" i="34"/>
  <c r="T20" i="34"/>
  <c r="AE10" i="34"/>
  <c r="Q25" i="34"/>
  <c r="G25" i="34" s="1"/>
  <c r="AG12" i="34"/>
  <c r="L10" i="34"/>
  <c r="AU18" i="34"/>
  <c r="Q11" i="34"/>
  <c r="G11" i="34" s="1"/>
  <c r="P20" i="34"/>
  <c r="Q12" i="34"/>
  <c r="G12" i="34" s="1"/>
  <c r="Q10" i="34"/>
  <c r="G10" i="34" s="1"/>
  <c r="AI12" i="34"/>
  <c r="AI25" i="34"/>
  <c r="M12" i="34"/>
  <c r="AW25" i="34"/>
  <c r="AE12" i="34"/>
  <c r="D20" i="34"/>
  <c r="E25" i="34"/>
  <c r="AF12" i="34"/>
  <c r="D10" i="34"/>
  <c r="AW10" i="34"/>
  <c r="AJ18" i="34"/>
  <c r="AW18" i="34"/>
  <c r="AF18" i="34"/>
  <c r="AI18" i="34"/>
  <c r="Q18" i="34"/>
  <c r="G18" i="34" s="1"/>
  <c r="AD20" i="34"/>
  <c r="AJ11" i="34"/>
  <c r="R12" i="34"/>
  <c r="AX11" i="34"/>
  <c r="N12" i="34"/>
  <c r="AE20" i="34"/>
  <c r="E12" i="34"/>
  <c r="AG25" i="34"/>
  <c r="L18" i="34"/>
  <c r="AF10" i="34"/>
  <c r="L20" i="34"/>
  <c r="S18" i="34"/>
  <c r="L11" i="34"/>
  <c r="AE18" i="34"/>
  <c r="AI10" i="34"/>
  <c r="O18" i="34"/>
  <c r="AV10" i="34"/>
  <c r="R18" i="34"/>
  <c r="R11" i="34"/>
  <c r="T11" i="34"/>
  <c r="E11" i="34"/>
  <c r="P11" i="34"/>
  <c r="AU10" i="34"/>
  <c r="D12" i="34"/>
  <c r="O25" i="34"/>
  <c r="AE25" i="34"/>
  <c r="J25" i="34"/>
  <c r="N25" i="34"/>
  <c r="CJ17" i="22"/>
  <c r="CM22" i="22"/>
  <c r="CJ27" i="22"/>
  <c r="CM68" i="22"/>
  <c r="CM70" i="22"/>
  <c r="CJ73" i="22"/>
  <c r="CK23" i="22"/>
  <c r="CK77" i="22"/>
  <c r="CI15" i="22"/>
  <c r="CP20" i="22"/>
  <c r="CI31" i="22"/>
  <c r="CL41" i="22"/>
  <c r="CJ46" i="22"/>
  <c r="CL51" i="22"/>
  <c r="CO54" i="22"/>
  <c r="CK57" i="22"/>
  <c r="CO59" i="22"/>
  <c r="CJ72" i="22"/>
  <c r="CI29" i="22"/>
  <c r="CO39" i="22"/>
  <c r="CK50" i="22"/>
  <c r="CM57" i="22"/>
  <c r="CM23" i="22"/>
  <c r="CM36" i="22"/>
  <c r="CL50" i="22"/>
  <c r="CL70" i="22"/>
  <c r="CL74" i="22"/>
  <c r="CI83" i="22"/>
  <c r="BW32" i="23"/>
  <c r="BW35" i="23"/>
  <c r="CA43" i="23"/>
  <c r="CK62" i="23"/>
  <c r="CG63" i="23"/>
  <c r="BY65" i="23"/>
  <c r="CE68" i="23"/>
  <c r="CK78" i="23"/>
  <c r="BZ33" i="23"/>
  <c r="CF39" i="23"/>
  <c r="CF43" i="23"/>
  <c r="CJ54" i="23"/>
  <c r="CD59" i="23"/>
  <c r="BV62" i="23"/>
  <c r="BT65" i="23"/>
  <c r="CH69" i="23"/>
  <c r="BX75" i="23"/>
  <c r="CA33" i="23"/>
  <c r="CG39" i="23"/>
  <c r="CG43" i="23"/>
  <c r="CK54" i="23"/>
  <c r="BY56" i="23"/>
  <c r="CE59" i="23"/>
  <c r="BW62" i="23"/>
  <c r="BU65" i="23"/>
  <c r="CI69" i="23"/>
  <c r="BY75" i="23"/>
  <c r="BV32" i="23"/>
  <c r="BV35" i="23"/>
  <c r="BZ43" i="23"/>
  <c r="CJ62" i="23"/>
  <c r="CF63" i="23"/>
  <c r="BX65" i="23"/>
  <c r="CD68" i="23"/>
  <c r="CJ78" i="23"/>
  <c r="BW17" i="23"/>
  <c r="CA22" i="23"/>
  <c r="CA24" i="23"/>
  <c r="CG24" i="23"/>
  <c r="BW37" i="23"/>
  <c r="CI47" i="23"/>
  <c r="CE57" i="23"/>
  <c r="BY37" i="23"/>
  <c r="CE70" i="23"/>
  <c r="BZ22" i="23"/>
  <c r="BX12" i="23"/>
  <c r="CD24" i="23"/>
  <c r="BX37" i="23"/>
  <c r="CD41" i="23"/>
  <c r="CD70" i="23"/>
  <c r="BY12" i="23"/>
  <c r="CE24" i="23"/>
  <c r="CE41" i="23"/>
  <c r="BV17" i="23"/>
  <c r="BZ24" i="23"/>
  <c r="CF24" i="23"/>
  <c r="BV37" i="23"/>
  <c r="CH47" i="23"/>
  <c r="CD57" i="23"/>
  <c r="AE69" i="37"/>
  <c r="L69" i="37"/>
  <c r="O68" i="37"/>
  <c r="AE68" i="37"/>
  <c r="U69" i="37"/>
  <c r="P69" i="37"/>
  <c r="D68" i="37"/>
  <c r="X68" i="37"/>
  <c r="N69" i="37"/>
  <c r="AD69" i="37"/>
  <c r="M68" i="37"/>
  <c r="AC68" i="37"/>
  <c r="S69" i="37"/>
  <c r="N68" i="37"/>
  <c r="T69" i="37"/>
  <c r="S68" i="37"/>
  <c r="E69" i="37"/>
  <c r="Y69" i="37"/>
  <c r="I68" i="37"/>
  <c r="X69" i="37"/>
  <c r="L68" i="37"/>
  <c r="AB68" i="37"/>
  <c r="R69" i="37"/>
  <c r="Q68" i="37"/>
  <c r="AG68" i="37"/>
  <c r="W69" i="37"/>
  <c r="R68" i="37"/>
  <c r="AB69" i="37"/>
  <c r="W68" i="37"/>
  <c r="M69" i="37"/>
  <c r="AC69" i="37"/>
  <c r="V68" i="37"/>
  <c r="AF69" i="37"/>
  <c r="P68" i="37"/>
  <c r="AF68" i="37"/>
  <c r="V69" i="37"/>
  <c r="AD68" i="37"/>
  <c r="U68" i="37"/>
  <c r="K69" i="37"/>
  <c r="AA69" i="37"/>
  <c r="Z68" i="37"/>
  <c r="K68" i="37"/>
  <c r="AA68" i="37"/>
  <c r="Q69" i="37"/>
  <c r="AG69" i="37"/>
  <c r="D69" i="37"/>
  <c r="T68" i="37"/>
  <c r="I69" i="37"/>
  <c r="Z69" i="37"/>
  <c r="E68" i="37"/>
  <c r="Y68" i="37"/>
  <c r="O69" i="37"/>
  <c r="AE58" i="36"/>
  <c r="AF58" i="36"/>
  <c r="AY23" i="37"/>
  <c r="AU23" i="37"/>
  <c r="AG23" i="37"/>
  <c r="T23" i="37"/>
  <c r="P23" i="37"/>
  <c r="L23" i="37"/>
  <c r="AX23" i="37"/>
  <c r="AJ23" i="37"/>
  <c r="AF23" i="37"/>
  <c r="S23" i="37"/>
  <c r="O23" i="37"/>
  <c r="K23" i="37"/>
  <c r="E23" i="37"/>
  <c r="AW23" i="37"/>
  <c r="AI23" i="37"/>
  <c r="AE23" i="37"/>
  <c r="R23" i="37"/>
  <c r="N23" i="37"/>
  <c r="J23" i="37"/>
  <c r="D23" i="37"/>
  <c r="AV23" i="37"/>
  <c r="AH23" i="37"/>
  <c r="AD23" i="37"/>
  <c r="Q23" i="37"/>
  <c r="G23" i="37" s="1"/>
  <c r="M23" i="37"/>
  <c r="N35" i="37"/>
  <c r="J35" i="37"/>
  <c r="AX22" i="37"/>
  <c r="AJ22" i="37"/>
  <c r="AF22" i="37"/>
  <c r="S22" i="37"/>
  <c r="O22" i="37"/>
  <c r="K22" i="37"/>
  <c r="D22" i="37"/>
  <c r="AV16" i="37"/>
  <c r="AH16" i="37"/>
  <c r="AD16" i="37"/>
  <c r="Q16" i="37"/>
  <c r="G16" i="37" s="1"/>
  <c r="M16" i="37"/>
  <c r="AX15" i="37"/>
  <c r="AJ15" i="37"/>
  <c r="AF15" i="37"/>
  <c r="S15" i="37"/>
  <c r="O15" i="37"/>
  <c r="K15" i="37"/>
  <c r="D15" i="37"/>
  <c r="AV14" i="37"/>
  <c r="AH14" i="37"/>
  <c r="AD14" i="37"/>
  <c r="Q14" i="37"/>
  <c r="G14" i="37" s="1"/>
  <c r="M14" i="37"/>
  <c r="AY11" i="37"/>
  <c r="AU11" i="37"/>
  <c r="AG11" i="37"/>
  <c r="T11" i="37"/>
  <c r="P11" i="37"/>
  <c r="L11" i="37"/>
  <c r="E11" i="37"/>
  <c r="AW10" i="37"/>
  <c r="AI10" i="37"/>
  <c r="AE10" i="37"/>
  <c r="R10" i="37"/>
  <c r="N10" i="37"/>
  <c r="J10" i="37"/>
  <c r="AY9" i="37"/>
  <c r="AU9" i="37"/>
  <c r="AG9" i="37"/>
  <c r="T9" i="37"/>
  <c r="P9" i="37"/>
  <c r="L9" i="37"/>
  <c r="E9" i="37"/>
  <c r="AW8" i="37"/>
  <c r="AI8" i="37"/>
  <c r="AE8" i="37"/>
  <c r="R8" i="37"/>
  <c r="N8" i="37"/>
  <c r="J8" i="37"/>
  <c r="AX5" i="37"/>
  <c r="AJ5" i="37"/>
  <c r="AF5" i="37"/>
  <c r="S5" i="37"/>
  <c r="O5" i="37"/>
  <c r="K5" i="37"/>
  <c r="D5" i="37"/>
  <c r="M35" i="37"/>
  <c r="AW22" i="37"/>
  <c r="AI22" i="37"/>
  <c r="AE22" i="37"/>
  <c r="R22" i="37"/>
  <c r="N22" i="37"/>
  <c r="J22" i="37"/>
  <c r="AY16" i="37"/>
  <c r="AU16" i="37"/>
  <c r="AG16" i="37"/>
  <c r="T16" i="37"/>
  <c r="P16" i="37"/>
  <c r="L16" i="37"/>
  <c r="L35" i="37"/>
  <c r="AV22" i="37"/>
  <c r="AH22" i="37"/>
  <c r="AD22" i="37"/>
  <c r="Q22" i="37"/>
  <c r="G22" i="37" s="1"/>
  <c r="M22" i="37"/>
  <c r="AX16" i="37"/>
  <c r="AJ16" i="37"/>
  <c r="AF16" i="37"/>
  <c r="S16" i="37"/>
  <c r="O16" i="37"/>
  <c r="K16" i="37"/>
  <c r="D16" i="37"/>
  <c r="AV15" i="37"/>
  <c r="AH15" i="37"/>
  <c r="AD15" i="37"/>
  <c r="Q15" i="37"/>
  <c r="G15" i="37" s="1"/>
  <c r="M15" i="37"/>
  <c r="AX14" i="37"/>
  <c r="AJ14" i="37"/>
  <c r="AF14" i="37"/>
  <c r="S14" i="37"/>
  <c r="O14" i="37"/>
  <c r="K14" i="37"/>
  <c r="D14" i="37"/>
  <c r="AW11" i="37"/>
  <c r="AI11" i="37"/>
  <c r="AE11" i="37"/>
  <c r="R11" i="37"/>
  <c r="N11" i="37"/>
  <c r="J11" i="37"/>
  <c r="AY10" i="37"/>
  <c r="AU10" i="37"/>
  <c r="AG10" i="37"/>
  <c r="T10" i="37"/>
  <c r="P10" i="37"/>
  <c r="L10" i="37"/>
  <c r="E10" i="37"/>
  <c r="AW9" i="37"/>
  <c r="AI9" i="37"/>
  <c r="AE9" i="37"/>
  <c r="R9" i="37"/>
  <c r="N9" i="37"/>
  <c r="J9" i="37"/>
  <c r="AY8" i="37"/>
  <c r="AU8" i="37"/>
  <c r="AG8" i="37"/>
  <c r="T8" i="37"/>
  <c r="P8" i="37"/>
  <c r="L8" i="37"/>
  <c r="E8" i="37"/>
  <c r="AV5" i="37"/>
  <c r="AH5" i="37"/>
  <c r="AD5" i="37"/>
  <c r="Q5" i="37"/>
  <c r="G5" i="37" s="1"/>
  <c r="M5" i="37"/>
  <c r="K35" i="37"/>
  <c r="AY22" i="37"/>
  <c r="AU22" i="37"/>
  <c r="AG22" i="37"/>
  <c r="T22" i="37"/>
  <c r="P22" i="37"/>
  <c r="L22" i="37"/>
  <c r="E22" i="37"/>
  <c r="AI16" i="37"/>
  <c r="J16" i="37"/>
  <c r="AW15" i="37"/>
  <c r="AE15" i="37"/>
  <c r="N15" i="37"/>
  <c r="E15" i="37"/>
  <c r="AI14" i="37"/>
  <c r="R14" i="37"/>
  <c r="J14" i="37"/>
  <c r="AX11" i="37"/>
  <c r="AF11" i="37"/>
  <c r="O11" i="37"/>
  <c r="D11" i="37"/>
  <c r="AH10" i="37"/>
  <c r="Q10" i="37"/>
  <c r="G10" i="37" s="1"/>
  <c r="AJ9" i="37"/>
  <c r="S9" i="37"/>
  <c r="K9" i="37"/>
  <c r="H9" i="37" s="1"/>
  <c r="AV8" i="37"/>
  <c r="AD8" i="37"/>
  <c r="M8" i="37"/>
  <c r="AW5" i="37"/>
  <c r="AE5" i="37"/>
  <c r="N5" i="37"/>
  <c r="E5" i="37"/>
  <c r="AE16" i="37"/>
  <c r="AU15" i="37"/>
  <c r="T15" i="37"/>
  <c r="L15" i="37"/>
  <c r="AY14" i="37"/>
  <c r="AG14" i="37"/>
  <c r="P14" i="37"/>
  <c r="AV11" i="37"/>
  <c r="AD11" i="37"/>
  <c r="M11" i="37"/>
  <c r="AX10" i="37"/>
  <c r="AF10" i="37"/>
  <c r="O10" i="37"/>
  <c r="D10" i="37"/>
  <c r="AH9" i="37"/>
  <c r="Q9" i="37"/>
  <c r="G9" i="37" s="1"/>
  <c r="AJ8" i="37"/>
  <c r="S8" i="37"/>
  <c r="K8" i="37"/>
  <c r="T5" i="37"/>
  <c r="R16" i="37"/>
  <c r="E16" i="37"/>
  <c r="AI15" i="37"/>
  <c r="R15" i="37"/>
  <c r="J15" i="37"/>
  <c r="AW14" i="37"/>
  <c r="AE14" i="37"/>
  <c r="N14" i="37"/>
  <c r="E14" i="37"/>
  <c r="AJ11" i="37"/>
  <c r="S11" i="37"/>
  <c r="K11" i="37"/>
  <c r="AV10" i="37"/>
  <c r="AD10" i="37"/>
  <c r="M10" i="37"/>
  <c r="AX9" i="37"/>
  <c r="AF9" i="37"/>
  <c r="O9" i="37"/>
  <c r="D9" i="37"/>
  <c r="AH8" i="37"/>
  <c r="Q8" i="37"/>
  <c r="G8" i="37" s="1"/>
  <c r="AI5" i="37"/>
  <c r="R5" i="37"/>
  <c r="J5" i="37"/>
  <c r="AW16" i="37"/>
  <c r="N16" i="37"/>
  <c r="AY15" i="37"/>
  <c r="AG15" i="37"/>
  <c r="P15" i="37"/>
  <c r="AU14" i="37"/>
  <c r="T14" i="37"/>
  <c r="L14" i="37"/>
  <c r="AH11" i="37"/>
  <c r="Q11" i="37"/>
  <c r="G11" i="37" s="1"/>
  <c r="AJ10" i="37"/>
  <c r="S10" i="37"/>
  <c r="K10" i="37"/>
  <c r="H10" i="37" s="1"/>
  <c r="AV9" i="37"/>
  <c r="AD9" i="37"/>
  <c r="M9" i="37"/>
  <c r="AX8" i="37"/>
  <c r="AF8" i="37"/>
  <c r="O8" i="37"/>
  <c r="F8" i="37" s="1"/>
  <c r="D8" i="37"/>
  <c r="AY5" i="37"/>
  <c r="AG5" i="37"/>
  <c r="P5" i="37"/>
  <c r="AU5" i="37"/>
  <c r="L5" i="37"/>
  <c r="D55" i="36"/>
  <c r="P55" i="36"/>
  <c r="AB55" i="36"/>
  <c r="X56" i="36"/>
  <c r="U57" i="36"/>
  <c r="AG57" i="36"/>
  <c r="S58" i="36"/>
  <c r="AA58" i="36"/>
  <c r="K55" i="36"/>
  <c r="O55" i="36"/>
  <c r="S55" i="36"/>
  <c r="W55" i="36"/>
  <c r="AA55" i="36"/>
  <c r="AE55" i="36"/>
  <c r="E56" i="36"/>
  <c r="K56" i="36"/>
  <c r="O56" i="36"/>
  <c r="S56" i="36"/>
  <c r="W56" i="36"/>
  <c r="AA56" i="36"/>
  <c r="AE56" i="36"/>
  <c r="E57" i="36"/>
  <c r="L57" i="36"/>
  <c r="P57" i="36"/>
  <c r="T57" i="36"/>
  <c r="X57" i="36"/>
  <c r="AB57" i="36"/>
  <c r="AF57" i="36"/>
  <c r="I58" i="36"/>
  <c r="N58" i="36"/>
  <c r="R58" i="36"/>
  <c r="V58" i="36"/>
  <c r="Z58" i="36"/>
  <c r="AD58" i="36"/>
  <c r="L55" i="36"/>
  <c r="T55" i="36"/>
  <c r="AF55" i="36"/>
  <c r="P56" i="36"/>
  <c r="AB56" i="36"/>
  <c r="M57" i="36"/>
  <c r="Y57" i="36"/>
  <c r="K58" i="36"/>
  <c r="W58" i="36"/>
  <c r="E55" i="36"/>
  <c r="M55" i="36"/>
  <c r="Q55" i="36"/>
  <c r="U55" i="36"/>
  <c r="Y55" i="36"/>
  <c r="AC55" i="36"/>
  <c r="AG55" i="36"/>
  <c r="M56" i="36"/>
  <c r="Q56" i="36"/>
  <c r="U56" i="36"/>
  <c r="Y56" i="36"/>
  <c r="AC56" i="36"/>
  <c r="AG56" i="36"/>
  <c r="I57" i="36"/>
  <c r="N57" i="36"/>
  <c r="R57" i="36"/>
  <c r="V57" i="36"/>
  <c r="Z57" i="36"/>
  <c r="AD57" i="36"/>
  <c r="D58" i="36"/>
  <c r="L58" i="36"/>
  <c r="P58" i="36"/>
  <c r="T58" i="36"/>
  <c r="X58" i="36"/>
  <c r="AB58" i="36"/>
  <c r="X55" i="36"/>
  <c r="L56" i="36"/>
  <c r="T56" i="36"/>
  <c r="AF56" i="36"/>
  <c r="Q57" i="36"/>
  <c r="AC57" i="36"/>
  <c r="O58" i="36"/>
  <c r="AF67" i="37"/>
  <c r="AB67" i="37"/>
  <c r="X67" i="37"/>
  <c r="T67" i="37"/>
  <c r="P67" i="37"/>
  <c r="L67" i="37"/>
  <c r="D67" i="37"/>
  <c r="AD61" i="37"/>
  <c r="Z61" i="37"/>
  <c r="V61" i="37"/>
  <c r="R61" i="37"/>
  <c r="N61" i="37"/>
  <c r="I61" i="37"/>
  <c r="AE58" i="37"/>
  <c r="AA58" i="37"/>
  <c r="W58" i="37"/>
  <c r="S58" i="37"/>
  <c r="O58" i="37"/>
  <c r="K58" i="37"/>
  <c r="AG57" i="37"/>
  <c r="AC57" i="37"/>
  <c r="Y57" i="37"/>
  <c r="U57" i="37"/>
  <c r="Q57" i="37"/>
  <c r="M57" i="37"/>
  <c r="E57" i="37"/>
  <c r="AE56" i="37"/>
  <c r="AA56" i="37"/>
  <c r="W56" i="37"/>
  <c r="S56" i="37"/>
  <c r="O56" i="37"/>
  <c r="K56" i="37"/>
  <c r="AG55" i="37"/>
  <c r="AC55" i="37"/>
  <c r="Y55" i="37"/>
  <c r="U55" i="37"/>
  <c r="Q55" i="37"/>
  <c r="M55" i="37"/>
  <c r="E55" i="37"/>
  <c r="AE54" i="37"/>
  <c r="AA54" i="37"/>
  <c r="W54" i="37"/>
  <c r="S54" i="37"/>
  <c r="O54" i="37"/>
  <c r="K54" i="37"/>
  <c r="AG53" i="37"/>
  <c r="AC53" i="37"/>
  <c r="Y53" i="37"/>
  <c r="U53" i="37"/>
  <c r="Q53" i="37"/>
  <c r="M53" i="37"/>
  <c r="E53" i="37"/>
  <c r="Z67" i="37"/>
  <c r="N67" i="37"/>
  <c r="AB61" i="37"/>
  <c r="P61" i="37"/>
  <c r="AG58" i="37"/>
  <c r="U58" i="37"/>
  <c r="M58" i="37"/>
  <c r="AA57" i="37"/>
  <c r="O57" i="37"/>
  <c r="AC56" i="37"/>
  <c r="Q56" i="37"/>
  <c r="AE55" i="37"/>
  <c r="S55" i="37"/>
  <c r="AG54" i="37"/>
  <c r="U54" i="37"/>
  <c r="E54" i="37"/>
  <c r="S53" i="37"/>
  <c r="AE67" i="37"/>
  <c r="AA67" i="37"/>
  <c r="W67" i="37"/>
  <c r="S67" i="37"/>
  <c r="O67" i="37"/>
  <c r="K67" i="37"/>
  <c r="AG61" i="37"/>
  <c r="AC61" i="37"/>
  <c r="Y61" i="37"/>
  <c r="U61" i="37"/>
  <c r="Q61" i="37"/>
  <c r="M61" i="37"/>
  <c r="E61" i="37"/>
  <c r="AD58" i="37"/>
  <c r="Z58" i="37"/>
  <c r="V58" i="37"/>
  <c r="R58" i="37"/>
  <c r="N58" i="37"/>
  <c r="I58" i="37"/>
  <c r="AF57" i="37"/>
  <c r="AB57" i="37"/>
  <c r="X57" i="37"/>
  <c r="T57" i="37"/>
  <c r="P57" i="37"/>
  <c r="L57" i="37"/>
  <c r="D57" i="37"/>
  <c r="AD56" i="37"/>
  <c r="Z56" i="37"/>
  <c r="V56" i="37"/>
  <c r="R56" i="37"/>
  <c r="N56" i="37"/>
  <c r="I56" i="37"/>
  <c r="AF55" i="37"/>
  <c r="AB55" i="37"/>
  <c r="X55" i="37"/>
  <c r="T55" i="37"/>
  <c r="P55" i="37"/>
  <c r="L55" i="37"/>
  <c r="D55" i="37"/>
  <c r="AD54" i="37"/>
  <c r="Z54" i="37"/>
  <c r="V54" i="37"/>
  <c r="R54" i="37"/>
  <c r="N54" i="37"/>
  <c r="I54" i="37"/>
  <c r="AF53" i="37"/>
  <c r="AB53" i="37"/>
  <c r="X53" i="37"/>
  <c r="T53" i="37"/>
  <c r="P53" i="37"/>
  <c r="L53" i="37"/>
  <c r="D53" i="37"/>
  <c r="V67" i="37"/>
  <c r="X61" i="37"/>
  <c r="L61" i="37"/>
  <c r="AC58" i="37"/>
  <c r="Q58" i="37"/>
  <c r="AE57" i="37"/>
  <c r="S57" i="37"/>
  <c r="AG56" i="37"/>
  <c r="U56" i="37"/>
  <c r="E56" i="37"/>
  <c r="W55" i="37"/>
  <c r="K55" i="37"/>
  <c r="Y54" i="37"/>
  <c r="M54" i="37"/>
  <c r="AA53" i="37"/>
  <c r="O53" i="37"/>
  <c r="AG67" i="37"/>
  <c r="AC67" i="37"/>
  <c r="Y67" i="37"/>
  <c r="U67" i="37"/>
  <c r="Q67" i="37"/>
  <c r="M67" i="37"/>
  <c r="E67" i="37"/>
  <c r="AE61" i="37"/>
  <c r="AA61" i="37"/>
  <c r="W61" i="37"/>
  <c r="S61" i="37"/>
  <c r="O61" i="37"/>
  <c r="K61" i="37"/>
  <c r="AF58" i="37"/>
  <c r="AB58" i="37"/>
  <c r="X58" i="37"/>
  <c r="T58" i="37"/>
  <c r="P58" i="37"/>
  <c r="L58" i="37"/>
  <c r="D58" i="37"/>
  <c r="AD57" i="37"/>
  <c r="Z57" i="37"/>
  <c r="V57" i="37"/>
  <c r="R57" i="37"/>
  <c r="N57" i="37"/>
  <c r="I57" i="37"/>
  <c r="AF56" i="37"/>
  <c r="AB56" i="37"/>
  <c r="X56" i="37"/>
  <c r="T56" i="37"/>
  <c r="P56" i="37"/>
  <c r="L56" i="37"/>
  <c r="D56" i="37"/>
  <c r="AD55" i="37"/>
  <c r="Z55" i="37"/>
  <c r="V55" i="37"/>
  <c r="R55" i="37"/>
  <c r="N55" i="37"/>
  <c r="I55" i="37"/>
  <c r="AF54" i="37"/>
  <c r="AB54" i="37"/>
  <c r="X54" i="37"/>
  <c r="T54" i="37"/>
  <c r="P54" i="37"/>
  <c r="L54" i="37"/>
  <c r="D54" i="37"/>
  <c r="AD53" i="37"/>
  <c r="Z53" i="37"/>
  <c r="V53" i="37"/>
  <c r="R53" i="37"/>
  <c r="N53" i="37"/>
  <c r="I53" i="37"/>
  <c r="AD67" i="37"/>
  <c r="R67" i="37"/>
  <c r="I67" i="37"/>
  <c r="AF61" i="37"/>
  <c r="T61" i="37"/>
  <c r="D61" i="37"/>
  <c r="Y58" i="37"/>
  <c r="E58" i="37"/>
  <c r="W57" i="37"/>
  <c r="K57" i="37"/>
  <c r="Y56" i="37"/>
  <c r="M56" i="37"/>
  <c r="AA55" i="37"/>
  <c r="O55" i="37"/>
  <c r="AC54" i="37"/>
  <c r="Q54" i="37"/>
  <c r="AE53" i="37"/>
  <c r="W53" i="37"/>
  <c r="K53" i="37"/>
  <c r="I55" i="36"/>
  <c r="N55" i="36"/>
  <c r="R55" i="36"/>
  <c r="V55" i="36"/>
  <c r="Z55" i="36"/>
  <c r="AD55" i="36"/>
  <c r="D56" i="36"/>
  <c r="I56" i="36"/>
  <c r="N56" i="36"/>
  <c r="R56" i="36"/>
  <c r="V56" i="36"/>
  <c r="Z56" i="36"/>
  <c r="AD56" i="36"/>
  <c r="D57" i="36"/>
  <c r="K57" i="36"/>
  <c r="O57" i="36"/>
  <c r="S57" i="36"/>
  <c r="W57" i="36"/>
  <c r="AA57" i="36"/>
  <c r="AE57" i="36"/>
  <c r="E58" i="36"/>
  <c r="M58" i="36"/>
  <c r="Q58" i="36"/>
  <c r="U58" i="36"/>
  <c r="Y58" i="36"/>
  <c r="AC58" i="36"/>
  <c r="AG58" i="36"/>
  <c r="C50" i="36"/>
  <c r="D49" i="36" s="1"/>
  <c r="CB58" i="23"/>
  <c r="CE40" i="23"/>
  <c r="CA40" i="23"/>
  <c r="BX43" i="23"/>
  <c r="CE44" i="23"/>
  <c r="CH33" i="23"/>
  <c r="CI33" i="23"/>
  <c r="CE45" i="23"/>
  <c r="CC58" i="23"/>
  <c r="BY81" i="23"/>
  <c r="CC13" i="23"/>
  <c r="BZ55" i="23"/>
  <c r="CE35" i="23"/>
  <c r="CD71" i="23"/>
  <c r="BX18" i="23"/>
  <c r="CJ42" i="23"/>
  <c r="BR78" i="23"/>
  <c r="CJ14" i="23"/>
  <c r="BZ40" i="23"/>
  <c r="BZ41" i="23"/>
  <c r="CF57" i="23"/>
  <c r="CB13" i="23"/>
  <c r="CB25" i="23"/>
  <c r="BZ36" i="23"/>
  <c r="CF40" i="23"/>
  <c r="CH52" i="23"/>
  <c r="BZ76" i="23"/>
  <c r="CD79" i="23"/>
  <c r="CD12" i="23"/>
  <c r="CD44" i="23"/>
  <c r="CF70" i="23"/>
  <c r="CD35" i="23"/>
  <c r="CB45" i="23"/>
  <c r="CC50" i="23"/>
  <c r="CJ61" i="23"/>
  <c r="CD28" i="23"/>
  <c r="CE28" i="23"/>
  <c r="CK42" i="23"/>
  <c r="CC53" i="23"/>
  <c r="CE71" i="23"/>
  <c r="CG40" i="23"/>
  <c r="CA41" i="23"/>
  <c r="CE79" i="23"/>
  <c r="CB53" i="23"/>
  <c r="CE12" i="23"/>
  <c r="CA36" i="23"/>
  <c r="CB50" i="23"/>
  <c r="BZ74" i="23"/>
  <c r="BY18" i="23"/>
  <c r="CK61" i="23"/>
  <c r="CB33" i="23"/>
  <c r="BX81" i="23"/>
  <c r="CG70" i="23"/>
  <c r="CC33" i="23"/>
  <c r="BY43" i="23"/>
  <c r="CA55" i="23"/>
  <c r="CA74" i="23"/>
  <c r="CC45" i="23"/>
  <c r="CD45" i="23"/>
  <c r="CC25" i="23"/>
  <c r="CG57" i="23"/>
  <c r="CK14" i="23"/>
  <c r="CD40" i="23"/>
  <c r="CI52" i="23"/>
  <c r="CA76" i="23"/>
  <c r="CP14" i="22"/>
  <c r="CJ23" i="22"/>
  <c r="CO20" i="22"/>
  <c r="CP84" i="22"/>
  <c r="CJ16" i="22"/>
  <c r="CI44" i="22"/>
  <c r="CO52" i="22"/>
  <c r="CN71" i="22"/>
  <c r="CM53" i="22"/>
  <c r="CN49" i="22"/>
  <c r="CK80" i="22"/>
  <c r="CM35" i="22"/>
  <c r="CI32" i="22"/>
  <c r="CK21" i="22"/>
  <c r="CN14" i="22"/>
  <c r="CP54" i="22"/>
  <c r="CJ82" i="22"/>
  <c r="CO48" i="22"/>
  <c r="CO49" i="22"/>
  <c r="CL28" i="22"/>
  <c r="CK39" i="22"/>
  <c r="CL53" i="22"/>
  <c r="CM58" i="22"/>
  <c r="CM69" i="22"/>
  <c r="CM80" i="22"/>
  <c r="CL31" i="22"/>
  <c r="CN62" i="22"/>
  <c r="CM21" i="22"/>
  <c r="CP71" i="22"/>
  <c r="CI72" i="22"/>
  <c r="CJ77" i="22"/>
  <c r="CL34" i="22"/>
  <c r="CO62" i="22"/>
  <c r="CN20" i="22"/>
  <c r="CI76" i="22"/>
  <c r="CL73" i="22"/>
  <c r="CP62" i="22"/>
  <c r="CK53" i="22"/>
  <c r="CM11" i="22"/>
  <c r="CJ52" i="22"/>
  <c r="CL26" i="22"/>
  <c r="CL11" i="22"/>
  <c r="CI60" i="22"/>
  <c r="CO14" i="22"/>
  <c r="CK11" i="22"/>
  <c r="CK42" i="22"/>
  <c r="CO71" i="22"/>
  <c r="CM31" i="22"/>
  <c r="CI16" i="22"/>
  <c r="CL80" i="22"/>
  <c r="CJ85" i="22"/>
  <c r="CM42" i="22"/>
  <c r="CM66" i="22"/>
  <c r="CM28" i="22"/>
  <c r="CN84" i="22"/>
  <c r="CJ81" i="22"/>
  <c r="CO68" i="22"/>
  <c r="BV16" i="23"/>
  <c r="CK64" i="23"/>
  <c r="BY54" i="23"/>
  <c r="BY73" i="23"/>
  <c r="BV19" i="23"/>
  <c r="BX22" i="23"/>
  <c r="CD13" i="23"/>
  <c r="CD81" i="23"/>
  <c r="CA78" i="23"/>
  <c r="CD37" i="23"/>
  <c r="CB64" i="23"/>
  <c r="CG16" i="23"/>
  <c r="BW82" i="23"/>
  <c r="BY13" i="23"/>
  <c r="CC34" i="23"/>
  <c r="CE48" i="23"/>
  <c r="CC56" i="23"/>
  <c r="BW64" i="23"/>
  <c r="BW74" i="23"/>
  <c r="BS78" i="23"/>
  <c r="CJ46" i="23"/>
  <c r="BV74" i="23"/>
  <c r="BR23" i="23"/>
  <c r="CF49" i="23"/>
  <c r="BV61" i="23"/>
  <c r="BV81" i="23"/>
  <c r="CB34" i="23"/>
  <c r="CF72" i="23"/>
  <c r="BZ78" i="23"/>
  <c r="BV64" i="23"/>
  <c r="CG12" i="23"/>
  <c r="CC42" i="23"/>
  <c r="CB42" i="23"/>
  <c r="CF47" i="23"/>
  <c r="BV82" i="23"/>
  <c r="CB14" i="23"/>
  <c r="CD82" i="23"/>
  <c r="CF12" i="23"/>
  <c r="CD48" i="23"/>
  <c r="CB80" i="23"/>
  <c r="BY22" i="23"/>
  <c r="CE82" i="23"/>
  <c r="CA15" i="23"/>
  <c r="CA37" i="23"/>
  <c r="CG49" i="23"/>
  <c r="BU58" i="23"/>
  <c r="CC64" i="23"/>
  <c r="BW80" i="23"/>
  <c r="BV14" i="23"/>
  <c r="CD50" i="23"/>
  <c r="BR13" i="23"/>
  <c r="CH35" i="23"/>
  <c r="CD53" i="23"/>
  <c r="BT63" i="23"/>
  <c r="CB12" i="23"/>
  <c r="BV48" i="23"/>
  <c r="BS13" i="23"/>
  <c r="BY57" i="23"/>
  <c r="CE13" i="23"/>
  <c r="CG47" i="23"/>
  <c r="BW59" i="23"/>
  <c r="CE81" i="23"/>
  <c r="BS23" i="23"/>
  <c r="CA79" i="23"/>
  <c r="BW19" i="23"/>
  <c r="CI35" i="23"/>
  <c r="BU63" i="23"/>
  <c r="BW81" i="23"/>
  <c r="CE50" i="23"/>
  <c r="CC14" i="23"/>
  <c r="BU30" i="23"/>
  <c r="CE63" i="23"/>
  <c r="CA48" i="23"/>
  <c r="CJ64" i="23"/>
  <c r="BV59" i="23"/>
  <c r="BZ79" i="23"/>
  <c r="BT58" i="23"/>
  <c r="BZ48" i="23"/>
  <c r="BW48" i="23"/>
  <c r="BX13" i="23"/>
  <c r="CD63" i="23"/>
  <c r="BW14" i="23"/>
  <c r="CK46" i="23"/>
  <c r="CC12" i="23"/>
  <c r="BW16" i="23"/>
  <c r="CE37" i="23"/>
  <c r="CE53" i="23"/>
  <c r="BW61" i="23"/>
  <c r="CG72" i="23"/>
  <c r="CC80" i="23"/>
  <c r="BT30" i="23"/>
  <c r="CB56" i="23"/>
  <c r="BZ15" i="23"/>
  <c r="BZ37" i="23"/>
  <c r="BX57" i="23"/>
  <c r="BX73" i="23"/>
  <c r="CF16" i="23"/>
  <c r="BX54" i="23"/>
  <c r="BV80" i="23"/>
  <c r="CP13" i="22"/>
  <c r="CM62" i="22"/>
  <c r="CP45" i="22"/>
  <c r="CO85" i="22"/>
  <c r="CN53" i="22"/>
  <c r="CJ69" i="22"/>
  <c r="CJ14" i="22"/>
  <c r="CO86" i="22"/>
  <c r="CJ47" i="22"/>
  <c r="CN18" i="22"/>
  <c r="CN12" i="22"/>
  <c r="CL40" i="22"/>
  <c r="AY25" i="33"/>
  <c r="AU25" i="33"/>
  <c r="AG25" i="33"/>
  <c r="T25" i="33"/>
  <c r="P25" i="33"/>
  <c r="L25" i="33"/>
  <c r="E25" i="33"/>
  <c r="AX7" i="33"/>
  <c r="AJ7" i="33"/>
  <c r="AF7" i="33"/>
  <c r="S7" i="33"/>
  <c r="O7" i="33"/>
  <c r="K7" i="33"/>
  <c r="D7" i="33"/>
  <c r="AX25" i="33"/>
  <c r="AJ25" i="33"/>
  <c r="AF25" i="33"/>
  <c r="S25" i="33"/>
  <c r="O25" i="33"/>
  <c r="K25" i="33"/>
  <c r="D25" i="33"/>
  <c r="AW7" i="33"/>
  <c r="AI7" i="33"/>
  <c r="AE7" i="33"/>
  <c r="R7" i="33"/>
  <c r="N7" i="33"/>
  <c r="J7" i="33"/>
  <c r="AW25" i="33"/>
  <c r="AI25" i="33"/>
  <c r="AE25" i="33"/>
  <c r="R25" i="33"/>
  <c r="N25" i="33"/>
  <c r="J25" i="33"/>
  <c r="AV7" i="33"/>
  <c r="AH7" i="33"/>
  <c r="AD7" i="33"/>
  <c r="Q7" i="33"/>
  <c r="G7" i="33" s="1"/>
  <c r="M7" i="33"/>
  <c r="AV25" i="33"/>
  <c r="AH25" i="33"/>
  <c r="AD25" i="33"/>
  <c r="Q25" i="33"/>
  <c r="G25" i="33" s="1"/>
  <c r="M25" i="33"/>
  <c r="AY7" i="33"/>
  <c r="AU7" i="33"/>
  <c r="AG7" i="33"/>
  <c r="T7" i="33"/>
  <c r="P7" i="33"/>
  <c r="L7" i="33"/>
  <c r="E7" i="33"/>
  <c r="CO36" i="22"/>
  <c r="CO50" i="22"/>
  <c r="CJ56" i="22"/>
  <c r="CK82" i="22"/>
  <c r="CI20" i="22"/>
  <c r="CN44" i="22"/>
  <c r="CI47" i="22"/>
  <c r="CP78" i="22"/>
  <c r="CM40" i="22"/>
  <c r="CJ67" i="22"/>
  <c r="CK70" i="22"/>
  <c r="CM16" i="22"/>
  <c r="CM30" i="22"/>
  <c r="CK86" i="22"/>
  <c r="CP53" i="22"/>
  <c r="CL16" i="22"/>
  <c r="CP68" i="22"/>
  <c r="CL17" i="22"/>
  <c r="CM17" i="22"/>
  <c r="CK62" i="22"/>
  <c r="CN86" i="22"/>
  <c r="CO13" i="22"/>
  <c r="CI57" i="22"/>
  <c r="CL77" i="22"/>
  <c r="CJ34" i="22"/>
  <c r="CJ15" i="22"/>
  <c r="CI59" i="22"/>
  <c r="CI38" i="22"/>
  <c r="CK16" i="22"/>
  <c r="CP44" i="22"/>
  <c r="CL84" i="22"/>
  <c r="CP86" i="22"/>
  <c r="CN68" i="22"/>
  <c r="CK17" i="22"/>
  <c r="CL81" i="22"/>
  <c r="CJ71" i="22"/>
  <c r="CJ60" i="22"/>
  <c r="CN45" i="22"/>
  <c r="CL85" i="22"/>
  <c r="CK19" i="22"/>
  <c r="CJ61" i="22"/>
  <c r="CL42" i="22"/>
  <c r="CM19" i="22"/>
  <c r="CI58" i="22"/>
  <c r="CI24" i="22"/>
  <c r="CL54" i="22"/>
  <c r="CO53" i="22"/>
  <c r="CP34" i="22"/>
  <c r="CK84" i="22"/>
  <c r="CO45" i="22"/>
  <c r="CP65" i="22"/>
  <c r="CP85" i="22"/>
  <c r="CL62" i="22"/>
  <c r="CK31" i="22"/>
  <c r="CJ75" i="22"/>
  <c r="CP74" i="22"/>
  <c r="CI28" i="22"/>
  <c r="CO64" i="22"/>
  <c r="CO78" i="22"/>
  <c r="AD64" i="34"/>
  <c r="Z64" i="34"/>
  <c r="V64" i="34"/>
  <c r="R64" i="34"/>
  <c r="N64" i="34"/>
  <c r="I64" i="34"/>
  <c r="AD60" i="34"/>
  <c r="Z60" i="34"/>
  <c r="V60" i="34"/>
  <c r="R60" i="34"/>
  <c r="N60" i="34"/>
  <c r="I60" i="34"/>
  <c r="AF59" i="34"/>
  <c r="AB59" i="34"/>
  <c r="X59" i="34"/>
  <c r="T59" i="34"/>
  <c r="P59" i="34"/>
  <c r="L59" i="34"/>
  <c r="D59" i="34"/>
  <c r="AD58" i="34"/>
  <c r="Z58" i="34"/>
  <c r="V58" i="34"/>
  <c r="R58" i="34"/>
  <c r="N58" i="34"/>
  <c r="I58" i="34"/>
  <c r="AF57" i="34"/>
  <c r="AB57" i="34"/>
  <c r="X57" i="34"/>
  <c r="T57" i="34"/>
  <c r="P57" i="34"/>
  <c r="L57" i="34"/>
  <c r="D57" i="34"/>
  <c r="Y64" i="34"/>
  <c r="U64" i="34"/>
  <c r="Q64" i="34"/>
  <c r="M64" i="34"/>
  <c r="AG60" i="34"/>
  <c r="AC60" i="34"/>
  <c r="Y60" i="34"/>
  <c r="U60" i="34"/>
  <c r="Q60" i="34"/>
  <c r="M60" i="34"/>
  <c r="AE59" i="34"/>
  <c r="AA59" i="34"/>
  <c r="W59" i="34"/>
  <c r="S59" i="34"/>
  <c r="O59" i="34"/>
  <c r="K59" i="34"/>
  <c r="Y58" i="34"/>
  <c r="U58" i="34"/>
  <c r="Q58" i="34"/>
  <c r="M58" i="34"/>
  <c r="AE57" i="34"/>
  <c r="AA57" i="34"/>
  <c r="W57" i="34"/>
  <c r="S57" i="34"/>
  <c r="O57" i="34"/>
  <c r="K57" i="34"/>
  <c r="AF64" i="34"/>
  <c r="X64" i="34"/>
  <c r="T64" i="34"/>
  <c r="L64" i="34"/>
  <c r="AB60" i="34"/>
  <c r="T60" i="34"/>
  <c r="L60" i="34"/>
  <c r="AD59" i="34"/>
  <c r="V59" i="34"/>
  <c r="N59" i="34"/>
  <c r="AF58" i="34"/>
  <c r="AB58" i="34"/>
  <c r="T58" i="34"/>
  <c r="L58" i="34"/>
  <c r="AD57" i="34"/>
  <c r="V57" i="34"/>
  <c r="N57" i="34"/>
  <c r="AB64" i="34"/>
  <c r="P64" i="34"/>
  <c r="D64" i="34"/>
  <c r="AF60" i="34"/>
  <c r="X60" i="34"/>
  <c r="P60" i="34"/>
  <c r="D60" i="34"/>
  <c r="Z59" i="34"/>
  <c r="R59" i="34"/>
  <c r="I59" i="34"/>
  <c r="X58" i="34"/>
  <c r="P58" i="34"/>
  <c r="D58" i="34"/>
  <c r="Z57" i="34"/>
  <c r="R57" i="34"/>
  <c r="I57" i="34"/>
  <c r="AE64" i="34"/>
  <c r="AA64" i="34"/>
  <c r="W64" i="34"/>
  <c r="S64" i="34"/>
  <c r="O64" i="34"/>
  <c r="K64" i="34"/>
  <c r="AE60" i="34"/>
  <c r="AA60" i="34"/>
  <c r="W60" i="34"/>
  <c r="S60" i="34"/>
  <c r="O60" i="34"/>
  <c r="K60" i="34"/>
  <c r="AG59" i="34"/>
  <c r="AC59" i="34"/>
  <c r="Y59" i="34"/>
  <c r="U59" i="34"/>
  <c r="Q59" i="34"/>
  <c r="M59" i="34"/>
  <c r="AE58" i="34"/>
  <c r="AA58" i="34"/>
  <c r="W58" i="34"/>
  <c r="S58" i="34"/>
  <c r="O58" i="34"/>
  <c r="K58" i="34"/>
  <c r="Y57" i="34"/>
  <c r="U57" i="34"/>
  <c r="Q57" i="34"/>
  <c r="M57" i="34"/>
  <c r="J19" i="34"/>
  <c r="N19" i="34"/>
  <c r="R19" i="34"/>
  <c r="AE19" i="34"/>
  <c r="AI19" i="34"/>
  <c r="AU19" i="34"/>
  <c r="AY19" i="34"/>
  <c r="D19" i="34"/>
  <c r="K19" i="34"/>
  <c r="O19" i="34"/>
  <c r="S19" i="34"/>
  <c r="AF19" i="34"/>
  <c r="AJ19" i="34"/>
  <c r="AV19" i="34"/>
  <c r="E19" i="34"/>
  <c r="L19" i="34"/>
  <c r="P19" i="34"/>
  <c r="T19" i="34"/>
  <c r="AG19" i="34"/>
  <c r="AW19" i="34"/>
  <c r="M19" i="34"/>
  <c r="Q19" i="34"/>
  <c r="G19" i="34" s="1"/>
  <c r="AD19" i="34"/>
  <c r="AH19" i="34"/>
  <c r="AX19" i="34"/>
  <c r="AV17" i="34"/>
  <c r="AJ17" i="34"/>
  <c r="AF17" i="34"/>
  <c r="T17" i="34"/>
  <c r="P17" i="34"/>
  <c r="L17" i="34"/>
  <c r="AH17" i="34"/>
  <c r="J17" i="34"/>
  <c r="AY17" i="34"/>
  <c r="AU17" i="34"/>
  <c r="AI17" i="34"/>
  <c r="AE17" i="34"/>
  <c r="S17" i="34"/>
  <c r="O17" i="34"/>
  <c r="K17" i="34"/>
  <c r="R17" i="34"/>
  <c r="AW17" i="34"/>
  <c r="AG17" i="34"/>
  <c r="Q17" i="34"/>
  <c r="G17" i="34" s="1"/>
  <c r="M17" i="34"/>
  <c r="D17" i="34"/>
  <c r="AX17" i="34"/>
  <c r="AD17" i="34"/>
  <c r="N17" i="34"/>
  <c r="E17" i="34"/>
  <c r="AY8" i="34"/>
  <c r="AU8" i="34"/>
  <c r="AG8" i="34"/>
  <c r="Q8" i="34"/>
  <c r="G8" i="34" s="1"/>
  <c r="M8" i="34"/>
  <c r="D8" i="34"/>
  <c r="AX8" i="34"/>
  <c r="T8" i="34"/>
  <c r="AW8" i="34"/>
  <c r="AI8" i="34"/>
  <c r="AE8" i="34"/>
  <c r="S8" i="34"/>
  <c r="O8" i="34"/>
  <c r="K8" i="34"/>
  <c r="AF8" i="34"/>
  <c r="L8" i="34"/>
  <c r="AV8" i="34"/>
  <c r="AH8" i="34"/>
  <c r="AD8" i="34"/>
  <c r="R8" i="34"/>
  <c r="N8" i="34"/>
  <c r="J8" i="34"/>
  <c r="E8" i="34"/>
  <c r="AJ8" i="34"/>
  <c r="P8" i="34"/>
  <c r="AF56" i="34"/>
  <c r="AB56" i="34"/>
  <c r="X56" i="34"/>
  <c r="T56" i="34"/>
  <c r="P56" i="34"/>
  <c r="L56" i="34"/>
  <c r="D56" i="34"/>
  <c r="AE56" i="34"/>
  <c r="AA56" i="34"/>
  <c r="W56" i="34"/>
  <c r="S56" i="34"/>
  <c r="O56" i="34"/>
  <c r="K56" i="34"/>
  <c r="AD56" i="34"/>
  <c r="Z56" i="34"/>
  <c r="V56" i="34"/>
  <c r="R56" i="34"/>
  <c r="N56" i="34"/>
  <c r="I56" i="34"/>
  <c r="Y56" i="34"/>
  <c r="U56" i="34"/>
  <c r="Q56" i="34"/>
  <c r="M56" i="34"/>
  <c r="I70" i="9"/>
  <c r="I65" i="9"/>
  <c r="AD57" i="32"/>
  <c r="Z57" i="32"/>
  <c r="V57" i="32"/>
  <c r="R57" i="32"/>
  <c r="N57" i="32"/>
  <c r="I57" i="32"/>
  <c r="AF56" i="32"/>
  <c r="AB56" i="32"/>
  <c r="X56" i="32"/>
  <c r="T56" i="32"/>
  <c r="P56" i="32"/>
  <c r="L56" i="32"/>
  <c r="D56" i="32"/>
  <c r="AF56" i="33"/>
  <c r="AB56" i="33"/>
  <c r="X56" i="33"/>
  <c r="T56" i="33"/>
  <c r="P56" i="33"/>
  <c r="L56" i="33"/>
  <c r="D56" i="33"/>
  <c r="Q57" i="32"/>
  <c r="AE56" i="32"/>
  <c r="S56" i="32"/>
  <c r="W56" i="33"/>
  <c r="O56" i="33"/>
  <c r="AF57" i="32"/>
  <c r="AB57" i="32"/>
  <c r="X57" i="32"/>
  <c r="T57" i="32"/>
  <c r="P57" i="32"/>
  <c r="L57" i="32"/>
  <c r="D57" i="32"/>
  <c r="AD56" i="32"/>
  <c r="Z56" i="32"/>
  <c r="V56" i="32"/>
  <c r="R56" i="32"/>
  <c r="N56" i="32"/>
  <c r="I56" i="32"/>
  <c r="AD56" i="33"/>
  <c r="Z56" i="33"/>
  <c r="V56" i="33"/>
  <c r="R56" i="33"/>
  <c r="N56" i="33"/>
  <c r="I56" i="33"/>
  <c r="Y57" i="32"/>
  <c r="M57" i="32"/>
  <c r="AA56" i="32"/>
  <c r="K56" i="32"/>
  <c r="AA56" i="33"/>
  <c r="K56" i="33"/>
  <c r="AE57" i="32"/>
  <c r="AA57" i="32"/>
  <c r="W57" i="32"/>
  <c r="S57" i="32"/>
  <c r="O57" i="32"/>
  <c r="K57" i="32"/>
  <c r="Y56" i="32"/>
  <c r="U56" i="32"/>
  <c r="Q56" i="32"/>
  <c r="M56" i="32"/>
  <c r="Y56" i="33"/>
  <c r="U56" i="33"/>
  <c r="Q56" i="33"/>
  <c r="M56" i="33"/>
  <c r="U57" i="32"/>
  <c r="W56" i="32"/>
  <c r="O56" i="32"/>
  <c r="AE56" i="33"/>
  <c r="S56" i="33"/>
  <c r="AX6" i="34"/>
  <c r="AJ6" i="34"/>
  <c r="AF6" i="34"/>
  <c r="S6" i="34"/>
  <c r="O6" i="34"/>
  <c r="K6" i="34"/>
  <c r="D6" i="34"/>
  <c r="AV6" i="34"/>
  <c r="M6" i="34"/>
  <c r="AW6" i="34"/>
  <c r="AI6" i="34"/>
  <c r="AE6" i="34"/>
  <c r="R6" i="34"/>
  <c r="N6" i="34"/>
  <c r="J6" i="34"/>
  <c r="AH6" i="34"/>
  <c r="Q6" i="34"/>
  <c r="G6" i="34" s="1"/>
  <c r="AY6" i="34"/>
  <c r="AU6" i="34"/>
  <c r="AG6" i="34"/>
  <c r="T6" i="34"/>
  <c r="P6" i="34"/>
  <c r="L6" i="34"/>
  <c r="E6" i="34"/>
  <c r="AD6" i="34"/>
  <c r="AW25" i="32"/>
  <c r="AI25" i="32"/>
  <c r="AE25" i="32"/>
  <c r="R25" i="32"/>
  <c r="N25" i="32"/>
  <c r="J25" i="32"/>
  <c r="AX7" i="34"/>
  <c r="AG7" i="34"/>
  <c r="R7" i="34"/>
  <c r="N7" i="34"/>
  <c r="J7" i="34"/>
  <c r="D7" i="34"/>
  <c r="AH25" i="32"/>
  <c r="M25" i="32"/>
  <c r="AW7" i="34"/>
  <c r="AY25" i="32"/>
  <c r="AU25" i="32"/>
  <c r="AG25" i="32"/>
  <c r="T25" i="32"/>
  <c r="P25" i="32"/>
  <c r="L25" i="32"/>
  <c r="E25" i="32"/>
  <c r="AV7" i="34"/>
  <c r="AI7" i="34"/>
  <c r="AE7" i="34"/>
  <c r="T7" i="34"/>
  <c r="P7" i="34"/>
  <c r="L7" i="34"/>
  <c r="AD25" i="32"/>
  <c r="AJ7" i="34"/>
  <c r="Q7" i="34"/>
  <c r="G7" i="34" s="1"/>
  <c r="AX25" i="32"/>
  <c r="AJ25" i="32"/>
  <c r="AF25" i="32"/>
  <c r="S25" i="32"/>
  <c r="O25" i="32"/>
  <c r="K25" i="32"/>
  <c r="D25" i="32"/>
  <c r="AY7" i="34"/>
  <c r="AU7" i="34"/>
  <c r="AH7" i="34"/>
  <c r="AD7" i="34"/>
  <c r="S7" i="34"/>
  <c r="O7" i="34"/>
  <c r="K7" i="34"/>
  <c r="E7" i="34"/>
  <c r="AV25" i="32"/>
  <c r="Q25" i="32"/>
  <c r="G25" i="32" s="1"/>
  <c r="AF7" i="34"/>
  <c r="M7" i="34"/>
  <c r="G16" i="9"/>
  <c r="AX9" i="34"/>
  <c r="AJ9" i="34"/>
  <c r="AF9" i="34"/>
  <c r="S9" i="34"/>
  <c r="O9" i="34"/>
  <c r="K9" i="34"/>
  <c r="AD9" i="34"/>
  <c r="AW9" i="34"/>
  <c r="AI9" i="34"/>
  <c r="AE9" i="34"/>
  <c r="R9" i="34"/>
  <c r="N9" i="34"/>
  <c r="J9" i="34"/>
  <c r="G15" i="9"/>
  <c r="AV9" i="34"/>
  <c r="Q9" i="34"/>
  <c r="G9" i="34" s="1"/>
  <c r="E9" i="34"/>
  <c r="AY9" i="34"/>
  <c r="AU9" i="34"/>
  <c r="AG9" i="34"/>
  <c r="T9" i="34"/>
  <c r="P9" i="34"/>
  <c r="L9" i="34"/>
  <c r="D9" i="34"/>
  <c r="AH9" i="34"/>
  <c r="M9" i="34"/>
  <c r="CN99" i="22"/>
  <c r="CP87" i="22"/>
  <c r="CJ122" i="22"/>
  <c r="CP106" i="22"/>
  <c r="CL124" i="22"/>
  <c r="CJ116" i="22"/>
  <c r="CO108" i="22"/>
  <c r="CL100" i="22"/>
  <c r="CM88" i="22"/>
  <c r="CK63" i="22"/>
  <c r="CP123" i="22"/>
  <c r="CJ91" i="22"/>
  <c r="CJ110" i="22"/>
  <c r="CP98" i="22"/>
  <c r="CN112" i="22"/>
  <c r="CJ104" i="22"/>
  <c r="CO92" i="22"/>
  <c r="CJ88" i="22"/>
  <c r="CO112" i="22"/>
  <c r="CI45" i="22"/>
  <c r="CO94" i="22"/>
  <c r="CK120" i="22"/>
  <c r="CL116" i="22"/>
  <c r="CP104" i="22"/>
  <c r="CM96" i="22"/>
  <c r="CJ35" i="22"/>
  <c r="CM63" i="22"/>
  <c r="CM71" i="22"/>
  <c r="CM47" i="22"/>
  <c r="CI18" i="22"/>
  <c r="CJ33" i="22"/>
  <c r="CI36" i="22"/>
  <c r="CL37" i="22"/>
  <c r="CK44" i="22"/>
  <c r="CM73" i="22"/>
  <c r="CN74" i="22"/>
  <c r="CJ86" i="22"/>
  <c r="CO104" i="22"/>
  <c r="CL120" i="22"/>
  <c r="CK66" i="22"/>
  <c r="CN80" i="22"/>
  <c r="CJ114" i="22"/>
  <c r="CM54" i="22"/>
  <c r="CP61" i="22"/>
  <c r="CK72" i="22"/>
  <c r="CN110" i="22"/>
  <c r="CO16" i="22"/>
  <c r="CK64" i="22"/>
  <c r="CM72" i="22"/>
  <c r="CP81" i="22"/>
  <c r="CL86" i="22"/>
  <c r="CP32" i="22"/>
  <c r="CM38" i="22"/>
  <c r="CK54" i="22"/>
  <c r="CM64" i="22"/>
  <c r="CP80" i="22"/>
  <c r="CN98" i="22"/>
  <c r="CP116" i="22"/>
  <c r="CN32" i="22"/>
  <c r="CJ80" i="22"/>
  <c r="CK90" i="22"/>
  <c r="CM85" i="22"/>
  <c r="CI21" i="22"/>
  <c r="CM86" i="22"/>
  <c r="CN54" i="22"/>
  <c r="CM65" i="22"/>
  <c r="CP108" i="22"/>
  <c r="CL64" i="22"/>
  <c r="CJ28" i="22"/>
  <c r="CO81" i="22"/>
  <c r="CN87" i="22"/>
  <c r="CL67" i="22"/>
  <c r="CO43" i="22"/>
  <c r="CL23" i="22"/>
  <c r="CK121" i="22"/>
  <c r="CM121" i="22"/>
  <c r="CM117" i="22"/>
  <c r="CL113" i="22"/>
  <c r="CK113" i="22"/>
  <c r="CM105" i="22"/>
  <c r="CK105" i="22"/>
  <c r="CP101" i="22"/>
  <c r="CN97" i="22"/>
  <c r="CP97" i="22"/>
  <c r="CL93" i="22"/>
  <c r="CI89" i="22"/>
  <c r="CO89" i="22"/>
  <c r="CN123" i="22"/>
  <c r="CO119" i="22"/>
  <c r="CM119" i="22"/>
  <c r="CK115" i="22"/>
  <c r="CJ107" i="22"/>
  <c r="CK69" i="22"/>
  <c r="CO74" i="22"/>
  <c r="CP46" i="22"/>
  <c r="CJ53" i="22"/>
  <c r="CJ84" i="22"/>
  <c r="CO60" i="22"/>
  <c r="CK24" i="22"/>
  <c r="CN61" i="22"/>
  <c r="CK123" i="22"/>
  <c r="CN83" i="22"/>
  <c r="CL63" i="22"/>
  <c r="CJ39" i="22"/>
  <c r="CO121" i="22"/>
  <c r="CJ121" i="22"/>
  <c r="CJ117" i="22"/>
  <c r="CI113" i="22"/>
  <c r="CI109" i="22"/>
  <c r="CI105" i="22"/>
  <c r="CL105" i="22"/>
  <c r="CL101" i="22"/>
  <c r="CJ97" i="22"/>
  <c r="CM97" i="22"/>
  <c r="CP93" i="22"/>
  <c r="CP89" i="22"/>
  <c r="CJ123" i="22"/>
  <c r="CL119" i="22"/>
  <c r="CN119" i="22"/>
  <c r="CI111" i="22"/>
  <c r="CO107" i="22"/>
  <c r="CN103" i="22"/>
  <c r="CO41" i="22"/>
  <c r="CI118" i="22"/>
  <c r="CL66" i="22"/>
  <c r="CI77" i="22"/>
  <c r="CL72" i="22"/>
  <c r="CO32" i="22"/>
  <c r="CI33" i="22"/>
  <c r="CL95" i="22"/>
  <c r="CL71" i="22"/>
  <c r="CK47" i="22"/>
  <c r="CI27" i="22"/>
  <c r="CP121" i="22"/>
  <c r="CI117" i="22"/>
  <c r="CL117" i="22"/>
  <c r="CJ113" i="22"/>
  <c r="CM109" i="22"/>
  <c r="CO105" i="22"/>
  <c r="CI101" i="22"/>
  <c r="CI97" i="22"/>
  <c r="CL97" i="22"/>
  <c r="CO93" i="22"/>
  <c r="CN93" i="22"/>
  <c r="CN89" i="22"/>
  <c r="CI123" i="22"/>
  <c r="CK119" i="22"/>
  <c r="CI119" i="22"/>
  <c r="CI115" i="22"/>
  <c r="CO111" i="22"/>
  <c r="CP103" i="22"/>
  <c r="CO103" i="22"/>
  <c r="CL57" i="22"/>
  <c r="CJ37" i="22"/>
  <c r="CO56" i="22"/>
  <c r="CL35" i="22"/>
  <c r="CM113" i="22"/>
  <c r="CM101" i="22"/>
  <c r="CJ89" i="22"/>
  <c r="CJ12" i="22"/>
  <c r="CI107" i="22"/>
  <c r="CL121" i="22"/>
  <c r="CJ109" i="22"/>
  <c r="CO97" i="22"/>
  <c r="CL123" i="22"/>
  <c r="CJ111" i="22"/>
  <c r="CM99" i="22"/>
  <c r="CL99" i="22"/>
  <c r="CK95" i="22"/>
  <c r="CI91" i="22"/>
  <c r="CL87" i="22"/>
  <c r="CK114" i="22"/>
  <c r="CI114" i="22"/>
  <c r="CL110" i="22"/>
  <c r="CN106" i="22"/>
  <c r="CL106" i="22"/>
  <c r="CK98" i="22"/>
  <c r="CM98" i="22"/>
  <c r="CM94" i="22"/>
  <c r="CN90" i="22"/>
  <c r="CP90" i="22"/>
  <c r="CL38" i="22"/>
  <c r="CO80" i="22"/>
  <c r="CK55" i="22"/>
  <c r="CK117" i="22"/>
  <c r="CP105" i="22"/>
  <c r="CM93" i="22"/>
  <c r="CP119" i="22"/>
  <c r="CM103" i="22"/>
  <c r="CO99" i="22"/>
  <c r="CM95" i="22"/>
  <c r="CN91" i="22"/>
  <c r="CK87" i="22"/>
  <c r="CM87" i="22"/>
  <c r="CI93" i="22"/>
  <c r="CI122" i="22"/>
  <c r="CL114" i="22"/>
  <c r="CN114" i="22"/>
  <c r="CI110" i="22"/>
  <c r="CO106" i="22"/>
  <c r="CJ102" i="22"/>
  <c r="CL98" i="22"/>
  <c r="CL94" i="22"/>
  <c r="CN94" i="22"/>
  <c r="CO90" i="22"/>
  <c r="CP43" i="22"/>
  <c r="CK37" i="22"/>
  <c r="CO61" i="22"/>
  <c r="CM55" i="22"/>
  <c r="CK94" i="22"/>
  <c r="CN88" i="22"/>
  <c r="CP92" i="22"/>
  <c r="CI92" i="22"/>
  <c r="CM100" i="22"/>
  <c r="CK104" i="22"/>
  <c r="CI104" i="22"/>
  <c r="CK108" i="22"/>
  <c r="CI112" i="22"/>
  <c r="CJ112" i="22"/>
  <c r="CN116" i="22"/>
  <c r="CP120" i="22"/>
  <c r="CI124" i="22"/>
  <c r="CJ124" i="22"/>
  <c r="CI90" i="22"/>
  <c r="CJ98" i="22"/>
  <c r="CM106" i="22"/>
  <c r="CM110" i="22"/>
  <c r="CO114" i="22"/>
  <c r="CJ87" i="22"/>
  <c r="CO91" i="22"/>
  <c r="CK99" i="22"/>
  <c r="CJ119" i="22"/>
  <c r="CN121" i="22"/>
  <c r="CO75" i="22"/>
  <c r="CP75" i="22"/>
  <c r="CO83" i="22"/>
  <c r="CL55" i="22"/>
  <c r="CN39" i="22"/>
  <c r="CK71" i="22"/>
  <c r="CM124" i="22"/>
  <c r="CI88" i="22"/>
  <c r="CL92" i="22"/>
  <c r="CJ92" i="22"/>
  <c r="CJ96" i="22"/>
  <c r="CK100" i="22"/>
  <c r="CN104" i="22"/>
  <c r="CL104" i="22"/>
  <c r="CN108" i="22"/>
  <c r="CL112" i="22"/>
  <c r="CK116" i="22"/>
  <c r="CM116" i="22"/>
  <c r="CO120" i="22"/>
  <c r="CK124" i="22"/>
  <c r="CJ94" i="22"/>
  <c r="CO98" i="22"/>
  <c r="CJ106" i="22"/>
  <c r="CM114" i="22"/>
  <c r="CO122" i="22"/>
  <c r="CO101" i="22"/>
  <c r="CO87" i="22"/>
  <c r="CI95" i="22"/>
  <c r="CK103" i="22"/>
  <c r="CK93" i="22"/>
  <c r="CP39" i="22"/>
  <c r="CJ32" i="22"/>
  <c r="CJ57" i="22"/>
  <c r="CN43" i="22"/>
  <c r="CP88" i="22"/>
  <c r="CO88" i="22"/>
  <c r="CK92" i="22"/>
  <c r="CN92" i="22"/>
  <c r="CI96" i="22"/>
  <c r="CJ100" i="22"/>
  <c r="CM104" i="22"/>
  <c r="CL108" i="22"/>
  <c r="CM108" i="22"/>
  <c r="CP112" i="22"/>
  <c r="CO116" i="22"/>
  <c r="CI116" i="22"/>
  <c r="CN120" i="22"/>
  <c r="CP124" i="22"/>
  <c r="CJ90" i="22"/>
  <c r="CP94" i="22"/>
  <c r="CO102" i="22"/>
  <c r="CI106" i="22"/>
  <c r="CP114" i="22"/>
  <c r="CP91" i="22"/>
  <c r="CP99" i="22"/>
  <c r="CL103" i="22"/>
  <c r="CN105" i="22"/>
  <c r="CJ70" i="22"/>
  <c r="CD27" i="23"/>
  <c r="BZ45" i="23"/>
  <c r="CC18" i="23"/>
  <c r="CK24" i="23"/>
  <c r="BW31" i="23"/>
  <c r="BW44" i="23"/>
  <c r="CA45" i="23"/>
  <c r="CK60" i="23"/>
  <c r="BQ72" i="23"/>
  <c r="CG78" i="23"/>
  <c r="CE32" i="23"/>
  <c r="CC44" i="23"/>
  <c r="BW71" i="23"/>
  <c r="CE84" i="23"/>
  <c r="CI84" i="23"/>
  <c r="BV84" i="23"/>
  <c r="CK86" i="23"/>
  <c r="CI86" i="23"/>
  <c r="CD86" i="23"/>
  <c r="CM88" i="23"/>
  <c r="CA88" i="23"/>
  <c r="BY88" i="23"/>
  <c r="CA90" i="23"/>
  <c r="BW90" i="23"/>
  <c r="BY90" i="23"/>
  <c r="CE92" i="23"/>
  <c r="BY92" i="23"/>
  <c r="BU92" i="23"/>
  <c r="BS94" i="23"/>
  <c r="BR94" i="23"/>
  <c r="BV94" i="23"/>
  <c r="BU94" i="23"/>
  <c r="BT94" i="23"/>
  <c r="BV96" i="23"/>
  <c r="BZ96" i="23"/>
  <c r="BY96" i="23"/>
  <c r="BT96" i="23"/>
  <c r="BZ98" i="23"/>
  <c r="CL98" i="23"/>
  <c r="BY98" i="23"/>
  <c r="BX98" i="23"/>
  <c r="CJ100" i="23"/>
  <c r="BX100" i="23"/>
  <c r="BW100" i="23"/>
  <c r="BZ100" i="23"/>
  <c r="BS102" i="23"/>
  <c r="CD102" i="23"/>
  <c r="CG102" i="23"/>
  <c r="CB102" i="23"/>
  <c r="CM104" i="23"/>
  <c r="BT104" i="23"/>
  <c r="CD104" i="23"/>
  <c r="CG104" i="23"/>
  <c r="BZ106" i="23"/>
  <c r="CE106" i="23"/>
  <c r="BX106" i="23"/>
  <c r="BW106" i="23"/>
  <c r="BS108" i="23"/>
  <c r="BW108" i="23"/>
  <c r="CK108" i="23"/>
  <c r="CL87" i="23"/>
  <c r="CK97" i="23"/>
  <c r="BZ23" i="23"/>
  <c r="BR12" i="23"/>
  <c r="BT20" i="23"/>
  <c r="CF26" i="23"/>
  <c r="CD32" i="23"/>
  <c r="CF34" i="23"/>
  <c r="CB44" i="23"/>
  <c r="BT52" i="23"/>
  <c r="CD58" i="23"/>
  <c r="CK11" i="23"/>
  <c r="BT32" i="23"/>
  <c r="BZ34" i="23"/>
  <c r="BR44" i="23"/>
  <c r="CD54" i="23"/>
  <c r="CB16" i="23"/>
  <c r="BT26" i="23"/>
  <c r="BX36" i="23"/>
  <c r="BV50" i="23"/>
  <c r="BZ66" i="23"/>
  <c r="BX38" i="23"/>
  <c r="CJ11" i="23"/>
  <c r="BZ81" i="23"/>
  <c r="CF71" i="23"/>
  <c r="BT55" i="23"/>
  <c r="BV43" i="23"/>
  <c r="CB23" i="23"/>
  <c r="BP72" i="23"/>
  <c r="CJ60" i="23"/>
  <c r="BW50" i="23"/>
  <c r="BT34" i="23"/>
  <c r="BU20" i="23"/>
  <c r="CH73" i="23"/>
  <c r="BZ57" i="23"/>
  <c r="BV45" i="23"/>
  <c r="BZ27" i="23"/>
  <c r="CD74" i="23"/>
  <c r="CD64" i="23"/>
  <c r="BU52" i="23"/>
  <c r="BY36" i="23"/>
  <c r="BV24" i="23"/>
  <c r="BV12" i="23"/>
  <c r="BY61" i="23"/>
  <c r="BV31" i="23"/>
  <c r="CA66" i="23"/>
  <c r="BY38" i="23"/>
  <c r="CC16" i="23"/>
  <c r="CF79" i="23"/>
  <c r="CB51" i="23"/>
  <c r="CD21" i="23"/>
  <c r="CF78" i="23"/>
  <c r="CE58" i="23"/>
  <c r="BU32" i="23"/>
  <c r="CB65" i="23"/>
  <c r="BV41" i="23"/>
  <c r="CB68" i="23"/>
  <c r="BV44" i="23"/>
  <c r="CB18" i="23"/>
  <c r="CF13" i="23"/>
  <c r="CB77" i="23"/>
  <c r="CB54" i="23"/>
  <c r="BT49" i="23"/>
  <c r="BV26" i="23"/>
  <c r="BU107" i="23"/>
  <c r="CM107" i="23"/>
  <c r="CJ107" i="23"/>
  <c r="CD107" i="23"/>
  <c r="BX107" i="23"/>
  <c r="CE105" i="23"/>
  <c r="BZ105" i="23"/>
  <c r="CG105" i="23"/>
  <c r="CK105" i="23"/>
  <c r="BR103" i="23"/>
  <c r="BW103" i="23"/>
  <c r="CM103" i="23"/>
  <c r="CF103" i="23"/>
  <c r="BY103" i="23"/>
  <c r="CD103" i="23"/>
  <c r="CD101" i="23"/>
  <c r="CA101" i="23"/>
  <c r="BX101" i="23"/>
  <c r="CG101" i="23"/>
  <c r="BX99" i="23"/>
  <c r="BY99" i="23"/>
  <c r="CD99" i="23"/>
  <c r="BZ99" i="23"/>
  <c r="BR97" i="23"/>
  <c r="CH97" i="23"/>
  <c r="CA97" i="23"/>
  <c r="BT97" i="23"/>
  <c r="CC97" i="23"/>
  <c r="BY97" i="23"/>
  <c r="BZ95" i="23"/>
  <c r="BS95" i="23"/>
  <c r="CI95" i="23"/>
  <c r="BY95" i="23"/>
  <c r="CJ95" i="23"/>
  <c r="BR93" i="23"/>
  <c r="CE107" i="23"/>
  <c r="BZ107" i="23"/>
  <c r="CK107" i="23"/>
  <c r="BW107" i="23"/>
  <c r="BU105" i="23"/>
  <c r="CM105" i="23"/>
  <c r="CJ105" i="23"/>
  <c r="CH105" i="23"/>
  <c r="CD105" i="23"/>
  <c r="BZ103" i="23"/>
  <c r="CE103" i="23"/>
  <c r="BX103" i="23"/>
  <c r="BU103" i="23"/>
  <c r="CC103" i="23"/>
  <c r="BV101" i="23"/>
  <c r="CL101" i="23"/>
  <c r="CI101" i="23"/>
  <c r="CF101" i="23"/>
  <c r="BY101" i="23"/>
  <c r="CF99" i="23"/>
  <c r="CG99" i="23"/>
  <c r="CE99" i="23"/>
  <c r="CA99" i="23"/>
  <c r="BZ97" i="23"/>
  <c r="BS97" i="23"/>
  <c r="CI97" i="23"/>
  <c r="CJ97" i="23"/>
  <c r="BX97" i="23"/>
  <c r="BR95" i="23"/>
  <c r="CH95" i="23"/>
  <c r="CA95" i="23"/>
  <c r="BX95" i="23"/>
  <c r="BT95" i="23"/>
  <c r="CI107" i="23"/>
  <c r="CF107" i="23"/>
  <c r="BT107" i="23"/>
  <c r="CG107" i="23"/>
  <c r="BY105" i="23"/>
  <c r="BV105" i="23"/>
  <c r="BW105" i="23"/>
  <c r="CA105" i="23"/>
  <c r="CL105" i="23"/>
  <c r="BS103" i="23"/>
  <c r="CI103" i="23"/>
  <c r="CB103" i="23"/>
  <c r="CG103" i="23"/>
  <c r="CK103" i="23"/>
  <c r="BZ101" i="23"/>
  <c r="BW101" i="23"/>
  <c r="CM101" i="23"/>
  <c r="CJ101" i="23"/>
  <c r="CC101" i="23"/>
  <c r="CJ99" i="23"/>
  <c r="CK99" i="23"/>
  <c r="CM99" i="23"/>
  <c r="CI99" i="23"/>
  <c r="CD97" i="23"/>
  <c r="BW97" i="23"/>
  <c r="CM97" i="23"/>
  <c r="BU97" i="23"/>
  <c r="CF97" i="23"/>
  <c r="BV95" i="23"/>
  <c r="CL95" i="23"/>
  <c r="CE95" i="23"/>
  <c r="CF95" i="23"/>
  <c r="CB95" i="23"/>
  <c r="CC95" i="23"/>
  <c r="BT76" i="23"/>
  <c r="BY107" i="23"/>
  <c r="CH107" i="23"/>
  <c r="BT105" i="23"/>
  <c r="CJ103" i="23"/>
  <c r="CE101" i="23"/>
  <c r="CC99" i="23"/>
  <c r="CL97" i="23"/>
  <c r="CG97" i="23"/>
  <c r="CG95" i="23"/>
  <c r="BZ93" i="23"/>
  <c r="BS93" i="23"/>
  <c r="CI93" i="23"/>
  <c r="CJ93" i="23"/>
  <c r="BX93" i="23"/>
  <c r="BX91" i="23"/>
  <c r="CG91" i="23"/>
  <c r="BW91" i="23"/>
  <c r="CC91" i="23"/>
  <c r="CD89" i="23"/>
  <c r="CA89" i="23"/>
  <c r="BX89" i="23"/>
  <c r="CB89" i="23"/>
  <c r="BX87" i="23"/>
  <c r="BY87" i="23"/>
  <c r="BZ87" i="23"/>
  <c r="BT87" i="23"/>
  <c r="BV85" i="23"/>
  <c r="BW85" i="23"/>
  <c r="BR85" i="23"/>
  <c r="CC85" i="23"/>
  <c r="BY85" i="23"/>
  <c r="CD83" i="23"/>
  <c r="CA83" i="23"/>
  <c r="BX83" i="23"/>
  <c r="CB83" i="23"/>
  <c r="BV107" i="23"/>
  <c r="CI105" i="23"/>
  <c r="BV103" i="23"/>
  <c r="CH103" i="23"/>
  <c r="CB101" i="23"/>
  <c r="CL99" i="23"/>
  <c r="CE97" i="23"/>
  <c r="CD95" i="23"/>
  <c r="CK95" i="23"/>
  <c r="CD93" i="23"/>
  <c r="BW93" i="23"/>
  <c r="CM93" i="23"/>
  <c r="BU93" i="23"/>
  <c r="CF93" i="23"/>
  <c r="CF91" i="23"/>
  <c r="CK91" i="23"/>
  <c r="CI91" i="23"/>
  <c r="CM91" i="23"/>
  <c r="CH89" i="23"/>
  <c r="CE89" i="23"/>
  <c r="CF89" i="23"/>
  <c r="CJ89" i="23"/>
  <c r="CB87" i="23"/>
  <c r="CC87" i="23"/>
  <c r="CJ87" i="23"/>
  <c r="CF87" i="23"/>
  <c r="BZ85" i="23"/>
  <c r="CA85" i="23"/>
  <c r="CB85" i="23"/>
  <c r="CM85" i="23"/>
  <c r="CI85" i="23"/>
  <c r="CH83" i="23"/>
  <c r="CE83" i="23"/>
  <c r="CF83" i="23"/>
  <c r="CJ83" i="23"/>
  <c r="CA107" i="23"/>
  <c r="CF105" i="23"/>
  <c r="CA103" i="23"/>
  <c r="CL103" i="23"/>
  <c r="CK101" i="23"/>
  <c r="CH99" i="23"/>
  <c r="CB97" i="23"/>
  <c r="BW95" i="23"/>
  <c r="BU95" i="23"/>
  <c r="CH93" i="23"/>
  <c r="CA93" i="23"/>
  <c r="BT93" i="23"/>
  <c r="CC93" i="23"/>
  <c r="BY93" i="23"/>
  <c r="CJ91" i="23"/>
  <c r="BV91" i="23"/>
  <c r="CB91" i="23"/>
  <c r="BR89" i="23"/>
  <c r="CL89" i="23"/>
  <c r="CI89" i="23"/>
  <c r="BY89" i="23"/>
  <c r="CC89" i="23"/>
  <c r="CH87" i="23"/>
  <c r="CI87" i="23"/>
  <c r="CA87" i="23"/>
  <c r="BU87" i="23"/>
  <c r="CD85" i="23"/>
  <c r="CE85" i="23"/>
  <c r="CL85" i="23"/>
  <c r="BX85" i="23"/>
  <c r="BT83" i="23"/>
  <c r="CL83" i="23"/>
  <c r="CI83" i="23"/>
  <c r="BY83" i="23"/>
  <c r="CC83" i="23"/>
  <c r="CL107" i="23"/>
  <c r="CB99" i="23"/>
  <c r="BV93" i="23"/>
  <c r="CK93" i="23"/>
  <c r="CL91" i="23"/>
  <c r="CG89" i="23"/>
  <c r="CK87" i="23"/>
  <c r="BS85" i="23"/>
  <c r="CM83" i="23"/>
  <c r="CC108" i="23"/>
  <c r="BV108" i="23"/>
  <c r="BX105" i="23"/>
  <c r="BV97" i="23"/>
  <c r="CL93" i="23"/>
  <c r="CG93" i="23"/>
  <c r="BZ89" i="23"/>
  <c r="CK89" i="23"/>
  <c r="CG87" i="23"/>
  <c r="CH85" i="23"/>
  <c r="CG83" i="23"/>
  <c r="CH101" i="23"/>
  <c r="CM95" i="23"/>
  <c r="CB93" i="23"/>
  <c r="CH91" i="23"/>
  <c r="CM89" i="23"/>
  <c r="CM87" i="23"/>
  <c r="CK85" i="23"/>
  <c r="BU83" i="23"/>
  <c r="BY108" i="23"/>
  <c r="BR108" i="23"/>
  <c r="CH108" i="23"/>
  <c r="CM108" i="23"/>
  <c r="CA108" i="23"/>
  <c r="CJ108" i="23"/>
  <c r="CK106" i="23"/>
  <c r="CH106" i="23"/>
  <c r="CM106" i="23"/>
  <c r="CI106" i="23"/>
  <c r="BY104" i="23"/>
  <c r="BR104" i="23"/>
  <c r="CH104" i="23"/>
  <c r="CI104" i="23"/>
  <c r="BW104" i="23"/>
  <c r="BX104" i="23"/>
  <c r="CF102" i="23"/>
  <c r="CC102" i="23"/>
  <c r="BV102" i="23"/>
  <c r="CL102" i="23"/>
  <c r="CI102" i="23"/>
  <c r="BV100" i="23"/>
  <c r="CL100" i="23"/>
  <c r="CE100" i="23"/>
  <c r="CF100" i="23"/>
  <c r="CB100" i="23"/>
  <c r="BU100" i="23"/>
  <c r="CF98" i="23"/>
  <c r="CC98" i="23"/>
  <c r="CD98" i="23"/>
  <c r="CM98" i="23"/>
  <c r="CI98" i="23"/>
  <c r="BX96" i="23"/>
  <c r="BU96" i="23"/>
  <c r="CK96" i="23"/>
  <c r="BS96" i="23"/>
  <c r="CD96" i="23"/>
  <c r="CM96" i="23"/>
  <c r="CF94" i="23"/>
  <c r="CC94" i="23"/>
  <c r="CD94" i="23"/>
  <c r="CM94" i="23"/>
  <c r="CA94" i="23"/>
  <c r="BZ92" i="23"/>
  <c r="CA92" i="23"/>
  <c r="CH92" i="23"/>
  <c r="CL92" i="23"/>
  <c r="CD90" i="23"/>
  <c r="CE90" i="23"/>
  <c r="CF90" i="23"/>
  <c r="CJ90" i="23"/>
  <c r="CB88" i="23"/>
  <c r="CC88" i="23"/>
  <c r="CH88" i="23"/>
  <c r="CD88" i="23"/>
  <c r="CE88" i="23"/>
  <c r="CH86" i="23"/>
  <c r="CE86" i="23"/>
  <c r="CJ86" i="23"/>
  <c r="CF86" i="23"/>
  <c r="BZ84" i="23"/>
  <c r="CA84" i="23"/>
  <c r="CD84" i="23"/>
  <c r="CJ84" i="23"/>
  <c r="CA81" i="23"/>
  <c r="CA57" i="23"/>
  <c r="BS44" i="23"/>
  <c r="CA34" i="23"/>
  <c r="BS12" i="23"/>
  <c r="BZ44" i="23"/>
  <c r="BW12" i="23"/>
  <c r="CC23" i="23"/>
  <c r="CA27" i="23"/>
  <c r="BW43" i="23"/>
  <c r="CK44" i="23"/>
  <c r="CC54" i="23"/>
  <c r="CC68" i="23"/>
  <c r="BU76" i="23"/>
  <c r="BU26" i="23"/>
  <c r="BW41" i="23"/>
  <c r="CE54" i="23"/>
  <c r="CB43" i="23"/>
  <c r="BY84" i="23"/>
  <c r="BR84" i="23"/>
  <c r="CL84" i="23"/>
  <c r="BY86" i="23"/>
  <c r="CB86" i="23"/>
  <c r="BW86" i="23"/>
  <c r="BV86" i="23"/>
  <c r="BV88" i="23"/>
  <c r="CK88" i="23"/>
  <c r="CF88" i="23"/>
  <c r="BZ90" i="23"/>
  <c r="CM90" i="23"/>
  <c r="CH90" i="23"/>
  <c r="CD92" i="23"/>
  <c r="CK92" i="23"/>
  <c r="CF92" i="23"/>
  <c r="CH94" i="23"/>
  <c r="BW94" i="23"/>
  <c r="CG94" i="23"/>
  <c r="CB94" i="23"/>
  <c r="BW96" i="23"/>
  <c r="CA96" i="23"/>
  <c r="CG96" i="23"/>
  <c r="CF96" i="23"/>
  <c r="BS98" i="23"/>
  <c r="CE98" i="23"/>
  <c r="CK98" i="23"/>
  <c r="CJ98" i="23"/>
  <c r="CK100" i="23"/>
  <c r="CG100" i="23"/>
  <c r="CI100" i="23"/>
  <c r="CH100" i="23"/>
  <c r="BW102" i="23"/>
  <c r="CA102" i="23"/>
  <c r="BR102" i="23"/>
  <c r="BU102" i="23"/>
  <c r="BT102" i="23"/>
  <c r="CJ104" i="23"/>
  <c r="BS104" i="23"/>
  <c r="BV104" i="23"/>
  <c r="BU104" i="23"/>
  <c r="CF106" i="23"/>
  <c r="CL106" i="23"/>
  <c r="CG106" i="23"/>
  <c r="BT108" i="23"/>
  <c r="BX108" i="23"/>
  <c r="CD108" i="23"/>
  <c r="BU108" i="23"/>
  <c r="BZ83" i="23"/>
  <c r="BY91" i="23"/>
  <c r="CD43" i="23"/>
  <c r="BV71" i="23"/>
  <c r="CE21" i="23"/>
  <c r="BW26" i="23"/>
  <c r="BU34" i="23"/>
  <c r="CA44" i="23"/>
  <c r="CC51" i="23"/>
  <c r="CE64" i="23"/>
  <c r="CE74" i="23"/>
  <c r="CG79" i="23"/>
  <c r="CG34" i="23"/>
  <c r="BU49" i="23"/>
  <c r="CI73" i="23"/>
  <c r="CK84" i="23"/>
  <c r="BS84" i="23"/>
  <c r="BW84" i="23"/>
  <c r="CG86" i="23"/>
  <c r="CC86" i="23"/>
  <c r="CA86" i="23"/>
  <c r="BZ86" i="23"/>
  <c r="CL88" i="23"/>
  <c r="BZ88" i="23"/>
  <c r="CJ88" i="23"/>
  <c r="CK90" i="23"/>
  <c r="BV90" i="23"/>
  <c r="CL90" i="23"/>
  <c r="CM92" i="23"/>
  <c r="BX92" i="23"/>
  <c r="CJ92" i="23"/>
  <c r="CI94" i="23"/>
  <c r="CE94" i="23"/>
  <c r="CK94" i="23"/>
  <c r="CJ94" i="23"/>
  <c r="CE96" i="23"/>
  <c r="CI96" i="23"/>
  <c r="BR96" i="23"/>
  <c r="CJ96" i="23"/>
  <c r="CA98" i="23"/>
  <c r="BR98" i="23"/>
  <c r="BV98" i="23"/>
  <c r="BU98" i="23"/>
  <c r="BT98" i="23"/>
  <c r="BT100" i="23"/>
  <c r="CM100" i="23"/>
  <c r="BS100" i="23"/>
  <c r="BR100" i="23"/>
  <c r="CE102" i="23"/>
  <c r="BZ102" i="23"/>
  <c r="BY102" i="23"/>
  <c r="BX102" i="23"/>
  <c r="CE104" i="23"/>
  <c r="CA104" i="23"/>
  <c r="BZ104" i="23"/>
  <c r="CC104" i="23"/>
  <c r="BY106" i="23"/>
  <c r="BU106" i="23"/>
  <c r="BT106" i="23"/>
  <c r="CB108" i="23"/>
  <c r="CF108" i="23"/>
  <c r="CL108" i="23"/>
  <c r="CG108" i="23"/>
  <c r="CK83" i="23"/>
  <c r="BS89" i="23"/>
  <c r="BT103" i="23"/>
  <c r="CJ24" i="23"/>
  <c r="CJ44" i="23"/>
  <c r="CG13" i="23"/>
  <c r="BW24" i="23"/>
  <c r="CE27" i="23"/>
  <c r="CE43" i="23"/>
  <c r="BW45" i="23"/>
  <c r="BU55" i="23"/>
  <c r="CG71" i="23"/>
  <c r="CC77" i="23"/>
  <c r="CG26" i="23"/>
  <c r="CC43" i="23"/>
  <c r="CC65" i="23"/>
  <c r="BX61" i="23"/>
  <c r="BX84" i="23"/>
  <c r="CM84" i="23"/>
  <c r="CH84" i="23"/>
  <c r="BX86" i="23"/>
  <c r="CM86" i="23"/>
  <c r="CL86" i="23"/>
  <c r="BW88" i="23"/>
  <c r="CI88" i="23"/>
  <c r="CG88" i="23"/>
  <c r="BX88" i="23"/>
  <c r="CG90" i="23"/>
  <c r="CI90" i="23"/>
  <c r="BX90" i="23"/>
  <c r="CI92" i="23"/>
  <c r="CG92" i="23"/>
  <c r="BT92" i="23"/>
  <c r="BZ94" i="23"/>
  <c r="CL94" i="23"/>
  <c r="BY94" i="23"/>
  <c r="BX94" i="23"/>
  <c r="CL96" i="23"/>
  <c r="CH96" i="23"/>
  <c r="CC96" i="23"/>
  <c r="CB96" i="23"/>
  <c r="CH98" i="23"/>
  <c r="BW98" i="23"/>
  <c r="CG98" i="23"/>
  <c r="CB98" i="23"/>
  <c r="CC100" i="23"/>
  <c r="BY100" i="23"/>
  <c r="CA100" i="23"/>
  <c r="CD100" i="23"/>
  <c r="CM102" i="23"/>
  <c r="CH102" i="23"/>
  <c r="CK102" i="23"/>
  <c r="CJ102" i="23"/>
  <c r="CF104" i="23"/>
  <c r="CB104" i="23"/>
  <c r="CL104" i="23"/>
  <c r="CK104" i="23"/>
  <c r="CJ106" i="23"/>
  <c r="BV106" i="23"/>
  <c r="CD106" i="23"/>
  <c r="CA106" i="23"/>
  <c r="CI108" i="23"/>
  <c r="CE108" i="23"/>
  <c r="BZ108" i="23"/>
  <c r="CJ85" i="23"/>
  <c r="CE93" i="23"/>
  <c r="CM15" i="22"/>
  <c r="G4" i="9"/>
  <c r="CP70" i="22"/>
  <c r="BR77" i="23"/>
  <c r="CA17" i="23"/>
  <c r="BT22" i="23"/>
  <c r="BY34" i="23"/>
  <c r="BX46" i="23"/>
  <c r="CF15" i="23"/>
  <c r="BT25" i="23"/>
  <c r="CD33" i="23"/>
  <c r="BW47" i="23"/>
  <c r="BT61" i="23"/>
  <c r="BY67" i="23"/>
  <c r="BS73" i="23"/>
  <c r="BS81" i="23"/>
  <c r="BU89" i="23"/>
  <c r="BX34" i="23"/>
  <c r="BV92" i="23"/>
  <c r="BS86" i="23"/>
  <c r="CC76" i="23"/>
  <c r="BW70" i="23"/>
  <c r="BS68" i="23"/>
  <c r="BV42" i="23"/>
  <c r="BT28" i="23"/>
  <c r="CB32" i="23"/>
  <c r="BU90" i="23"/>
  <c r="BS88" i="23"/>
  <c r="CA82" i="23"/>
  <c r="CB76" i="23"/>
  <c r="BV70" i="23"/>
  <c r="BT54" i="23"/>
  <c r="BV20" i="23"/>
  <c r="CC106" i="23"/>
  <c r="BT90" i="23"/>
  <c r="CG84" i="23"/>
  <c r="CA80" i="23"/>
  <c r="BQ74" i="23"/>
  <c r="BT11" i="23"/>
  <c r="BT56" i="23"/>
  <c r="CG44" i="23"/>
  <c r="BR62" i="23"/>
  <c r="BR25" i="23"/>
  <c r="BQ39" i="23"/>
  <c r="CA49" i="23"/>
  <c r="CC63" i="23"/>
  <c r="BS69" i="23"/>
  <c r="BR75" i="23"/>
  <c r="BS83" i="23"/>
  <c r="BZ91" i="23"/>
  <c r="BS16" i="23"/>
  <c r="CG62" i="23"/>
  <c r="BP66" i="23"/>
  <c r="BT19" i="23"/>
  <c r="BU27" i="23"/>
  <c r="CC41" i="23"/>
  <c r="CD51" i="23"/>
  <c r="CG65" i="23"/>
  <c r="BQ71" i="23"/>
  <c r="BT85" i="23"/>
  <c r="CE91" i="23"/>
  <c r="CA62" i="23"/>
  <c r="CA26" i="23"/>
  <c r="CF22" i="23"/>
  <c r="BW13" i="23"/>
  <c r="BU29" i="23"/>
  <c r="BS45" i="23"/>
  <c r="BS55" i="23"/>
  <c r="BS67" i="23"/>
  <c r="CC73" i="23"/>
  <c r="CC79" i="23"/>
  <c r="CE87" i="23"/>
  <c r="BS105" i="23"/>
  <c r="BW66" i="23"/>
  <c r="CF30" i="23"/>
  <c r="CF62" i="23"/>
  <c r="BU22" i="23"/>
  <c r="CG30" i="23"/>
  <c r="BW40" i="23"/>
  <c r="BU56" i="23"/>
  <c r="BZ18" i="23"/>
  <c r="CB30" i="23"/>
  <c r="BV56" i="23"/>
  <c r="CD62" i="23"/>
  <c r="CF66" i="23"/>
  <c r="CG15" i="23"/>
  <c r="CE15" i="23"/>
  <c r="BU19" i="23"/>
  <c r="CI21" i="23"/>
  <c r="CA23" i="23"/>
  <c r="BS25" i="23"/>
  <c r="BU25" i="23"/>
  <c r="BS29" i="23"/>
  <c r="CB31" i="23"/>
  <c r="BQ35" i="23"/>
  <c r="BP39" i="23"/>
  <c r="BS41" i="23"/>
  <c r="CK45" i="23"/>
  <c r="CC47" i="23"/>
  <c r="CE49" i="23"/>
  <c r="BU53" i="23"/>
  <c r="BU61" i="23"/>
  <c r="CB63" i="23"/>
  <c r="CA65" i="23"/>
  <c r="BX67" i="23"/>
  <c r="BR67" i="23"/>
  <c r="BW69" i="23"/>
  <c r="BP71" i="23"/>
  <c r="BR73" i="23"/>
  <c r="CB73" i="23"/>
  <c r="BP75" i="23"/>
  <c r="BQ75" i="23"/>
  <c r="BS77" i="23"/>
  <c r="BR81" i="23"/>
  <c r="BR83" i="23"/>
  <c r="BU85" i="23"/>
  <c r="BV87" i="23"/>
  <c r="BS87" i="23"/>
  <c r="BW89" i="23"/>
  <c r="BU91" i="23"/>
  <c r="BS91" i="23"/>
  <c r="CC105" i="23"/>
  <c r="BU11" i="23"/>
  <c r="BW68" i="23"/>
  <c r="BP70" i="23"/>
  <c r="BU72" i="23"/>
  <c r="CG74" i="23"/>
  <c r="CD76" i="23"/>
  <c r="CH78" i="23"/>
  <c r="BU82" i="23"/>
  <c r="CB84" i="23"/>
  <c r="BU84" i="23"/>
  <c r="BU86" i="23"/>
  <c r="BU88" i="23"/>
  <c r="BR90" i="23"/>
  <c r="BW92" i="23"/>
  <c r="CC92" i="23"/>
  <c r="BS106" i="23"/>
  <c r="BR16" i="23"/>
  <c r="CB24" i="23"/>
  <c r="CB36" i="23"/>
  <c r="BY46" i="23"/>
  <c r="BW60" i="23"/>
  <c r="CG22" i="23"/>
  <c r="CG66" i="23"/>
  <c r="BV40" i="23"/>
  <c r="BT66" i="23"/>
  <c r="CC24" i="23"/>
  <c r="CC32" i="23"/>
  <c r="BW42" i="23"/>
  <c r="CE56" i="23"/>
  <c r="BV22" i="23"/>
  <c r="CB40" i="23"/>
  <c r="BV60" i="23"/>
  <c r="BZ64" i="23"/>
  <c r="BV13" i="23"/>
  <c r="BW15" i="23"/>
  <c r="BZ17" i="23"/>
  <c r="CB19" i="23"/>
  <c r="CJ23" i="23"/>
  <c r="CJ25" i="23"/>
  <c r="BV25" i="23"/>
  <c r="BT27" i="23"/>
  <c r="BR29" i="23"/>
  <c r="CE33" i="23"/>
  <c r="CE39" i="23"/>
  <c r="BR41" i="23"/>
  <c r="CJ45" i="23"/>
  <c r="CB47" i="23"/>
  <c r="CD49" i="23"/>
  <c r="CE51" i="23"/>
  <c r="BR55" i="23"/>
  <c r="CD61" i="23"/>
  <c r="CK63" i="23"/>
  <c r="BZ65" i="23"/>
  <c r="CE67" i="23"/>
  <c r="CC67" i="23"/>
  <c r="BV69" i="23"/>
  <c r="BY71" i="23"/>
  <c r="CK73" i="23"/>
  <c r="CA73" i="23"/>
  <c r="BS75" i="23"/>
  <c r="CD77" i="23"/>
  <c r="CB79" i="23"/>
  <c r="CC81" i="23"/>
  <c r="BW83" i="23"/>
  <c r="CF85" i="23"/>
  <c r="BR87" i="23"/>
  <c r="BV89" i="23"/>
  <c r="CD91" i="23"/>
  <c r="BT91" i="23"/>
  <c r="CB105" i="23"/>
  <c r="CA11" i="23"/>
  <c r="BV68" i="23"/>
  <c r="BZ70" i="23"/>
  <c r="CA70" i="23"/>
  <c r="CF74" i="23"/>
  <c r="CF76" i="23"/>
  <c r="CG76" i="23"/>
  <c r="BZ80" i="23"/>
  <c r="BT82" i="23"/>
  <c r="BT84" i="23"/>
  <c r="BT86" i="23"/>
  <c r="BT88" i="23"/>
  <c r="CB90" i="23"/>
  <c r="CC90" i="23"/>
  <c r="BS92" i="23"/>
  <c r="BR106" i="23"/>
  <c r="CA18" i="23"/>
  <c r="BQ26" i="23"/>
  <c r="CC40" i="23"/>
  <c r="CK52" i="23"/>
  <c r="BQ66" i="23"/>
  <c r="CE62" i="23"/>
  <c r="BZ26" i="23"/>
  <c r="CD56" i="23"/>
  <c r="BW20" i="23"/>
  <c r="BU28" i="23"/>
  <c r="CC36" i="23"/>
  <c r="BU54" i="23"/>
  <c r="BU66" i="23"/>
  <c r="BP26" i="23"/>
  <c r="CJ52" i="23"/>
  <c r="BZ62" i="23"/>
  <c r="BV66" i="23"/>
  <c r="CD15" i="23"/>
  <c r="BV15" i="23"/>
  <c r="CC19" i="23"/>
  <c r="CH21" i="23"/>
  <c r="CK23" i="23"/>
  <c r="BW25" i="23"/>
  <c r="CK25" i="23"/>
  <c r="BT29" i="23"/>
  <c r="CC31" i="23"/>
  <c r="BP35" i="23"/>
  <c r="CD39" i="23"/>
  <c r="CB41" i="23"/>
  <c r="BR45" i="23"/>
  <c r="BV47" i="23"/>
  <c r="BZ49" i="23"/>
  <c r="BT53" i="23"/>
  <c r="CE61" i="23"/>
  <c r="CJ63" i="23"/>
  <c r="CF65" i="23"/>
  <c r="CB67" i="23"/>
  <c r="CD67" i="23"/>
  <c r="BR69" i="23"/>
  <c r="BX71" i="23"/>
  <c r="BZ73" i="23"/>
  <c r="CJ73" i="23"/>
  <c r="BV75" i="23"/>
  <c r="BW75" i="23"/>
  <c r="CE77" i="23"/>
  <c r="CB81" i="23"/>
  <c r="BV83" i="23"/>
  <c r="CG85" i="23"/>
  <c r="CD87" i="23"/>
  <c r="BW87" i="23"/>
  <c r="BT89" i="23"/>
  <c r="BR91" i="23"/>
  <c r="CA91" i="23"/>
  <c r="BR105" i="23"/>
  <c r="BZ11" i="23"/>
  <c r="BR68" i="23"/>
  <c r="BQ70" i="23"/>
  <c r="BT72" i="23"/>
  <c r="BP74" i="23"/>
  <c r="CE76" i="23"/>
  <c r="CI78" i="23"/>
  <c r="BZ82" i="23"/>
  <c r="CF84" i="23"/>
  <c r="CC84" i="23"/>
  <c r="BR86" i="23"/>
  <c r="BR88" i="23"/>
  <c r="BS90" i="23"/>
  <c r="CB92" i="23"/>
  <c r="BR92" i="23"/>
  <c r="CB106" i="23"/>
  <c r="BS62" i="23"/>
  <c r="BW22" i="23"/>
  <c r="CC30" i="23"/>
  <c r="CF44" i="23"/>
  <c r="BW56" i="23"/>
  <c r="CA64" i="23"/>
  <c r="CL13" i="22"/>
  <c r="CL21" i="22"/>
  <c r="CN22" i="22"/>
  <c r="CP29" i="22"/>
  <c r="CL49" i="22"/>
  <c r="CJ58" i="22"/>
  <c r="CK65" i="22"/>
  <c r="CN69" i="22"/>
  <c r="CI71" i="22"/>
  <c r="CJ74" i="22"/>
  <c r="CM81" i="22"/>
  <c r="CN109" i="22"/>
  <c r="CJ120" i="22"/>
  <c r="CP36" i="22"/>
  <c r="CJ41" i="22"/>
  <c r="CM90" i="22"/>
  <c r="CO110" i="22"/>
  <c r="CK118" i="22"/>
  <c r="CO29" i="22"/>
  <c r="CL32" i="22"/>
  <c r="CP37" i="22"/>
  <c r="CN52" i="22"/>
  <c r="CJ65" i="22"/>
  <c r="CN70" i="22"/>
  <c r="CI82" i="22"/>
  <c r="CM89" i="22"/>
  <c r="CN122" i="22"/>
  <c r="CM13" i="22"/>
  <c r="CM25" i="22"/>
  <c r="CI41" i="22"/>
  <c r="CK43" i="22"/>
  <c r="CN46" i="22"/>
  <c r="CI48" i="22"/>
  <c r="CP50" i="22"/>
  <c r="CK58" i="22"/>
  <c r="CL60" i="22"/>
  <c r="CM61" i="22"/>
  <c r="CN72" i="22"/>
  <c r="CL76" i="22"/>
  <c r="CI102" i="22"/>
  <c r="CN113" i="22"/>
  <c r="CJ11" i="22"/>
  <c r="CP12" i="22"/>
  <c r="CK18" i="22"/>
  <c r="CL30" i="22"/>
  <c r="CK40" i="22"/>
  <c r="CO46" i="22"/>
  <c r="CN66" i="22"/>
  <c r="CJ93" i="22"/>
  <c r="CL118" i="22"/>
  <c r="CL18" i="22"/>
  <c r="CN50" i="22"/>
  <c r="CN81" i="22"/>
  <c r="CM76" i="22"/>
  <c r="CP59" i="22"/>
  <c r="CJ115" i="22"/>
  <c r="CK15" i="22"/>
  <c r="CO27" i="22"/>
  <c r="CK51" i="22"/>
  <c r="CP63" i="22"/>
  <c r="CO115" i="22"/>
  <c r="CI19" i="22"/>
  <c r="CI67" i="22"/>
  <c r="CO123" i="22"/>
  <c r="CI49" i="22"/>
  <c r="CK109" i="22"/>
  <c r="CM18" i="22"/>
  <c r="CP66" i="22"/>
  <c r="CO12" i="22"/>
  <c r="CN36" i="22"/>
  <c r="CK76" i="22"/>
  <c r="CJ108" i="22"/>
  <c r="CO37" i="22"/>
  <c r="CM77" i="22"/>
  <c r="CL58" i="22"/>
  <c r="CP109" i="22"/>
  <c r="CK25" i="22"/>
  <c r="CK61" i="22"/>
  <c r="CK89" i="22"/>
  <c r="CM20" i="22"/>
  <c r="CO95" i="22"/>
  <c r="CP27" i="22"/>
  <c r="CN51" i="22"/>
  <c r="CP95" i="22"/>
  <c r="CN115" i="22"/>
  <c r="CK35" i="22"/>
  <c r="CL75" i="22"/>
  <c r="CL61" i="22"/>
  <c r="CI121" i="22"/>
  <c r="CJ26" i="22"/>
  <c r="CP110" i="22"/>
  <c r="CK20" i="22"/>
  <c r="CP52" i="22"/>
  <c r="CI80" i="22"/>
  <c r="CI120" i="22"/>
  <c r="CM45" i="22"/>
  <c r="CL89" i="22"/>
  <c r="CP22" i="22"/>
  <c r="CO26" i="22"/>
  <c r="CO66" i="22"/>
  <c r="CO109" i="22"/>
  <c r="CN40" i="22"/>
  <c r="CK60" i="22"/>
  <c r="CO23" i="22"/>
  <c r="CP23" i="22"/>
  <c r="CL43" i="22"/>
  <c r="CM51" i="22"/>
  <c r="CN95" i="22"/>
  <c r="CL47" i="22"/>
  <c r="CP79" i="22"/>
  <c r="CP69" i="22"/>
  <c r="CO42" i="22"/>
  <c r="CP122" i="22"/>
  <c r="CM24" i="22"/>
  <c r="CM60" i="22"/>
  <c r="CK88" i="22"/>
  <c r="CK13" i="22"/>
  <c r="CO57" i="22"/>
  <c r="CP113" i="22"/>
  <c r="CK30" i="22"/>
  <c r="CL90" i="22"/>
  <c r="CN37" i="22"/>
  <c r="CO70" i="22"/>
  <c r="CO113" i="22"/>
  <c r="CK36" i="22"/>
  <c r="CJ40" i="22"/>
  <c r="CN27" i="22"/>
  <c r="CN79" i="22"/>
  <c r="CL15" i="22"/>
  <c r="CN23" i="22"/>
  <c r="CM43" i="22"/>
  <c r="CN63" i="22"/>
  <c r="CP115" i="22"/>
  <c r="CN59" i="22"/>
  <c r="CJ99" i="22"/>
  <c r="CN29" i="22"/>
  <c r="CK81" i="22"/>
  <c r="CJ50" i="22"/>
  <c r="CM32" i="22"/>
  <c r="CP72" i="22"/>
  <c r="CI100" i="22"/>
  <c r="CL25" i="22"/>
  <c r="CL65" i="22"/>
  <c r="CI34" i="22"/>
  <c r="CM118" i="22"/>
  <c r="I67" i="9"/>
  <c r="I58" i="9"/>
  <c r="I66" i="9"/>
  <c r="I68" i="9"/>
  <c r="H58" i="9"/>
  <c r="I69" i="9"/>
  <c r="I55" i="9"/>
  <c r="I57" i="9"/>
  <c r="I62" i="9"/>
  <c r="I56" i="9"/>
  <c r="P61" i="36"/>
  <c r="AA54" i="36"/>
  <c r="BJ12" i="23"/>
  <c r="BN12" i="23"/>
  <c r="BZ12" i="23"/>
  <c r="BL13" i="23"/>
  <c r="BP13" i="23"/>
  <c r="BT13" i="23"/>
  <c r="BJ14" i="23"/>
  <c r="BN14" i="23"/>
  <c r="BR14" i="23"/>
  <c r="BZ14" i="23"/>
  <c r="BL15" i="23"/>
  <c r="BP15" i="23"/>
  <c r="BT15" i="23"/>
  <c r="CB15" i="23"/>
  <c r="BJ16" i="23"/>
  <c r="BN16" i="23"/>
  <c r="BZ16" i="23"/>
  <c r="BL17" i="23"/>
  <c r="BP17" i="23"/>
  <c r="BT17" i="23"/>
  <c r="CB17" i="23"/>
  <c r="BJ18" i="23"/>
  <c r="BN18" i="23"/>
  <c r="BR18" i="23"/>
  <c r="BV18" i="23"/>
  <c r="BL19" i="23"/>
  <c r="BP19" i="23"/>
  <c r="BJ20" i="23"/>
  <c r="BN20" i="23"/>
  <c r="BR20" i="23"/>
  <c r="BL21" i="23"/>
  <c r="BP21" i="23"/>
  <c r="BT21" i="23"/>
  <c r="BJ22" i="23"/>
  <c r="BN22" i="23"/>
  <c r="BR22" i="23"/>
  <c r="BL23" i="23"/>
  <c r="BP23" i="23"/>
  <c r="BT23" i="23"/>
  <c r="BL12" i="23"/>
  <c r="BP12" i="23"/>
  <c r="BT12" i="23"/>
  <c r="CJ12" i="23"/>
  <c r="BJ13" i="23"/>
  <c r="BN13" i="23"/>
  <c r="BL14" i="23"/>
  <c r="BP14" i="23"/>
  <c r="BT14" i="23"/>
  <c r="BJ15" i="23"/>
  <c r="BN15" i="23"/>
  <c r="BR15" i="23"/>
  <c r="BL16" i="23"/>
  <c r="BP16" i="23"/>
  <c r="BM12" i="23"/>
  <c r="BQ12" i="23"/>
  <c r="BU12" i="23"/>
  <c r="CK12" i="23"/>
  <c r="BK13" i="23"/>
  <c r="BO13" i="23"/>
  <c r="BM14" i="23"/>
  <c r="BQ14" i="23"/>
  <c r="BU14" i="23"/>
  <c r="BK15" i="23"/>
  <c r="BO15" i="23"/>
  <c r="BS15" i="23"/>
  <c r="BM16" i="23"/>
  <c r="BQ16" i="23"/>
  <c r="BU16" i="23"/>
  <c r="BK17" i="23"/>
  <c r="BO17" i="23"/>
  <c r="BS17" i="23"/>
  <c r="CE17" i="23"/>
  <c r="BM18" i="23"/>
  <c r="BQ18" i="23"/>
  <c r="BU18" i="23"/>
  <c r="BK19" i="23"/>
  <c r="BO19" i="23"/>
  <c r="BS19" i="23"/>
  <c r="CI19" i="23"/>
  <c r="BM20" i="23"/>
  <c r="BQ20" i="23"/>
  <c r="CC20" i="23"/>
  <c r="BK21" i="23"/>
  <c r="BO21" i="23"/>
  <c r="BS21" i="23"/>
  <c r="CA21" i="23"/>
  <c r="BM22" i="23"/>
  <c r="BQ22" i="23"/>
  <c r="CC22" i="23"/>
  <c r="BK23" i="23"/>
  <c r="BO23" i="23"/>
  <c r="BW23" i="23"/>
  <c r="BM24" i="23"/>
  <c r="BQ24" i="23"/>
  <c r="BU24" i="23"/>
  <c r="BK25" i="23"/>
  <c r="BO25" i="23"/>
  <c r="CA25" i="23"/>
  <c r="CE25" i="23"/>
  <c r="BM26" i="23"/>
  <c r="BY26" i="23"/>
  <c r="CC26" i="23"/>
  <c r="BK27" i="23"/>
  <c r="BO27" i="23"/>
  <c r="BS27" i="23"/>
  <c r="BW27" i="23"/>
  <c r="BM28" i="23"/>
  <c r="BQ28" i="23"/>
  <c r="CC28" i="23"/>
  <c r="BK29" i="23"/>
  <c r="BO29" i="23"/>
  <c r="BW29" i="23"/>
  <c r="CA29" i="23"/>
  <c r="BM30" i="23"/>
  <c r="BQ30" i="23"/>
  <c r="BK31" i="23"/>
  <c r="BO31" i="23"/>
  <c r="BS31" i="23"/>
  <c r="CA31" i="23"/>
  <c r="CE31" i="23"/>
  <c r="BM32" i="23"/>
  <c r="BQ32" i="23"/>
  <c r="CK32" i="23"/>
  <c r="BK33" i="23"/>
  <c r="BO33" i="23"/>
  <c r="BS33" i="23"/>
  <c r="BW33" i="23"/>
  <c r="BM34" i="23"/>
  <c r="BQ34" i="23"/>
  <c r="BK35" i="23"/>
  <c r="BO35" i="23"/>
  <c r="BS35" i="23"/>
  <c r="BM36" i="23"/>
  <c r="BQ36" i="23"/>
  <c r="BU36" i="23"/>
  <c r="BK37" i="23"/>
  <c r="BO37" i="23"/>
  <c r="BS37" i="23"/>
  <c r="BK12" i="23"/>
  <c r="CA12" i="23"/>
  <c r="BQ13" i="23"/>
  <c r="BS14" i="23"/>
  <c r="BU15" i="23"/>
  <c r="BJ17" i="23"/>
  <c r="BR17" i="23"/>
  <c r="CC17" i="23"/>
  <c r="BO18" i="23"/>
  <c r="BW18" i="23"/>
  <c r="BQ19" i="23"/>
  <c r="CH19" i="23"/>
  <c r="BP20" i="23"/>
  <c r="BQ21" i="23"/>
  <c r="BK22" i="23"/>
  <c r="BS22" i="23"/>
  <c r="BJ23" i="23"/>
  <c r="CF23" i="23"/>
  <c r="BJ24" i="23"/>
  <c r="BO24" i="23"/>
  <c r="BT24" i="23"/>
  <c r="BL25" i="23"/>
  <c r="BQ25" i="23"/>
  <c r="CD25" i="23"/>
  <c r="BN26" i="23"/>
  <c r="BR26" i="23"/>
  <c r="BJ27" i="23"/>
  <c r="BP27" i="23"/>
  <c r="BL28" i="23"/>
  <c r="BR28" i="23"/>
  <c r="BV28" i="23"/>
  <c r="BN29" i="23"/>
  <c r="CC29" i="23"/>
  <c r="CG29" i="23"/>
  <c r="BK30" i="23"/>
  <c r="BP30" i="23"/>
  <c r="BL31" i="23"/>
  <c r="BQ31" i="23"/>
  <c r="BZ31" i="23"/>
  <c r="CF31" i="23"/>
  <c r="BJ32" i="23"/>
  <c r="BO32" i="23"/>
  <c r="CJ32" i="23"/>
  <c r="BL33" i="23"/>
  <c r="BQ33" i="23"/>
  <c r="BV33" i="23"/>
  <c r="BN34" i="23"/>
  <c r="BS34" i="23"/>
  <c r="BW34" i="23"/>
  <c r="CE34" i="23"/>
  <c r="BN35" i="23"/>
  <c r="BT35" i="23"/>
  <c r="CB35" i="23"/>
  <c r="BJ36" i="23"/>
  <c r="BO36" i="23"/>
  <c r="BT36" i="23"/>
  <c r="BL37" i="23"/>
  <c r="BQ37" i="23"/>
  <c r="BL38" i="23"/>
  <c r="BP38" i="23"/>
  <c r="BT38" i="23"/>
  <c r="CF38" i="23"/>
  <c r="BJ39" i="23"/>
  <c r="BN39" i="23"/>
  <c r="BR39" i="23"/>
  <c r="BV39" i="23"/>
  <c r="BZ39" i="23"/>
  <c r="BL40" i="23"/>
  <c r="BP40" i="23"/>
  <c r="BT40" i="23"/>
  <c r="BJ41" i="23"/>
  <c r="BN41" i="23"/>
  <c r="BL42" i="23"/>
  <c r="BP42" i="23"/>
  <c r="BT42" i="23"/>
  <c r="BJ43" i="23"/>
  <c r="BN43" i="23"/>
  <c r="BR43" i="23"/>
  <c r="BL44" i="23"/>
  <c r="BP44" i="23"/>
  <c r="BT44" i="23"/>
  <c r="BJ45" i="23"/>
  <c r="BN45" i="23"/>
  <c r="BL46" i="23"/>
  <c r="BP46" i="23"/>
  <c r="BM13" i="23"/>
  <c r="BU13" i="23"/>
  <c r="BO14" i="23"/>
  <c r="BQ15" i="23"/>
  <c r="CC15" i="23"/>
  <c r="BO16" i="23"/>
  <c r="CA16" i="23"/>
  <c r="BQ17" i="23"/>
  <c r="BL18" i="23"/>
  <c r="BT18" i="23"/>
  <c r="BN19" i="23"/>
  <c r="BO20" i="23"/>
  <c r="BN21" i="23"/>
  <c r="BZ21" i="23"/>
  <c r="BP22" i="23"/>
  <c r="BQ23" i="23"/>
  <c r="BV23" i="23"/>
  <c r="BN24" i="23"/>
  <c r="BS24" i="23"/>
  <c r="BJ25" i="23"/>
  <c r="BP25" i="23"/>
  <c r="BL26" i="23"/>
  <c r="CE26" i="23"/>
  <c r="BN27" i="23"/>
  <c r="BK28" i="23"/>
  <c r="BP28" i="23"/>
  <c r="BM29" i="23"/>
  <c r="BV29" i="23"/>
  <c r="CB29" i="23"/>
  <c r="CF29" i="23"/>
  <c r="BJ30" i="23"/>
  <c r="BO30" i="23"/>
  <c r="BJ31" i="23"/>
  <c r="BP31" i="23"/>
  <c r="BU31" i="23"/>
  <c r="CD31" i="23"/>
  <c r="BN32" i="23"/>
  <c r="BS32" i="23"/>
  <c r="BJ33" i="23"/>
  <c r="BP33" i="23"/>
  <c r="BU33" i="23"/>
  <c r="BL34" i="23"/>
  <c r="BR34" i="23"/>
  <c r="BV34" i="23"/>
  <c r="CD34" i="23"/>
  <c r="BM35" i="23"/>
  <c r="BR35" i="23"/>
  <c r="BN36" i="23"/>
  <c r="BS36" i="23"/>
  <c r="BJ37" i="23"/>
  <c r="BP37" i="23"/>
  <c r="BU37" i="23"/>
  <c r="BK38" i="23"/>
  <c r="BO38" i="23"/>
  <c r="BS38" i="23"/>
  <c r="BW38" i="23"/>
  <c r="BM39" i="23"/>
  <c r="BU39" i="23"/>
  <c r="CC39" i="23"/>
  <c r="CK39" i="23"/>
  <c r="BK40" i="23"/>
  <c r="BO40" i="23"/>
  <c r="BS40" i="23"/>
  <c r="BM41" i="23"/>
  <c r="BQ41" i="23"/>
  <c r="BU41" i="23"/>
  <c r="BY41" i="23"/>
  <c r="BK42" i="23"/>
  <c r="BO42" i="23"/>
  <c r="BS42" i="23"/>
  <c r="BM43" i="23"/>
  <c r="BQ43" i="23"/>
  <c r="BU43" i="23"/>
  <c r="BK44" i="23"/>
  <c r="BO44" i="23"/>
  <c r="BM45" i="23"/>
  <c r="BQ45" i="23"/>
  <c r="BU45" i="23"/>
  <c r="CG45" i="23"/>
  <c r="BK46" i="23"/>
  <c r="BO46" i="23"/>
  <c r="BS46" i="23"/>
  <c r="BW46" i="23"/>
  <c r="CE46" i="23"/>
  <c r="BM47" i="23"/>
  <c r="BQ47" i="23"/>
  <c r="BU47" i="23"/>
  <c r="BO12" i="23"/>
  <c r="BK16" i="23"/>
  <c r="BM17" i="23"/>
  <c r="BS18" i="23"/>
  <c r="BS20" i="23"/>
  <c r="BJ21" i="23"/>
  <c r="BL22" i="23"/>
  <c r="BR24" i="23"/>
  <c r="BN25" i="23"/>
  <c r="BJ26" i="23"/>
  <c r="BM27" i="23"/>
  <c r="BO28" i="23"/>
  <c r="BW28" i="23"/>
  <c r="BJ29" i="23"/>
  <c r="BN30" i="23"/>
  <c r="BN31" i="23"/>
  <c r="BK32" i="23"/>
  <c r="BR33" i="23"/>
  <c r="BO34" i="23"/>
  <c r="BK36" i="23"/>
  <c r="BV36" i="23"/>
  <c r="BR37" i="23"/>
  <c r="BJ38" i="23"/>
  <c r="BR38" i="23"/>
  <c r="BO39" i="23"/>
  <c r="BT39" i="23"/>
  <c r="CA39" i="23"/>
  <c r="CJ39" i="23"/>
  <c r="BM40" i="23"/>
  <c r="BU40" i="23"/>
  <c r="BL41" i="23"/>
  <c r="BX41" i="23"/>
  <c r="BM42" i="23"/>
  <c r="BU42" i="23"/>
  <c r="BL43" i="23"/>
  <c r="BT43" i="23"/>
  <c r="BM44" i="23"/>
  <c r="BK45" i="23"/>
  <c r="BJ46" i="23"/>
  <c r="BR46" i="23"/>
  <c r="BK47" i="23"/>
  <c r="BP47" i="23"/>
  <c r="CD47" i="23"/>
  <c r="BL48" i="23"/>
  <c r="BP48" i="23"/>
  <c r="BT48" i="23"/>
  <c r="CB48" i="23"/>
  <c r="BJ49" i="23"/>
  <c r="BN49" i="23"/>
  <c r="BR49" i="23"/>
  <c r="BV49" i="23"/>
  <c r="BL50" i="23"/>
  <c r="BP50" i="23"/>
  <c r="BT50" i="23"/>
  <c r="BJ51" i="23"/>
  <c r="BN51" i="23"/>
  <c r="BR51" i="23"/>
  <c r="BV51" i="23"/>
  <c r="BL52" i="23"/>
  <c r="BP52" i="23"/>
  <c r="CB52" i="23"/>
  <c r="CF52" i="23"/>
  <c r="BJ53" i="23"/>
  <c r="BN53" i="23"/>
  <c r="BR53" i="23"/>
  <c r="BV53" i="23"/>
  <c r="BZ53" i="23"/>
  <c r="BL54" i="23"/>
  <c r="BP54" i="23"/>
  <c r="BJ55" i="23"/>
  <c r="BN55" i="23"/>
  <c r="BV55" i="23"/>
  <c r="BL56" i="23"/>
  <c r="BP56" i="23"/>
  <c r="BJ57" i="23"/>
  <c r="BN57" i="23"/>
  <c r="BR57" i="23"/>
  <c r="BV57" i="23"/>
  <c r="BL58" i="23"/>
  <c r="BP58" i="23"/>
  <c r="BJ59" i="23"/>
  <c r="BN59" i="23"/>
  <c r="BR59" i="23"/>
  <c r="BZ59" i="23"/>
  <c r="BL60" i="23"/>
  <c r="BP60" i="23"/>
  <c r="BT60" i="23"/>
  <c r="BJ61" i="23"/>
  <c r="BN61" i="23"/>
  <c r="BR61" i="23"/>
  <c r="BL62" i="23"/>
  <c r="BP62" i="23"/>
  <c r="BT62" i="23"/>
  <c r="BX62" i="23"/>
  <c r="BJ63" i="23"/>
  <c r="BN63" i="23"/>
  <c r="BR63" i="23"/>
  <c r="BV63" i="23"/>
  <c r="BL64" i="23"/>
  <c r="BP64" i="23"/>
  <c r="BT64" i="23"/>
  <c r="BJ65" i="23"/>
  <c r="BN65" i="23"/>
  <c r="BR65" i="23"/>
  <c r="BV65" i="23"/>
  <c r="BL66" i="23"/>
  <c r="CB66" i="23"/>
  <c r="CJ66" i="23"/>
  <c r="BJ67" i="23"/>
  <c r="BN67" i="23"/>
  <c r="BV67" i="23"/>
  <c r="CH67" i="23"/>
  <c r="BL68" i="23"/>
  <c r="BP68" i="23"/>
  <c r="BT68" i="23"/>
  <c r="BJ69" i="23"/>
  <c r="BN69" i="23"/>
  <c r="BL70" i="23"/>
  <c r="BT70" i="23"/>
  <c r="CB70" i="23"/>
  <c r="BJ71" i="23"/>
  <c r="BN71" i="23"/>
  <c r="BR71" i="23"/>
  <c r="BL72" i="23"/>
  <c r="CB72" i="23"/>
  <c r="BJ73" i="23"/>
  <c r="BN73" i="23"/>
  <c r="BV73" i="23"/>
  <c r="BL74" i="23"/>
  <c r="BT74" i="23"/>
  <c r="CB74" i="23"/>
  <c r="BJ75" i="23"/>
  <c r="BN75" i="23"/>
  <c r="BL76" i="23"/>
  <c r="BM15" i="23"/>
  <c r="BT16" i="23"/>
  <c r="BP18" i="23"/>
  <c r="BR19" i="23"/>
  <c r="BL20" i="23"/>
  <c r="BU21" i="23"/>
  <c r="BP24" i="23"/>
  <c r="BM25" i="23"/>
  <c r="BL27" i="23"/>
  <c r="BN28" i="23"/>
  <c r="BQ29" i="23"/>
  <c r="BL30" i="23"/>
  <c r="BM31" i="23"/>
  <c r="BR32" i="23"/>
  <c r="BN33" i="23"/>
  <c r="BK34" i="23"/>
  <c r="BL35" i="23"/>
  <c r="BR36" i="23"/>
  <c r="BN37" i="23"/>
  <c r="BQ38" i="23"/>
  <c r="CG38" i="23"/>
  <c r="BL39" i="23"/>
  <c r="BS39" i="23"/>
  <c r="BJ40" i="23"/>
  <c r="BR40" i="23"/>
  <c r="BK41" i="23"/>
  <c r="BJ42" i="23"/>
  <c r="BR42" i="23"/>
  <c r="BK43" i="23"/>
  <c r="BS43" i="23"/>
  <c r="BJ44" i="23"/>
  <c r="BP45" i="23"/>
  <c r="BQ46" i="23"/>
  <c r="BV46" i="23"/>
  <c r="BJ47" i="23"/>
  <c r="BO47" i="23"/>
  <c r="BT47" i="23"/>
  <c r="BK48" i="23"/>
  <c r="BO48" i="23"/>
  <c r="BS48" i="23"/>
  <c r="BM49" i="23"/>
  <c r="BQ49" i="23"/>
  <c r="CC49" i="23"/>
  <c r="BK50" i="23"/>
  <c r="BO50" i="23"/>
  <c r="BS50" i="23"/>
  <c r="BM51" i="23"/>
  <c r="BQ51" i="23"/>
  <c r="BU51" i="23"/>
  <c r="BK52" i="23"/>
  <c r="BO52" i="23"/>
  <c r="BS52" i="23"/>
  <c r="BW52" i="23"/>
  <c r="CE52" i="23"/>
  <c r="BM53" i="23"/>
  <c r="BQ53" i="23"/>
  <c r="CG53" i="23"/>
  <c r="BK54" i="23"/>
  <c r="BO54" i="23"/>
  <c r="BS54" i="23"/>
  <c r="BW54" i="23"/>
  <c r="BM55" i="23"/>
  <c r="BQ55" i="23"/>
  <c r="CK55" i="23"/>
  <c r="BK56" i="23"/>
  <c r="BO56" i="23"/>
  <c r="BS56" i="23"/>
  <c r="CA56" i="23"/>
  <c r="BM57" i="23"/>
  <c r="BQ57" i="23"/>
  <c r="BU57" i="23"/>
  <c r="BK58" i="23"/>
  <c r="BO58" i="23"/>
  <c r="BS58" i="23"/>
  <c r="BW58" i="23"/>
  <c r="CA58" i="23"/>
  <c r="BM59" i="23"/>
  <c r="BQ59" i="23"/>
  <c r="BU59" i="23"/>
  <c r="BK60" i="23"/>
  <c r="BO60" i="23"/>
  <c r="BS60" i="23"/>
  <c r="CA60" i="23"/>
  <c r="CE60" i="23"/>
  <c r="BM61" i="23"/>
  <c r="BQ61" i="23"/>
  <c r="CC61" i="23"/>
  <c r="BK62" i="23"/>
  <c r="BO62" i="23"/>
  <c r="BM63" i="23"/>
  <c r="BQ63" i="23"/>
  <c r="BK64" i="23"/>
  <c r="BO64" i="23"/>
  <c r="BS64" i="23"/>
  <c r="BM65" i="23"/>
  <c r="BQ65" i="23"/>
  <c r="BK66" i="23"/>
  <c r="BO66" i="23"/>
  <c r="BS66" i="23"/>
  <c r="BM67" i="23"/>
  <c r="BQ67" i="23"/>
  <c r="BU67" i="23"/>
  <c r="BK68" i="23"/>
  <c r="BO68" i="23"/>
  <c r="CA68" i="23"/>
  <c r="BM69" i="23"/>
  <c r="BQ69" i="23"/>
  <c r="BU69" i="23"/>
  <c r="CG69" i="23"/>
  <c r="BK70" i="23"/>
  <c r="BO70" i="23"/>
  <c r="BS70" i="23"/>
  <c r="BM71" i="23"/>
  <c r="BU71" i="23"/>
  <c r="CC71" i="23"/>
  <c r="BK72" i="23"/>
  <c r="BO72" i="23"/>
  <c r="BS72" i="23"/>
  <c r="BW72" i="23"/>
  <c r="BM73" i="23"/>
  <c r="BQ73" i="23"/>
  <c r="BU73" i="23"/>
  <c r="BK74" i="23"/>
  <c r="BO74" i="23"/>
  <c r="BS74" i="23"/>
  <c r="BM75" i="23"/>
  <c r="BU75" i="23"/>
  <c r="CC75" i="23"/>
  <c r="CG75" i="23"/>
  <c r="BK76" i="23"/>
  <c r="BO76" i="23"/>
  <c r="BS76" i="23"/>
  <c r="BW76" i="23"/>
  <c r="BM77" i="23"/>
  <c r="BQ77" i="23"/>
  <c r="BU77" i="23"/>
  <c r="BK78" i="23"/>
  <c r="BO78" i="23"/>
  <c r="BW78" i="23"/>
  <c r="BM79" i="23"/>
  <c r="BQ79" i="23"/>
  <c r="BU79" i="23"/>
  <c r="BK80" i="23"/>
  <c r="BO80" i="23"/>
  <c r="BS80" i="23"/>
  <c r="CE80" i="23"/>
  <c r="BM81" i="23"/>
  <c r="BQ81" i="23"/>
  <c r="BU81" i="23"/>
  <c r="CG81" i="23"/>
  <c r="BK82" i="23"/>
  <c r="BO82" i="23"/>
  <c r="BS82" i="23"/>
  <c r="BM83" i="23"/>
  <c r="BQ83" i="23"/>
  <c r="BK84" i="23"/>
  <c r="BO84" i="23"/>
  <c r="BM85" i="23"/>
  <c r="BQ85" i="23"/>
  <c r="BK86" i="23"/>
  <c r="BO86" i="23"/>
  <c r="BM87" i="23"/>
  <c r="BQ87" i="23"/>
  <c r="BK88" i="23"/>
  <c r="BO88" i="23"/>
  <c r="BM89" i="23"/>
  <c r="BQ89" i="23"/>
  <c r="BK90" i="23"/>
  <c r="BO90" i="23"/>
  <c r="BM91" i="23"/>
  <c r="BK14" i="23"/>
  <c r="BN17" i="23"/>
  <c r="CD17" i="23"/>
  <c r="BO22" i="23"/>
  <c r="BM23" i="23"/>
  <c r="BU23" i="23"/>
  <c r="BK24" i="23"/>
  <c r="BZ25" i="23"/>
  <c r="BO26" i="23"/>
  <c r="BX26" i="23"/>
  <c r="CD26" i="23"/>
  <c r="BR31" i="23"/>
  <c r="CG31" i="23"/>
  <c r="BP32" i="23"/>
  <c r="BT33" i="23"/>
  <c r="BL36" i="23"/>
  <c r="BT37" i="23"/>
  <c r="BN38" i="23"/>
  <c r="BW39" i="23"/>
  <c r="BN40" i="23"/>
  <c r="BO41" i="23"/>
  <c r="BT41" i="23"/>
  <c r="BL45" i="23"/>
  <c r="BT45" i="23"/>
  <c r="BT46" i="23"/>
  <c r="CD46" i="23"/>
  <c r="BS47" i="23"/>
  <c r="BN48" i="23"/>
  <c r="BP49" i="23"/>
  <c r="BW49" i="23"/>
  <c r="BJ50" i="23"/>
  <c r="BR50" i="23"/>
  <c r="BK51" i="23"/>
  <c r="BS51" i="23"/>
  <c r="BM52" i="23"/>
  <c r="CD52" i="23"/>
  <c r="BK53" i="23"/>
  <c r="BS53" i="23"/>
  <c r="BN54" i="23"/>
  <c r="BO55" i="23"/>
  <c r="BN56" i="23"/>
  <c r="BO57" i="23"/>
  <c r="BW57" i="23"/>
  <c r="BQ58" i="23"/>
  <c r="BV58" i="23"/>
  <c r="BK59" i="23"/>
  <c r="BS59" i="23"/>
  <c r="BM60" i="23"/>
  <c r="BU60" i="23"/>
  <c r="CD60" i="23"/>
  <c r="BP61" i="23"/>
  <c r="BQ62" i="23"/>
  <c r="BP63" i="23"/>
  <c r="BW63" i="23"/>
  <c r="BQ64" i="23"/>
  <c r="BP65" i="23"/>
  <c r="BW65" i="23"/>
  <c r="BP67" i="23"/>
  <c r="BW67" i="23"/>
  <c r="BJ68" i="23"/>
  <c r="BK69" i="23"/>
  <c r="BJ70" i="23"/>
  <c r="BK71" i="23"/>
  <c r="BJ72" i="23"/>
  <c r="BV72" i="23"/>
  <c r="BK73" i="23"/>
  <c r="BJ74" i="23"/>
  <c r="BK75" i="23"/>
  <c r="BJ76" i="23"/>
  <c r="BQ76" i="23"/>
  <c r="BV76" i="23"/>
  <c r="BN77" i="23"/>
  <c r="BJ78" i="23"/>
  <c r="BP78" i="23"/>
  <c r="BT78" i="23"/>
  <c r="BK79" i="23"/>
  <c r="BP79" i="23"/>
  <c r="BV79" i="23"/>
  <c r="BM80" i="23"/>
  <c r="BR80" i="23"/>
  <c r="BJ81" i="23"/>
  <c r="BO81" i="23"/>
  <c r="BT81" i="23"/>
  <c r="BM82" i="23"/>
  <c r="BR82" i="23"/>
  <c r="BN83" i="23"/>
  <c r="BN84" i="23"/>
  <c r="BN85" i="23"/>
  <c r="BN86" i="23"/>
  <c r="BN87" i="23"/>
  <c r="BN88" i="23"/>
  <c r="BN89" i="23"/>
  <c r="BN90" i="23"/>
  <c r="BN91" i="23"/>
  <c r="BL92" i="23"/>
  <c r="BP92" i="23"/>
  <c r="BJ93" i="23"/>
  <c r="BN93" i="23"/>
  <c r="BL94" i="23"/>
  <c r="BP94" i="23"/>
  <c r="BJ95" i="23"/>
  <c r="BN95" i="23"/>
  <c r="BL96" i="23"/>
  <c r="BP96" i="23"/>
  <c r="BJ97" i="23"/>
  <c r="BN97" i="23"/>
  <c r="BL98" i="23"/>
  <c r="BP98" i="23"/>
  <c r="BJ99" i="23"/>
  <c r="BN99" i="23"/>
  <c r="BR99" i="23"/>
  <c r="BV99" i="23"/>
  <c r="BL100" i="23"/>
  <c r="BP100" i="23"/>
  <c r="BJ101" i="23"/>
  <c r="BN101" i="23"/>
  <c r="BR101" i="23"/>
  <c r="BL102" i="23"/>
  <c r="BP102" i="23"/>
  <c r="BJ103" i="23"/>
  <c r="BN103" i="23"/>
  <c r="BL104" i="23"/>
  <c r="BP104" i="23"/>
  <c r="BJ105" i="23"/>
  <c r="BN105" i="23"/>
  <c r="BL106" i="23"/>
  <c r="BP106" i="23"/>
  <c r="BJ107" i="23"/>
  <c r="BN107" i="23"/>
  <c r="BR107" i="23"/>
  <c r="BL108" i="23"/>
  <c r="BP108" i="23"/>
  <c r="BM19" i="23"/>
  <c r="CB20" i="23"/>
  <c r="BR21" i="23"/>
  <c r="BK26" i="23"/>
  <c r="BS26" i="23"/>
  <c r="CB26" i="23"/>
  <c r="BS28" i="23"/>
  <c r="BS30" i="23"/>
  <c r="BW30" i="23"/>
  <c r="CA30" i="23"/>
  <c r="CE30" i="23"/>
  <c r="BL32" i="23"/>
  <c r="BM33" i="23"/>
  <c r="BJ35" i="23"/>
  <c r="BM37" i="23"/>
  <c r="BM38" i="23"/>
  <c r="CB39" i="23"/>
  <c r="CF45" i="23"/>
  <c r="BN46" i="23"/>
  <c r="BR47" i="23"/>
  <c r="BM48" i="23"/>
  <c r="BU48" i="23"/>
  <c r="BO49" i="23"/>
  <c r="BQ50" i="23"/>
  <c r="BP51" i="23"/>
  <c r="BJ52" i="23"/>
  <c r="BR52" i="23"/>
  <c r="CC52" i="23"/>
  <c r="BP53" i="23"/>
  <c r="BW53" i="23"/>
  <c r="CF53" i="23"/>
  <c r="BM54" i="23"/>
  <c r="BL55" i="23"/>
  <c r="CJ55" i="23"/>
  <c r="BM56" i="23"/>
  <c r="BL57" i="23"/>
  <c r="BT57" i="23"/>
  <c r="BN58" i="23"/>
  <c r="BZ58" i="23"/>
  <c r="BP59" i="23"/>
  <c r="BJ60" i="23"/>
  <c r="BR60" i="23"/>
  <c r="BO61" i="23"/>
  <c r="BN62" i="23"/>
  <c r="BU62" i="23"/>
  <c r="BO63" i="23"/>
  <c r="BN64" i="23"/>
  <c r="BO65" i="23"/>
  <c r="BN66" i="23"/>
  <c r="CC66" i="23"/>
  <c r="BO67" i="23"/>
  <c r="BT67" i="23"/>
  <c r="CI67" i="23"/>
  <c r="BQ68" i="23"/>
  <c r="BZ68" i="23"/>
  <c r="BP69" i="23"/>
  <c r="BP73" i="23"/>
  <c r="BW73" i="23"/>
  <c r="BT75" i="23"/>
  <c r="BP76" i="23"/>
  <c r="BL77" i="23"/>
  <c r="CA77" i="23"/>
  <c r="BN78" i="23"/>
  <c r="BJ79" i="23"/>
  <c r="BO79" i="23"/>
  <c r="BT79" i="23"/>
  <c r="BL80" i="23"/>
  <c r="BQ80" i="23"/>
  <c r="CD80" i="23"/>
  <c r="BN81" i="23"/>
  <c r="CF81" i="23"/>
  <c r="BL82" i="23"/>
  <c r="BQ82" i="23"/>
  <c r="BL83" i="23"/>
  <c r="BM84" i="23"/>
  <c r="BL85" i="23"/>
  <c r="BM86" i="23"/>
  <c r="BL87" i="23"/>
  <c r="BM88" i="23"/>
  <c r="BL89" i="23"/>
  <c r="BM90" i="23"/>
  <c r="BL91" i="23"/>
  <c r="BQ91" i="23"/>
  <c r="BK92" i="23"/>
  <c r="BO92" i="23"/>
  <c r="BM93" i="23"/>
  <c r="BQ93" i="23"/>
  <c r="BK94" i="23"/>
  <c r="BO94" i="23"/>
  <c r="BM95" i="23"/>
  <c r="BQ95" i="23"/>
  <c r="BK96" i="23"/>
  <c r="BO96" i="23"/>
  <c r="BM97" i="23"/>
  <c r="BQ97" i="23"/>
  <c r="BK98" i="23"/>
  <c r="BO98" i="23"/>
  <c r="BM99" i="23"/>
  <c r="BQ99" i="23"/>
  <c r="BU99" i="23"/>
  <c r="BK100" i="23"/>
  <c r="BO100" i="23"/>
  <c r="BM101" i="23"/>
  <c r="BQ101" i="23"/>
  <c r="BU101" i="23"/>
  <c r="BK102" i="23"/>
  <c r="BO102" i="23"/>
  <c r="BM103" i="23"/>
  <c r="BQ103" i="23"/>
  <c r="BK104" i="23"/>
  <c r="BO104" i="23"/>
  <c r="BM105" i="23"/>
  <c r="BQ105" i="23"/>
  <c r="BK106" i="23"/>
  <c r="BO106" i="23"/>
  <c r="BM107" i="23"/>
  <c r="BQ107" i="23"/>
  <c r="CC107" i="23"/>
  <c r="BK108" i="23"/>
  <c r="BO108" i="23"/>
  <c r="CA14" i="23"/>
  <c r="CG23" i="23"/>
  <c r="BQ27" i="23"/>
  <c r="BV27" i="23"/>
  <c r="CB28" i="23"/>
  <c r="BP29" i="23"/>
  <c r="BR30" i="23"/>
  <c r="CC35" i="23"/>
  <c r="BW36" i="23"/>
  <c r="BV38" i="23"/>
  <c r="BQ40" i="23"/>
  <c r="BM46" i="23"/>
  <c r="BL47" i="23"/>
  <c r="BQ48" i="23"/>
  <c r="CC48" i="23"/>
  <c r="BL49" i="23"/>
  <c r="CB49" i="23"/>
  <c r="BN50" i="23"/>
  <c r="BL51" i="23"/>
  <c r="BN52" i="23"/>
  <c r="BV52" i="23"/>
  <c r="BL53" i="23"/>
  <c r="BP55" i="23"/>
  <c r="BJ56" i="23"/>
  <c r="BS57" i="23"/>
  <c r="BL59" i="23"/>
  <c r="BN60" i="23"/>
  <c r="CB61" i="23"/>
  <c r="BM62" i="23"/>
  <c r="BK63" i="23"/>
  <c r="BU64" i="23"/>
  <c r="BL65" i="23"/>
  <c r="BJ66" i="23"/>
  <c r="BR66" i="23"/>
  <c r="BM68" i="23"/>
  <c r="BU68" i="23"/>
  <c r="CF69" i="23"/>
  <c r="BN70" i="23"/>
  <c r="BU70" i="23"/>
  <c r="CC72" i="23"/>
  <c r="BO73" i="23"/>
  <c r="BM74" i="23"/>
  <c r="BR74" i="23"/>
  <c r="CC74" i="23"/>
  <c r="BO75" i="23"/>
  <c r="BO77" i="23"/>
  <c r="BT77" i="23"/>
  <c r="BQ78" i="23"/>
  <c r="BV78" i="23"/>
  <c r="BS79" i="23"/>
  <c r="BP80" i="23"/>
  <c r="BL81" i="23"/>
  <c r="BJ82" i="23"/>
  <c r="CC82" i="23"/>
  <c r="BK83" i="23"/>
  <c r="BQ84" i="23"/>
  <c r="BK85" i="23"/>
  <c r="BQ86" i="23"/>
  <c r="BK87" i="23"/>
  <c r="BQ88" i="23"/>
  <c r="BK89" i="23"/>
  <c r="BQ90" i="23"/>
  <c r="BK91" i="23"/>
  <c r="BQ92" i="23"/>
  <c r="BL93" i="23"/>
  <c r="BQ94" i="23"/>
  <c r="BL95" i="23"/>
  <c r="BQ96" i="23"/>
  <c r="BL97" i="23"/>
  <c r="BQ98" i="23"/>
  <c r="BL99" i="23"/>
  <c r="BT99" i="23"/>
  <c r="BN100" i="23"/>
  <c r="BK101" i="23"/>
  <c r="BS101" i="23"/>
  <c r="BJ102" i="23"/>
  <c r="BO103" i="23"/>
  <c r="BJ104" i="23"/>
  <c r="BO105" i="23"/>
  <c r="BJ106" i="23"/>
  <c r="BO107" i="23"/>
  <c r="BN108" i="23"/>
  <c r="BK18" i="23"/>
  <c r="BK20" i="23"/>
  <c r="CB22" i="23"/>
  <c r="BZ30" i="23"/>
  <c r="BT31" i="23"/>
  <c r="BP34" i="23"/>
  <c r="BN42" i="23"/>
  <c r="BO43" i="23"/>
  <c r="BN44" i="23"/>
  <c r="BU44" i="23"/>
  <c r="CE47" i="23"/>
  <c r="BT51" i="23"/>
  <c r="CA53" i="23"/>
  <c r="BQ54" i="23"/>
  <c r="BV54" i="23"/>
  <c r="BR56" i="23"/>
  <c r="BK57" i="23"/>
  <c r="BM58" i="23"/>
  <c r="BT59" i="23"/>
  <c r="BZ60" i="23"/>
  <c r="BL61" i="23"/>
  <c r="BS63" i="23"/>
  <c r="BM64" i="23"/>
  <c r="BK67" i="23"/>
  <c r="BO69" i="23"/>
  <c r="BL71" i="23"/>
  <c r="BS71" i="23"/>
  <c r="CB71" i="23"/>
  <c r="BN72" i="23"/>
  <c r="CF75" i="23"/>
  <c r="BN76" i="23"/>
  <c r="BJ77" i="23"/>
  <c r="BL78" i="23"/>
  <c r="BN79" i="23"/>
  <c r="BJ80" i="23"/>
  <c r="BU80" i="23"/>
  <c r="BP82" i="23"/>
  <c r="BP83" i="23"/>
  <c r="BL84" i="23"/>
  <c r="BP85" i="23"/>
  <c r="BL86" i="23"/>
  <c r="BP87" i="23"/>
  <c r="BL88" i="23"/>
  <c r="BP89" i="23"/>
  <c r="BL90" i="23"/>
  <c r="BP91" i="23"/>
  <c r="BM92" i="23"/>
  <c r="BP93" i="23"/>
  <c r="BM94" i="23"/>
  <c r="BP95" i="23"/>
  <c r="BM96" i="23"/>
  <c r="BP97" i="23"/>
  <c r="BM98" i="23"/>
  <c r="BP99" i="23"/>
  <c r="BJ100" i="23"/>
  <c r="BO101" i="23"/>
  <c r="BN102" i="23"/>
  <c r="BK103" i="23"/>
  <c r="BN104" i="23"/>
  <c r="BK105" i="23"/>
  <c r="BN106" i="23"/>
  <c r="BK107" i="23"/>
  <c r="BS107" i="23"/>
  <c r="BJ108" i="23"/>
  <c r="BU17" i="23"/>
  <c r="BJ19" i="23"/>
  <c r="BL24" i="23"/>
  <c r="BL29" i="23"/>
  <c r="BZ29" i="23"/>
  <c r="BV30" i="23"/>
  <c r="BP36" i="23"/>
  <c r="BU38" i="23"/>
  <c r="BK39" i="23"/>
  <c r="BP41" i="23"/>
  <c r="BQ42" i="23"/>
  <c r="BP43" i="23"/>
  <c r="BQ44" i="23"/>
  <c r="BJ48" i="23"/>
  <c r="BK49" i="23"/>
  <c r="BM50" i="23"/>
  <c r="BW51" i="23"/>
  <c r="BR54" i="23"/>
  <c r="BK55" i="23"/>
  <c r="BP57" i="23"/>
  <c r="BR58" i="23"/>
  <c r="CA59" i="23"/>
  <c r="BS61" i="23"/>
  <c r="BJ62" i="23"/>
  <c r="BR64" i="23"/>
  <c r="BK65" i="23"/>
  <c r="CK66" i="23"/>
  <c r="BL67" i="23"/>
  <c r="BM70" i="23"/>
  <c r="BR70" i="23"/>
  <c r="CC70" i="23"/>
  <c r="BO71" i="23"/>
  <c r="BT71" i="23"/>
  <c r="BL73" i="23"/>
  <c r="BT73" i="23"/>
  <c r="BL75" i="23"/>
  <c r="CB75" i="23"/>
  <c r="BR76" i="23"/>
  <c r="BK77" i="23"/>
  <c r="BM78" i="23"/>
  <c r="BU78" i="23"/>
  <c r="BR79" i="23"/>
  <c r="BN80" i="23"/>
  <c r="BK81" i="23"/>
  <c r="CB82" i="23"/>
  <c r="BJ83" i="23"/>
  <c r="BP84" i="23"/>
  <c r="BJ85" i="23"/>
  <c r="BP86" i="23"/>
  <c r="BJ87" i="23"/>
  <c r="BP88" i="23"/>
  <c r="BJ89" i="23"/>
  <c r="BP90" i="23"/>
  <c r="BJ91" i="23"/>
  <c r="BN92" i="23"/>
  <c r="BK93" i="23"/>
  <c r="BN94" i="23"/>
  <c r="BK95" i="23"/>
  <c r="BN96" i="23"/>
  <c r="BK97" i="23"/>
  <c r="BN98" i="23"/>
  <c r="BK99" i="23"/>
  <c r="BS99" i="23"/>
  <c r="BM100" i="23"/>
  <c r="BP101" i="23"/>
  <c r="BQ102" i="23"/>
  <c r="BL103" i="23"/>
  <c r="BQ104" i="23"/>
  <c r="BL105" i="23"/>
  <c r="BQ106" i="23"/>
  <c r="BL107" i="23"/>
  <c r="CB107" i="23"/>
  <c r="BM108" i="23"/>
  <c r="BM21" i="23"/>
  <c r="BR27" i="23"/>
  <c r="CD30" i="23"/>
  <c r="BU50" i="23"/>
  <c r="BQ52" i="23"/>
  <c r="BW55" i="23"/>
  <c r="BO59" i="23"/>
  <c r="BK61" i="23"/>
  <c r="BS65" i="23"/>
  <c r="BT69" i="23"/>
  <c r="BR72" i="23"/>
  <c r="BP77" i="23"/>
  <c r="BT80" i="23"/>
  <c r="BN82" i="23"/>
  <c r="BJ86" i="23"/>
  <c r="BJ90" i="23"/>
  <c r="BJ94" i="23"/>
  <c r="BJ98" i="23"/>
  <c r="BW99" i="23"/>
  <c r="BL101" i="23"/>
  <c r="BM102" i="23"/>
  <c r="BM106" i="23"/>
  <c r="BN47" i="23"/>
  <c r="BJ54" i="23"/>
  <c r="BQ60" i="23"/>
  <c r="BJ64" i="23"/>
  <c r="BL69" i="23"/>
  <c r="BM72" i="23"/>
  <c r="BM76" i="23"/>
  <c r="BP81" i="23"/>
  <c r="BO85" i="23"/>
  <c r="BO89" i="23"/>
  <c r="BO93" i="23"/>
  <c r="BO97" i="23"/>
  <c r="BQ100" i="23"/>
  <c r="BT101" i="23"/>
  <c r="BP105" i="23"/>
  <c r="BU35" i="23"/>
  <c r="BU46" i="23"/>
  <c r="BR48" i="23"/>
  <c r="BO53" i="23"/>
  <c r="BZ56" i="23"/>
  <c r="BL63" i="23"/>
  <c r="BN68" i="23"/>
  <c r="BU74" i="23"/>
  <c r="BL79" i="23"/>
  <c r="BJ84" i="23"/>
  <c r="BJ88" i="23"/>
  <c r="BJ92" i="23"/>
  <c r="BJ96" i="23"/>
  <c r="BM104" i="23"/>
  <c r="BQ108" i="23"/>
  <c r="BJ34" i="23"/>
  <c r="BS49" i="23"/>
  <c r="BM66" i="23"/>
  <c r="BZ77" i="23"/>
  <c r="BO83" i="23"/>
  <c r="BO99" i="23"/>
  <c r="BP107" i="23"/>
  <c r="CD11" i="23"/>
  <c r="BV11" i="23"/>
  <c r="BR11" i="23"/>
  <c r="BN11" i="23"/>
  <c r="BJ11" i="23"/>
  <c r="BO45" i="23"/>
  <c r="BW11" i="23"/>
  <c r="BK11" i="23"/>
  <c r="BJ28" i="23"/>
  <c r="BO87" i="23"/>
  <c r="CG11" i="23"/>
  <c r="CC11" i="23"/>
  <c r="BQ11" i="23"/>
  <c r="BM11" i="23"/>
  <c r="BO51" i="23"/>
  <c r="BY62" i="23"/>
  <c r="BN74" i="23"/>
  <c r="BW79" i="23"/>
  <c r="BO95" i="23"/>
  <c r="BP103" i="23"/>
  <c r="CE11" i="23"/>
  <c r="BS11" i="23"/>
  <c r="BN23" i="23"/>
  <c r="CG52" i="23"/>
  <c r="BJ58" i="23"/>
  <c r="BO91" i="23"/>
  <c r="CF11" i="23"/>
  <c r="CB11" i="23"/>
  <c r="BP11" i="23"/>
  <c r="BL11" i="23"/>
  <c r="BQ56" i="23"/>
  <c r="BO11" i="23"/>
  <c r="E53" i="36"/>
  <c r="X53" i="36"/>
  <c r="P54" i="36"/>
  <c r="AF54" i="36"/>
  <c r="U61" i="36"/>
  <c r="K54" i="36"/>
  <c r="I53" i="9"/>
  <c r="M53" i="36"/>
  <c r="S54" i="36"/>
  <c r="E61" i="36"/>
  <c r="X61" i="36"/>
  <c r="U53" i="36"/>
  <c r="I61" i="9"/>
  <c r="P53" i="36"/>
  <c r="AF53" i="36"/>
  <c r="X54" i="36"/>
  <c r="M61" i="36"/>
  <c r="AF61" i="36"/>
  <c r="G17" i="9"/>
  <c r="G14" i="9"/>
  <c r="G18" i="9"/>
  <c r="G7" i="9"/>
  <c r="G3" i="9"/>
  <c r="BX12" i="22"/>
  <c r="CB12" i="22"/>
  <c r="CF12" i="22"/>
  <c r="CR12" i="22"/>
  <c r="BX13" i="22"/>
  <c r="CB13" i="22"/>
  <c r="CF13" i="22"/>
  <c r="CR13" i="22"/>
  <c r="BX14" i="22"/>
  <c r="CB14" i="22"/>
  <c r="CF14" i="22"/>
  <c r="CR14" i="22"/>
  <c r="BX15" i="22"/>
  <c r="CB15" i="22"/>
  <c r="CF15" i="22"/>
  <c r="CN15" i="22"/>
  <c r="CR15" i="22"/>
  <c r="BX16" i="22"/>
  <c r="CB16" i="22"/>
  <c r="CF16" i="22"/>
  <c r="CN16" i="22"/>
  <c r="CR16" i="22"/>
  <c r="BX17" i="22"/>
  <c r="CB17" i="22"/>
  <c r="CF17" i="22"/>
  <c r="CN17" i="22"/>
  <c r="CR17" i="22"/>
  <c r="BX18" i="22"/>
  <c r="CB18" i="22"/>
  <c r="CF18" i="22"/>
  <c r="CR18" i="22"/>
  <c r="BX19" i="22"/>
  <c r="CB19" i="22"/>
  <c r="CF19" i="22"/>
  <c r="CJ19" i="22"/>
  <c r="CN19" i="22"/>
  <c r="CR19" i="22"/>
  <c r="BX20" i="22"/>
  <c r="CB20" i="22"/>
  <c r="CF20" i="22"/>
  <c r="CR20" i="22"/>
  <c r="BX21" i="22"/>
  <c r="CB21" i="22"/>
  <c r="CF21" i="22"/>
  <c r="CN21" i="22"/>
  <c r="BV12" i="22"/>
  <c r="BZ12" i="22"/>
  <c r="CD12" i="22"/>
  <c r="CH12" i="22"/>
  <c r="CL12" i="22"/>
  <c r="BV13" i="22"/>
  <c r="BZ13" i="22"/>
  <c r="CD13" i="22"/>
  <c r="CH13" i="22"/>
  <c r="BV14" i="22"/>
  <c r="BZ14" i="22"/>
  <c r="CD14" i="22"/>
  <c r="CH14" i="22"/>
  <c r="CL14" i="22"/>
  <c r="BV15" i="22"/>
  <c r="BZ15" i="22"/>
  <c r="CD15" i="22"/>
  <c r="CH15" i="22"/>
  <c r="CP15" i="22"/>
  <c r="BV16" i="22"/>
  <c r="BZ16" i="22"/>
  <c r="CD16" i="22"/>
  <c r="CH16" i="22"/>
  <c r="CP16" i="22"/>
  <c r="BV17" i="22"/>
  <c r="BZ17" i="22"/>
  <c r="CD17" i="22"/>
  <c r="CH17" i="22"/>
  <c r="CP17" i="22"/>
  <c r="BV18" i="22"/>
  <c r="BZ18" i="22"/>
  <c r="CD18" i="22"/>
  <c r="CH18" i="22"/>
  <c r="CP18" i="22"/>
  <c r="BV19" i="22"/>
  <c r="BZ19" i="22"/>
  <c r="CD19" i="22"/>
  <c r="CH19" i="22"/>
  <c r="CP19" i="22"/>
  <c r="BV20" i="22"/>
  <c r="BZ20" i="22"/>
  <c r="CD20" i="22"/>
  <c r="CH20" i="22"/>
  <c r="CL20" i="22"/>
  <c r="BV21" i="22"/>
  <c r="BZ21" i="22"/>
  <c r="CD21" i="22"/>
  <c r="CH21" i="22"/>
  <c r="CP21" i="22"/>
  <c r="BV22" i="22"/>
  <c r="BZ22" i="22"/>
  <c r="CD22" i="22"/>
  <c r="CH22" i="22"/>
  <c r="CL22" i="22"/>
  <c r="BV23" i="22"/>
  <c r="BZ23" i="22"/>
  <c r="CD23" i="22"/>
  <c r="CH23" i="22"/>
  <c r="BV24" i="22"/>
  <c r="BZ24" i="22"/>
  <c r="CD24" i="22"/>
  <c r="CH24" i="22"/>
  <c r="CP24" i="22"/>
  <c r="BV25" i="22"/>
  <c r="BZ25" i="22"/>
  <c r="CD25" i="22"/>
  <c r="CH25" i="22"/>
  <c r="CP25" i="22"/>
  <c r="BV26" i="22"/>
  <c r="BZ26" i="22"/>
  <c r="CD26" i="22"/>
  <c r="CH26" i="22"/>
  <c r="CP26" i="22"/>
  <c r="BV27" i="22"/>
  <c r="BZ27" i="22"/>
  <c r="CD27" i="22"/>
  <c r="CH27" i="22"/>
  <c r="CL27" i="22"/>
  <c r="BV28" i="22"/>
  <c r="BZ28" i="22"/>
  <c r="CD28" i="22"/>
  <c r="CH28" i="22"/>
  <c r="CP28" i="22"/>
  <c r="BV29" i="22"/>
  <c r="BZ29" i="22"/>
  <c r="BW12" i="22"/>
  <c r="CA12" i="22"/>
  <c r="CE12" i="22"/>
  <c r="CM12" i="22"/>
  <c r="CQ12" i="22"/>
  <c r="BW13" i="22"/>
  <c r="CA13" i="22"/>
  <c r="CE13" i="22"/>
  <c r="CI13" i="22"/>
  <c r="CQ13" i="22"/>
  <c r="BW14" i="22"/>
  <c r="CA14" i="22"/>
  <c r="CE14" i="22"/>
  <c r="CM14" i="22"/>
  <c r="CQ14" i="22"/>
  <c r="BW15" i="22"/>
  <c r="CA15" i="22"/>
  <c r="CE15" i="22"/>
  <c r="CQ15" i="22"/>
  <c r="BW16" i="22"/>
  <c r="CA16" i="22"/>
  <c r="CE16" i="22"/>
  <c r="CQ16" i="22"/>
  <c r="BW17" i="22"/>
  <c r="CA17" i="22"/>
  <c r="CE17" i="22"/>
  <c r="CQ17" i="22"/>
  <c r="BW18" i="22"/>
  <c r="CA18" i="22"/>
  <c r="CE18" i="22"/>
  <c r="CQ18" i="22"/>
  <c r="BW19" i="22"/>
  <c r="CA19" i="22"/>
  <c r="CE19" i="22"/>
  <c r="CQ19" i="22"/>
  <c r="BW20" i="22"/>
  <c r="CA20" i="22"/>
  <c r="CE20" i="22"/>
  <c r="CQ20" i="22"/>
  <c r="BW21" i="22"/>
  <c r="CA21" i="22"/>
  <c r="CE21" i="22"/>
  <c r="CQ21" i="22"/>
  <c r="BW22" i="22"/>
  <c r="CA22" i="22"/>
  <c r="CE22" i="22"/>
  <c r="CQ22" i="22"/>
  <c r="BW23" i="22"/>
  <c r="CA23" i="22"/>
  <c r="CE23" i="22"/>
  <c r="CI23" i="22"/>
  <c r="CQ23" i="22"/>
  <c r="BW24" i="22"/>
  <c r="CA24" i="22"/>
  <c r="CE24" i="22"/>
  <c r="CQ24" i="22"/>
  <c r="BW25" i="22"/>
  <c r="CA25" i="22"/>
  <c r="CE25" i="22"/>
  <c r="CQ25" i="22"/>
  <c r="BW26" i="22"/>
  <c r="CA26" i="22"/>
  <c r="CE26" i="22"/>
  <c r="CQ26" i="22"/>
  <c r="BW27" i="22"/>
  <c r="CA27" i="22"/>
  <c r="CE27" i="22"/>
  <c r="CM27" i="22"/>
  <c r="CQ27" i="22"/>
  <c r="BW28" i="22"/>
  <c r="CA28" i="22"/>
  <c r="CE28" i="22"/>
  <c r="CQ28" i="22"/>
  <c r="BW29" i="22"/>
  <c r="CA29" i="22"/>
  <c r="CG12" i="22"/>
  <c r="BY13" i="22"/>
  <c r="CC14" i="22"/>
  <c r="CK14" i="22"/>
  <c r="CS14" i="22"/>
  <c r="CC16" i="22"/>
  <c r="CS16" i="22"/>
  <c r="CC18" i="22"/>
  <c r="CG19" i="22"/>
  <c r="CC20" i="22"/>
  <c r="CG21" i="22"/>
  <c r="CS21" i="22"/>
  <c r="CC22" i="22"/>
  <c r="CJ22" i="22"/>
  <c r="BX23" i="22"/>
  <c r="CF23" i="22"/>
  <c r="BY24" i="22"/>
  <c r="CG24" i="22"/>
  <c r="CR24" i="22"/>
  <c r="CB25" i="22"/>
  <c r="CS25" i="22"/>
  <c r="CC26" i="22"/>
  <c r="CN26" i="22"/>
  <c r="BX27" i="22"/>
  <c r="CF27" i="22"/>
  <c r="CK27" i="22"/>
  <c r="CR27" i="22"/>
  <c r="CB28" i="22"/>
  <c r="CS28" i="22"/>
  <c r="CC29" i="22"/>
  <c r="CG29" i="22"/>
  <c r="CK29" i="22"/>
  <c r="CS29" i="22"/>
  <c r="BY30" i="22"/>
  <c r="CC30" i="22"/>
  <c r="CG30" i="22"/>
  <c r="CO30" i="22"/>
  <c r="CS30" i="22"/>
  <c r="BY31" i="22"/>
  <c r="CC31" i="22"/>
  <c r="CG31" i="22"/>
  <c r="CO31" i="22"/>
  <c r="CS31" i="22"/>
  <c r="BY32" i="22"/>
  <c r="CC32" i="22"/>
  <c r="CG32" i="22"/>
  <c r="CK32" i="22"/>
  <c r="CS32" i="22"/>
  <c r="BY33" i="22"/>
  <c r="CC33" i="22"/>
  <c r="CG33" i="22"/>
  <c r="CO33" i="22"/>
  <c r="CS33" i="22"/>
  <c r="BY34" i="22"/>
  <c r="CC34" i="22"/>
  <c r="CC13" i="22"/>
  <c r="CG14" i="22"/>
  <c r="BY15" i="22"/>
  <c r="CG16" i="22"/>
  <c r="BY17" i="22"/>
  <c r="CO17" i="22"/>
  <c r="CG18" i="22"/>
  <c r="CS18" i="22"/>
  <c r="CO19" i="22"/>
  <c r="CG20" i="22"/>
  <c r="CS20" i="22"/>
  <c r="BX22" i="22"/>
  <c r="CF22" i="22"/>
  <c r="CK22" i="22"/>
  <c r="BY23" i="22"/>
  <c r="CG23" i="22"/>
  <c r="CR23" i="22"/>
  <c r="CB24" i="22"/>
  <c r="CS24" i="22"/>
  <c r="CC25" i="22"/>
  <c r="CN25" i="22"/>
  <c r="BX26" i="22"/>
  <c r="CF26" i="22"/>
  <c r="BY27" i="22"/>
  <c r="CG27" i="22"/>
  <c r="CS27" i="22"/>
  <c r="CC28" i="22"/>
  <c r="CN28" i="22"/>
  <c r="BX29" i="22"/>
  <c r="CD29" i="22"/>
  <c r="CH29" i="22"/>
  <c r="CL29" i="22"/>
  <c r="BV30" i="22"/>
  <c r="BZ30" i="22"/>
  <c r="CD30" i="22"/>
  <c r="CH30" i="22"/>
  <c r="CP30" i="22"/>
  <c r="BV31" i="22"/>
  <c r="BZ31" i="22"/>
  <c r="CD31" i="22"/>
  <c r="CH31" i="22"/>
  <c r="CP31" i="22"/>
  <c r="BV32" i="22"/>
  <c r="BZ32" i="22"/>
  <c r="CD32" i="22"/>
  <c r="CH32" i="22"/>
  <c r="BV33" i="22"/>
  <c r="BZ33" i="22"/>
  <c r="CD33" i="22"/>
  <c r="CH33" i="22"/>
  <c r="CL33" i="22"/>
  <c r="CP33" i="22"/>
  <c r="BV34" i="22"/>
  <c r="BZ34" i="22"/>
  <c r="CD34" i="22"/>
  <c r="CH34" i="22"/>
  <c r="BV35" i="22"/>
  <c r="BZ35" i="22"/>
  <c r="CD35" i="22"/>
  <c r="CH35" i="22"/>
  <c r="BV36" i="22"/>
  <c r="BZ36" i="22"/>
  <c r="CD36" i="22"/>
  <c r="CH36" i="22"/>
  <c r="CL36" i="22"/>
  <c r="BV37" i="22"/>
  <c r="BZ37" i="22"/>
  <c r="CD37" i="22"/>
  <c r="CH37" i="22"/>
  <c r="BV38" i="22"/>
  <c r="BZ38" i="22"/>
  <c r="CD38" i="22"/>
  <c r="CH38" i="22"/>
  <c r="CP38" i="22"/>
  <c r="BV39" i="22"/>
  <c r="BZ39" i="22"/>
  <c r="CD39" i="22"/>
  <c r="CH39" i="22"/>
  <c r="CL39" i="22"/>
  <c r="BV40" i="22"/>
  <c r="BZ40" i="22"/>
  <c r="CD40" i="22"/>
  <c r="CH40" i="22"/>
  <c r="CP40" i="22"/>
  <c r="BV41" i="22"/>
  <c r="CC12" i="22"/>
  <c r="CK12" i="22"/>
  <c r="CS12" i="22"/>
  <c r="BY14" i="22"/>
  <c r="CG15" i="22"/>
  <c r="BY16" i="22"/>
  <c r="CG17" i="22"/>
  <c r="BY18" i="22"/>
  <c r="CC19" i="22"/>
  <c r="BY20" i="22"/>
  <c r="CC21" i="22"/>
  <c r="CR21" i="22"/>
  <c r="CB22" i="22"/>
  <c r="CS22" i="22"/>
  <c r="CC23" i="22"/>
  <c r="BX24" i="22"/>
  <c r="CF24" i="22"/>
  <c r="BY25" i="22"/>
  <c r="CG25" i="22"/>
  <c r="CR25" i="22"/>
  <c r="CB26" i="22"/>
  <c r="CS26" i="22"/>
  <c r="CC27" i="22"/>
  <c r="BY28" i="22"/>
  <c r="CG28" i="22"/>
  <c r="CR28" i="22"/>
  <c r="CB29" i="22"/>
  <c r="CF29" i="22"/>
  <c r="CR29" i="22"/>
  <c r="BX30" i="22"/>
  <c r="CB30" i="22"/>
  <c r="CF30" i="22"/>
  <c r="CJ30" i="22"/>
  <c r="CN30" i="22"/>
  <c r="CR30" i="22"/>
  <c r="BX31" i="22"/>
  <c r="CB31" i="22"/>
  <c r="CF31" i="22"/>
  <c r="CN31" i="22"/>
  <c r="CR31" i="22"/>
  <c r="BX32" i="22"/>
  <c r="CB32" i="22"/>
  <c r="CF32" i="22"/>
  <c r="CR32" i="22"/>
  <c r="BX33" i="22"/>
  <c r="CB33" i="22"/>
  <c r="CF33" i="22"/>
  <c r="CN33" i="22"/>
  <c r="CR33" i="22"/>
  <c r="BX34" i="22"/>
  <c r="CB34" i="22"/>
  <c r="CF34" i="22"/>
  <c r="CN34" i="22"/>
  <c r="CR34" i="22"/>
  <c r="BX35" i="22"/>
  <c r="CB35" i="22"/>
  <c r="CF35" i="22"/>
  <c r="CR35" i="22"/>
  <c r="BX36" i="22"/>
  <c r="CB36" i="22"/>
  <c r="CF36" i="22"/>
  <c r="CR36" i="22"/>
  <c r="BX37" i="22"/>
  <c r="CB37" i="22"/>
  <c r="CF37" i="22"/>
  <c r="CR37" i="22"/>
  <c r="BX38" i="22"/>
  <c r="CB38" i="22"/>
  <c r="CF38" i="22"/>
  <c r="CJ38" i="22"/>
  <c r="CN38" i="22"/>
  <c r="CR38" i="22"/>
  <c r="BX39" i="22"/>
  <c r="CB39" i="22"/>
  <c r="CF39" i="22"/>
  <c r="CR39" i="22"/>
  <c r="BX40" i="22"/>
  <c r="CB40" i="22"/>
  <c r="CF40" i="22"/>
  <c r="CR40" i="22"/>
  <c r="BX41" i="22"/>
  <c r="CB41" i="22"/>
  <c r="CF41" i="22"/>
  <c r="CG13" i="22"/>
  <c r="CS13" i="22"/>
  <c r="CC17" i="22"/>
  <c r="CF25" i="22"/>
  <c r="CG26" i="22"/>
  <c r="CB27" i="22"/>
  <c r="CA30" i="22"/>
  <c r="CA31" i="22"/>
  <c r="BW32" i="22"/>
  <c r="CA33" i="22"/>
  <c r="CA34" i="22"/>
  <c r="CO34" i="22"/>
  <c r="BW35" i="22"/>
  <c r="CE35" i="22"/>
  <c r="BW36" i="22"/>
  <c r="CE36" i="22"/>
  <c r="BY37" i="22"/>
  <c r="CG37" i="22"/>
  <c r="BY38" i="22"/>
  <c r="CG38" i="22"/>
  <c r="BW39" i="22"/>
  <c r="CE39" i="22"/>
  <c r="BY40" i="22"/>
  <c r="CG40" i="22"/>
  <c r="CQ40" i="22"/>
  <c r="BZ41" i="22"/>
  <c r="CE41" i="22"/>
  <c r="CR41" i="22"/>
  <c r="BX42" i="22"/>
  <c r="CB42" i="22"/>
  <c r="CF42" i="22"/>
  <c r="CJ42" i="22"/>
  <c r="CN42" i="22"/>
  <c r="CR42" i="22"/>
  <c r="BX43" i="22"/>
  <c r="CB43" i="22"/>
  <c r="CF43" i="22"/>
  <c r="CS15" i="22"/>
  <c r="CO21" i="22"/>
  <c r="CR22" i="22"/>
  <c r="CN24" i="22"/>
  <c r="CE30" i="22"/>
  <c r="CE31" i="22"/>
  <c r="CA32" i="22"/>
  <c r="CE33" i="22"/>
  <c r="CE34" i="22"/>
  <c r="BY35" i="22"/>
  <c r="CG35" i="22"/>
  <c r="BY36" i="22"/>
  <c r="CG36" i="22"/>
  <c r="CQ36" i="22"/>
  <c r="CA37" i="22"/>
  <c r="CI37" i="22"/>
  <c r="CQ37" i="22"/>
  <c r="CA38" i="22"/>
  <c r="CO38" i="22"/>
  <c r="BY39" i="22"/>
  <c r="CG39" i="22"/>
  <c r="CM39" i="22"/>
  <c r="CQ39" i="22"/>
  <c r="CA40" i="22"/>
  <c r="CS40" i="22"/>
  <c r="CA41" i="22"/>
  <c r="CG41" i="22"/>
  <c r="CS41" i="22"/>
  <c r="BY42" i="22"/>
  <c r="CC42" i="22"/>
  <c r="CG42" i="22"/>
  <c r="CS42" i="22"/>
  <c r="BY43" i="22"/>
  <c r="CC43" i="22"/>
  <c r="CG43" i="22"/>
  <c r="CS43" i="22"/>
  <c r="BY44" i="22"/>
  <c r="CC44" i="22"/>
  <c r="CG44" i="22"/>
  <c r="CS44" i="22"/>
  <c r="BY45" i="22"/>
  <c r="CC45" i="22"/>
  <c r="CG45" i="22"/>
  <c r="CK45" i="22"/>
  <c r="CS45" i="22"/>
  <c r="BY46" i="22"/>
  <c r="CC46" i="22"/>
  <c r="CG46" i="22"/>
  <c r="CK46" i="22"/>
  <c r="CS46" i="22"/>
  <c r="BY47" i="22"/>
  <c r="CC47" i="22"/>
  <c r="CG47" i="22"/>
  <c r="CS47" i="22"/>
  <c r="BY48" i="22"/>
  <c r="CC48" i="22"/>
  <c r="CG48" i="22"/>
  <c r="CS48" i="22"/>
  <c r="BY49" i="22"/>
  <c r="CC49" i="22"/>
  <c r="CG49" i="22"/>
  <c r="CS49" i="22"/>
  <c r="BY50" i="22"/>
  <c r="CC50" i="22"/>
  <c r="CG50" i="22"/>
  <c r="CS50" i="22"/>
  <c r="BY51" i="22"/>
  <c r="CC51" i="22"/>
  <c r="CG51" i="22"/>
  <c r="CS51" i="22"/>
  <c r="BY52" i="22"/>
  <c r="CC52" i="22"/>
  <c r="CG52" i="22"/>
  <c r="CK52" i="22"/>
  <c r="CS52" i="22"/>
  <c r="BY53" i="22"/>
  <c r="CC53" i="22"/>
  <c r="CG53" i="22"/>
  <c r="CS19" i="22"/>
  <c r="BY21" i="22"/>
  <c r="CG22" i="22"/>
  <c r="CC24" i="22"/>
  <c r="BX25" i="22"/>
  <c r="BY26" i="22"/>
  <c r="CR26" i="22"/>
  <c r="CF28" i="22"/>
  <c r="CE29" i="22"/>
  <c r="BW30" i="22"/>
  <c r="BW31" i="22"/>
  <c r="CQ31" i="22"/>
  <c r="BW33" i="22"/>
  <c r="BW34" i="22"/>
  <c r="CS34" i="22"/>
  <c r="CC35" i="22"/>
  <c r="CS35" i="22"/>
  <c r="CC36" i="22"/>
  <c r="BW37" i="22"/>
  <c r="CE37" i="22"/>
  <c r="BW38" i="22"/>
  <c r="CE38" i="22"/>
  <c r="CS38" i="22"/>
  <c r="CC39" i="22"/>
  <c r="BW40" i="22"/>
  <c r="CE40" i="22"/>
  <c r="CO40" i="22"/>
  <c r="BY41" i="22"/>
  <c r="CD41" i="22"/>
  <c r="CM41" i="22"/>
  <c r="CQ41" i="22"/>
  <c r="BW42" i="22"/>
  <c r="CA42" i="22"/>
  <c r="CE42" i="22"/>
  <c r="CQ42" i="22"/>
  <c r="BW43" i="22"/>
  <c r="CA43" i="22"/>
  <c r="CE43" i="22"/>
  <c r="CI43" i="22"/>
  <c r="CQ43" i="22"/>
  <c r="BW44" i="22"/>
  <c r="CA44" i="22"/>
  <c r="CE44" i="22"/>
  <c r="CQ44" i="22"/>
  <c r="BW45" i="22"/>
  <c r="CA45" i="22"/>
  <c r="CE45" i="22"/>
  <c r="CQ45" i="22"/>
  <c r="BW46" i="22"/>
  <c r="CA46" i="22"/>
  <c r="CE46" i="22"/>
  <c r="CM46" i="22"/>
  <c r="CQ46" i="22"/>
  <c r="BW47" i="22"/>
  <c r="CA47" i="22"/>
  <c r="CE47" i="22"/>
  <c r="CQ47" i="22"/>
  <c r="BW48" i="22"/>
  <c r="CA48" i="22"/>
  <c r="CE48" i="22"/>
  <c r="CQ48" i="22"/>
  <c r="BW49" i="22"/>
  <c r="CA49" i="22"/>
  <c r="CE49" i="22"/>
  <c r="CQ49" i="22"/>
  <c r="BW50" i="22"/>
  <c r="CA50" i="22"/>
  <c r="CE50" i="22"/>
  <c r="CQ50" i="22"/>
  <c r="BW51" i="22"/>
  <c r="CA51" i="22"/>
  <c r="CE51" i="22"/>
  <c r="CI51" i="22"/>
  <c r="CQ51" i="22"/>
  <c r="BW52" i="22"/>
  <c r="CA52" i="22"/>
  <c r="CE52" i="22"/>
  <c r="CM52" i="22"/>
  <c r="CQ52" i="22"/>
  <c r="BW53" i="22"/>
  <c r="CA53" i="22"/>
  <c r="CE53" i="22"/>
  <c r="CI53" i="22"/>
  <c r="CQ53" i="22"/>
  <c r="BW54" i="22"/>
  <c r="CC15" i="22"/>
  <c r="CK28" i="22"/>
  <c r="BY29" i="22"/>
  <c r="CQ30" i="22"/>
  <c r="CG34" i="22"/>
  <c r="CA35" i="22"/>
  <c r="CC38" i="22"/>
  <c r="BZ42" i="22"/>
  <c r="CP42" i="22"/>
  <c r="CH43" i="22"/>
  <c r="CR43" i="22"/>
  <c r="CB44" i="22"/>
  <c r="CR44" i="22"/>
  <c r="CB45" i="22"/>
  <c r="BV46" i="22"/>
  <c r="CD46" i="22"/>
  <c r="BZ47" i="22"/>
  <c r="CH47" i="22"/>
  <c r="CP47" i="22"/>
  <c r="BZ48" i="22"/>
  <c r="CH48" i="22"/>
  <c r="CP48" i="22"/>
  <c r="BZ49" i="22"/>
  <c r="CH49" i="22"/>
  <c r="CP49" i="22"/>
  <c r="BZ50" i="22"/>
  <c r="CH50" i="22"/>
  <c r="BZ51" i="22"/>
  <c r="CH51" i="22"/>
  <c r="CR51" i="22"/>
  <c r="CB52" i="22"/>
  <c r="BX53" i="22"/>
  <c r="CF53" i="22"/>
  <c r="BX54" i="22"/>
  <c r="CB54" i="22"/>
  <c r="CF54" i="22"/>
  <c r="CJ54" i="22"/>
  <c r="CR54" i="22"/>
  <c r="BX55" i="22"/>
  <c r="CB55" i="22"/>
  <c r="CF55" i="22"/>
  <c r="CJ55" i="22"/>
  <c r="CR55" i="22"/>
  <c r="BX56" i="22"/>
  <c r="CB56" i="22"/>
  <c r="CF56" i="22"/>
  <c r="CN56" i="22"/>
  <c r="CR56" i="22"/>
  <c r="BX57" i="22"/>
  <c r="CB57" i="22"/>
  <c r="CF57" i="22"/>
  <c r="CN57" i="22"/>
  <c r="CR57" i="22"/>
  <c r="BX58" i="22"/>
  <c r="CB58" i="22"/>
  <c r="CF58" i="22"/>
  <c r="CN58" i="22"/>
  <c r="CR58" i="22"/>
  <c r="BX59" i="22"/>
  <c r="CB59" i="22"/>
  <c r="CF59" i="22"/>
  <c r="CR59" i="22"/>
  <c r="BX60" i="22"/>
  <c r="CB60" i="22"/>
  <c r="CF60" i="22"/>
  <c r="CN60" i="22"/>
  <c r="CR60" i="22"/>
  <c r="BX61" i="22"/>
  <c r="CB61" i="22"/>
  <c r="CF61" i="22"/>
  <c r="CR61" i="22"/>
  <c r="BX62" i="22"/>
  <c r="CB62" i="22"/>
  <c r="CF62" i="22"/>
  <c r="CJ62" i="22"/>
  <c r="CR62" i="22"/>
  <c r="BX63" i="22"/>
  <c r="CB63" i="22"/>
  <c r="CF63" i="22"/>
  <c r="CJ63" i="22"/>
  <c r="CR63" i="22"/>
  <c r="BX64" i="22"/>
  <c r="CB64" i="22"/>
  <c r="CF64" i="22"/>
  <c r="CR64" i="22"/>
  <c r="CB23" i="22"/>
  <c r="CS23" i="22"/>
  <c r="CO25" i="22"/>
  <c r="BX28" i="22"/>
  <c r="CI35" i="22"/>
  <c r="CQ35" i="22"/>
  <c r="CQ38" i="22"/>
  <c r="CS39" i="22"/>
  <c r="BW41" i="22"/>
  <c r="CD42" i="22"/>
  <c r="BV43" i="22"/>
  <c r="BV44" i="22"/>
  <c r="CD44" i="22"/>
  <c r="CJ44" i="22"/>
  <c r="BV45" i="22"/>
  <c r="CD45" i="22"/>
  <c r="CJ45" i="22"/>
  <c r="BX46" i="22"/>
  <c r="CF46" i="22"/>
  <c r="CL46" i="22"/>
  <c r="CR46" i="22"/>
  <c r="CB47" i="22"/>
  <c r="CR47" i="22"/>
  <c r="CB48" i="22"/>
  <c r="CR48" i="22"/>
  <c r="CB49" i="22"/>
  <c r="CR49" i="22"/>
  <c r="CB50" i="22"/>
  <c r="CR50" i="22"/>
  <c r="CB51" i="22"/>
  <c r="CJ51" i="22"/>
  <c r="BV52" i="22"/>
  <c r="CD52" i="22"/>
  <c r="BZ53" i="22"/>
  <c r="CH53" i="22"/>
  <c r="CR53" i="22"/>
  <c r="BY54" i="22"/>
  <c r="CC54" i="22"/>
  <c r="CG54" i="22"/>
  <c r="CS54" i="22"/>
  <c r="BY55" i="22"/>
  <c r="CC55" i="22"/>
  <c r="CG55" i="22"/>
  <c r="CS55" i="22"/>
  <c r="BY56" i="22"/>
  <c r="CC56" i="22"/>
  <c r="CG56" i="22"/>
  <c r="CS56" i="22"/>
  <c r="BY57" i="22"/>
  <c r="CC57" i="22"/>
  <c r="CG57" i="22"/>
  <c r="CS57" i="22"/>
  <c r="BY58" i="22"/>
  <c r="CC58" i="22"/>
  <c r="CG58" i="22"/>
  <c r="CO58" i="22"/>
  <c r="CS58" i="22"/>
  <c r="BY59" i="22"/>
  <c r="CC59" i="22"/>
  <c r="CG59" i="22"/>
  <c r="CK59" i="22"/>
  <c r="CS59" i="22"/>
  <c r="BY60" i="22"/>
  <c r="CC60" i="22"/>
  <c r="CG60" i="22"/>
  <c r="CS60" i="22"/>
  <c r="BY61" i="22"/>
  <c r="CC61" i="22"/>
  <c r="CG61" i="22"/>
  <c r="CS61" i="22"/>
  <c r="BY62" i="22"/>
  <c r="CC62" i="22"/>
  <c r="CG62" i="22"/>
  <c r="CS62" i="22"/>
  <c r="BY63" i="22"/>
  <c r="CC63" i="22"/>
  <c r="CG63" i="22"/>
  <c r="CO63" i="22"/>
  <c r="CS63" i="22"/>
  <c r="BY64" i="22"/>
  <c r="CC64" i="22"/>
  <c r="CG64" i="22"/>
  <c r="CS64" i="22"/>
  <c r="BY65" i="22"/>
  <c r="CC65" i="22"/>
  <c r="CG65" i="22"/>
  <c r="CO65" i="22"/>
  <c r="CS65" i="22"/>
  <c r="BY66" i="22"/>
  <c r="CC66" i="22"/>
  <c r="CG66" i="22"/>
  <c r="CS66" i="22"/>
  <c r="BY67" i="22"/>
  <c r="CC67" i="22"/>
  <c r="CG67" i="22"/>
  <c r="CK67" i="22"/>
  <c r="CS67" i="22"/>
  <c r="BY68" i="22"/>
  <c r="CC68" i="22"/>
  <c r="CG68" i="22"/>
  <c r="CK68" i="22"/>
  <c r="CS68" i="22"/>
  <c r="BY69" i="22"/>
  <c r="CC69" i="22"/>
  <c r="CG69" i="22"/>
  <c r="CS69" i="22"/>
  <c r="BY70" i="22"/>
  <c r="CC70" i="22"/>
  <c r="CG70" i="22"/>
  <c r="CS70" i="22"/>
  <c r="BY71" i="22"/>
  <c r="CC71" i="22"/>
  <c r="CG71" i="22"/>
  <c r="CS71" i="22"/>
  <c r="BY72" i="22"/>
  <c r="CC72" i="22"/>
  <c r="CG72" i="22"/>
  <c r="CS72" i="22"/>
  <c r="BY73" i="22"/>
  <c r="CC73" i="22"/>
  <c r="CG73" i="22"/>
  <c r="CO73" i="22"/>
  <c r="BY22" i="22"/>
  <c r="CM29" i="22"/>
  <c r="CQ29" i="22"/>
  <c r="CQ33" i="22"/>
  <c r="CQ34" i="22"/>
  <c r="CC37" i="22"/>
  <c r="CS37" i="22"/>
  <c r="CH41" i="22"/>
  <c r="BV42" i="22"/>
  <c r="CD43" i="22"/>
  <c r="BZ44" i="22"/>
  <c r="CH44" i="22"/>
  <c r="CL44" i="22"/>
  <c r="BZ45" i="22"/>
  <c r="CH45" i="22"/>
  <c r="CR45" i="22"/>
  <c r="CB46" i="22"/>
  <c r="BX47" i="22"/>
  <c r="CF47" i="22"/>
  <c r="BX48" i="22"/>
  <c r="CF48" i="22"/>
  <c r="BX49" i="22"/>
  <c r="CF49" i="22"/>
  <c r="BX50" i="22"/>
  <c r="CF50" i="22"/>
  <c r="BX51" i="22"/>
  <c r="CF51" i="22"/>
  <c r="BZ52" i="22"/>
  <c r="CH52" i="22"/>
  <c r="BV53" i="22"/>
  <c r="CD53" i="22"/>
  <c r="BV54" i="22"/>
  <c r="CA54" i="22"/>
  <c r="CE54" i="22"/>
  <c r="CI54" i="22"/>
  <c r="CQ54" i="22"/>
  <c r="BW55" i="22"/>
  <c r="CA55" i="22"/>
  <c r="CE55" i="22"/>
  <c r="CI55" i="22"/>
  <c r="CQ55" i="22"/>
  <c r="BW56" i="22"/>
  <c r="CA56" i="22"/>
  <c r="CE56" i="22"/>
  <c r="CQ56" i="22"/>
  <c r="BW57" i="22"/>
  <c r="CA57" i="22"/>
  <c r="CE57" i="22"/>
  <c r="CQ57" i="22"/>
  <c r="BW58" i="22"/>
  <c r="CA58" i="22"/>
  <c r="CE58" i="22"/>
  <c r="CQ58" i="22"/>
  <c r="BW59" i="22"/>
  <c r="CA59" i="22"/>
  <c r="CE59" i="22"/>
  <c r="CM59" i="22"/>
  <c r="CQ59" i="22"/>
  <c r="BW60" i="22"/>
  <c r="CA60" i="22"/>
  <c r="CE60" i="22"/>
  <c r="CQ60" i="22"/>
  <c r="BW61" i="22"/>
  <c r="CA61" i="22"/>
  <c r="CE61" i="22"/>
  <c r="CQ61" i="22"/>
  <c r="BW62" i="22"/>
  <c r="CA62" i="22"/>
  <c r="CE62" i="22"/>
  <c r="CI62" i="22"/>
  <c r="CQ62" i="22"/>
  <c r="BW63" i="22"/>
  <c r="CA63" i="22"/>
  <c r="CE63" i="22"/>
  <c r="CQ63" i="22"/>
  <c r="BW64" i="22"/>
  <c r="CA64" i="22"/>
  <c r="CE64" i="22"/>
  <c r="CI64" i="22"/>
  <c r="CQ64" i="22"/>
  <c r="BW65" i="22"/>
  <c r="CA65" i="22"/>
  <c r="CE65" i="22"/>
  <c r="CQ65" i="22"/>
  <c r="BW66" i="22"/>
  <c r="CA66" i="22"/>
  <c r="CE66" i="22"/>
  <c r="CI66" i="22"/>
  <c r="CQ66" i="22"/>
  <c r="BW67" i="22"/>
  <c r="CA67" i="22"/>
  <c r="CE67" i="22"/>
  <c r="CM67" i="22"/>
  <c r="CQ67" i="22"/>
  <c r="BW68" i="22"/>
  <c r="CA68" i="22"/>
  <c r="CE68" i="22"/>
  <c r="CQ68" i="22"/>
  <c r="BW69" i="22"/>
  <c r="CA69" i="22"/>
  <c r="CE69" i="22"/>
  <c r="CI69" i="22"/>
  <c r="CQ69" i="22"/>
  <c r="BW70" i="22"/>
  <c r="CA70" i="22"/>
  <c r="CE70" i="22"/>
  <c r="CQ70" i="22"/>
  <c r="BW71" i="22"/>
  <c r="CA71" i="22"/>
  <c r="CE71" i="22"/>
  <c r="CQ71" i="22"/>
  <c r="BW72" i="22"/>
  <c r="CA72" i="22"/>
  <c r="CE72" i="22"/>
  <c r="CQ72" i="22"/>
  <c r="BW73" i="22"/>
  <c r="CA73" i="22"/>
  <c r="CE73" i="22"/>
  <c r="CC40" i="22"/>
  <c r="CL45" i="22"/>
  <c r="BV47" i="22"/>
  <c r="CJ48" i="22"/>
  <c r="CN48" i="22"/>
  <c r="CD50" i="22"/>
  <c r="CD54" i="22"/>
  <c r="BV55" i="22"/>
  <c r="CD56" i="22"/>
  <c r="CP56" i="22"/>
  <c r="CH57" i="22"/>
  <c r="BV58" i="22"/>
  <c r="CD59" i="22"/>
  <c r="BV60" i="22"/>
  <c r="BZ61" i="22"/>
  <c r="BZ62" i="22"/>
  <c r="CH63" i="22"/>
  <c r="BZ64" i="22"/>
  <c r="BZ65" i="22"/>
  <c r="CH65" i="22"/>
  <c r="CR65" i="22"/>
  <c r="CB66" i="22"/>
  <c r="BV67" i="22"/>
  <c r="CD67" i="22"/>
  <c r="BZ68" i="22"/>
  <c r="CH68" i="22"/>
  <c r="CR68" i="22"/>
  <c r="CB69" i="22"/>
  <c r="BV70" i="22"/>
  <c r="CD70" i="22"/>
  <c r="BV71" i="22"/>
  <c r="CD71" i="22"/>
  <c r="BV72" i="22"/>
  <c r="CD72" i="22"/>
  <c r="BV73" i="22"/>
  <c r="CD73" i="22"/>
  <c r="CN73" i="22"/>
  <c r="CS73" i="22"/>
  <c r="BY74" i="22"/>
  <c r="CC74" i="22"/>
  <c r="CG74" i="22"/>
  <c r="CS74" i="22"/>
  <c r="BY75" i="22"/>
  <c r="CC75" i="22"/>
  <c r="CG75" i="22"/>
  <c r="CK75" i="22"/>
  <c r="CS75" i="22"/>
  <c r="BY76" i="22"/>
  <c r="CC76" i="22"/>
  <c r="CG76" i="22"/>
  <c r="CO76" i="22"/>
  <c r="CS76" i="22"/>
  <c r="BY77" i="22"/>
  <c r="CC77" i="22"/>
  <c r="CG77" i="22"/>
  <c r="CO77" i="22"/>
  <c r="CS77" i="22"/>
  <c r="BY78" i="22"/>
  <c r="CC78" i="22"/>
  <c r="CG78" i="22"/>
  <c r="CK78" i="22"/>
  <c r="CS78" i="22"/>
  <c r="BY79" i="22"/>
  <c r="CC79" i="22"/>
  <c r="CG79" i="22"/>
  <c r="CK79" i="22"/>
  <c r="CO79" i="22"/>
  <c r="CS79" i="22"/>
  <c r="BY80" i="22"/>
  <c r="CC80" i="22"/>
  <c r="CG80" i="22"/>
  <c r="CS80" i="22"/>
  <c r="BY81" i="22"/>
  <c r="CC81" i="22"/>
  <c r="CG81" i="22"/>
  <c r="CS81" i="22"/>
  <c r="BY82" i="22"/>
  <c r="CC82" i="22"/>
  <c r="CG82" i="22"/>
  <c r="CO82" i="22"/>
  <c r="CS82" i="22"/>
  <c r="BY83" i="22"/>
  <c r="CC83" i="22"/>
  <c r="CG83" i="22"/>
  <c r="CK83" i="22"/>
  <c r="CS83" i="22"/>
  <c r="BY84" i="22"/>
  <c r="CC84" i="22"/>
  <c r="CG84" i="22"/>
  <c r="CO84" i="22"/>
  <c r="CS84" i="22"/>
  <c r="BY85" i="22"/>
  <c r="CC85" i="22"/>
  <c r="CG85" i="22"/>
  <c r="CK85" i="22"/>
  <c r="CS85" i="22"/>
  <c r="BY86" i="22"/>
  <c r="CC86" i="22"/>
  <c r="CG86" i="22"/>
  <c r="CS86" i="22"/>
  <c r="BY87" i="22"/>
  <c r="CC87" i="22"/>
  <c r="CG87" i="22"/>
  <c r="CS87" i="22"/>
  <c r="BY88" i="22"/>
  <c r="CC88" i="22"/>
  <c r="CG88" i="22"/>
  <c r="CS88" i="22"/>
  <c r="BY89" i="22"/>
  <c r="CC89" i="22"/>
  <c r="CG89" i="22"/>
  <c r="CS89" i="22"/>
  <c r="BY90" i="22"/>
  <c r="CC90" i="22"/>
  <c r="CG90" i="22"/>
  <c r="CS90" i="22"/>
  <c r="BY91" i="22"/>
  <c r="CC91" i="22"/>
  <c r="CG91" i="22"/>
  <c r="CK91" i="22"/>
  <c r="CS91" i="22"/>
  <c r="BY92" i="22"/>
  <c r="CS17" i="22"/>
  <c r="BY19" i="22"/>
  <c r="CA36" i="22"/>
  <c r="CS36" i="22"/>
  <c r="CA39" i="22"/>
  <c r="BZ43" i="22"/>
  <c r="BX44" i="22"/>
  <c r="BX45" i="22"/>
  <c r="BZ46" i="22"/>
  <c r="CD47" i="22"/>
  <c r="BV48" i="22"/>
  <c r="BV51" i="22"/>
  <c r="BX52" i="22"/>
  <c r="CL52" i="22"/>
  <c r="CR52" i="22"/>
  <c r="CH54" i="22"/>
  <c r="BZ55" i="22"/>
  <c r="CH56" i="22"/>
  <c r="BV57" i="22"/>
  <c r="BZ58" i="22"/>
  <c r="CP58" i="22"/>
  <c r="CH59" i="22"/>
  <c r="BZ60" i="22"/>
  <c r="CD61" i="22"/>
  <c r="CD62" i="22"/>
  <c r="BV63" i="22"/>
  <c r="CD64" i="22"/>
  <c r="CB65" i="22"/>
  <c r="BV66" i="22"/>
  <c r="CD66" i="22"/>
  <c r="BX67" i="22"/>
  <c r="CF67" i="22"/>
  <c r="CR67" i="22"/>
  <c r="CB68" i="22"/>
  <c r="BV69" i="22"/>
  <c r="CD69" i="22"/>
  <c r="BX70" i="22"/>
  <c r="CF70" i="22"/>
  <c r="BX71" i="22"/>
  <c r="CF71" i="22"/>
  <c r="BX72" i="22"/>
  <c r="CF72" i="22"/>
  <c r="BX73" i="22"/>
  <c r="CF73" i="22"/>
  <c r="CP73" i="22"/>
  <c r="BV74" i="22"/>
  <c r="BZ74" i="22"/>
  <c r="CD74" i="22"/>
  <c r="CH74" i="22"/>
  <c r="BV75" i="22"/>
  <c r="BZ75" i="22"/>
  <c r="CD75" i="22"/>
  <c r="CH75" i="22"/>
  <c r="BV76" i="22"/>
  <c r="BZ76" i="22"/>
  <c r="CD76" i="22"/>
  <c r="CH76" i="22"/>
  <c r="CP76" i="22"/>
  <c r="BV77" i="22"/>
  <c r="BZ77" i="22"/>
  <c r="CD77" i="22"/>
  <c r="CH77" i="22"/>
  <c r="CP77" i="22"/>
  <c r="BV78" i="22"/>
  <c r="BZ78" i="22"/>
  <c r="CD78" i="22"/>
  <c r="CH78" i="22"/>
  <c r="CL78" i="22"/>
  <c r="BV79" i="22"/>
  <c r="BZ79" i="22"/>
  <c r="CD79" i="22"/>
  <c r="CH79" i="22"/>
  <c r="CL79" i="22"/>
  <c r="BV80" i="22"/>
  <c r="BZ80" i="22"/>
  <c r="CD80" i="22"/>
  <c r="CH80" i="22"/>
  <c r="BV81" i="22"/>
  <c r="BZ81" i="22"/>
  <c r="CD81" i="22"/>
  <c r="CH81" i="22"/>
  <c r="BV82" i="22"/>
  <c r="BZ82" i="22"/>
  <c r="CD82" i="22"/>
  <c r="CH82" i="22"/>
  <c r="CL82" i="22"/>
  <c r="CP82" i="22"/>
  <c r="BV83" i="22"/>
  <c r="BZ83" i="22"/>
  <c r="CD83" i="22"/>
  <c r="CH83" i="22"/>
  <c r="CL83" i="22"/>
  <c r="BV84" i="22"/>
  <c r="BZ84" i="22"/>
  <c r="CD84" i="22"/>
  <c r="CH84" i="22"/>
  <c r="BV85" i="22"/>
  <c r="BZ85" i="22"/>
  <c r="CD85" i="22"/>
  <c r="CH85" i="22"/>
  <c r="BV86" i="22"/>
  <c r="BZ86" i="22"/>
  <c r="CD86" i="22"/>
  <c r="CH86" i="22"/>
  <c r="BV87" i="22"/>
  <c r="BZ87" i="22"/>
  <c r="CD87" i="22"/>
  <c r="CH87" i="22"/>
  <c r="BV88" i="22"/>
  <c r="BZ88" i="22"/>
  <c r="CD88" i="22"/>
  <c r="CH88" i="22"/>
  <c r="CL88" i="22"/>
  <c r="BV89" i="22"/>
  <c r="BZ89" i="22"/>
  <c r="CD89" i="22"/>
  <c r="CH89" i="22"/>
  <c r="BV90" i="22"/>
  <c r="BZ90" i="22"/>
  <c r="CD90" i="22"/>
  <c r="CH90" i="22"/>
  <c r="BV91" i="22"/>
  <c r="BZ91" i="22"/>
  <c r="CD91" i="22"/>
  <c r="CH91" i="22"/>
  <c r="CL91" i="22"/>
  <c r="BV92" i="22"/>
  <c r="BZ92" i="22"/>
  <c r="CD92" i="22"/>
  <c r="CH92" i="22"/>
  <c r="BV93" i="22"/>
  <c r="BZ93" i="22"/>
  <c r="CD93" i="22"/>
  <c r="CH93" i="22"/>
  <c r="BV94" i="22"/>
  <c r="BZ94" i="22"/>
  <c r="CD94" i="22"/>
  <c r="CH94" i="22"/>
  <c r="BV95" i="22"/>
  <c r="BZ95" i="22"/>
  <c r="CD95" i="22"/>
  <c r="CH95" i="22"/>
  <c r="BV96" i="22"/>
  <c r="BZ96" i="22"/>
  <c r="CD96" i="22"/>
  <c r="CH96" i="22"/>
  <c r="CL96" i="22"/>
  <c r="CP96" i="22"/>
  <c r="BV97" i="22"/>
  <c r="BZ97" i="22"/>
  <c r="CD97" i="22"/>
  <c r="CH97" i="22"/>
  <c r="BV98" i="22"/>
  <c r="BZ98" i="22"/>
  <c r="CD98" i="22"/>
  <c r="CH98" i="22"/>
  <c r="BV99" i="22"/>
  <c r="BZ99" i="22"/>
  <c r="CD99" i="22"/>
  <c r="CH99" i="22"/>
  <c r="BV100" i="22"/>
  <c r="BZ100" i="22"/>
  <c r="CD100" i="22"/>
  <c r="CH100" i="22"/>
  <c r="CP100" i="22"/>
  <c r="BV101" i="22"/>
  <c r="BZ101" i="22"/>
  <c r="CD101" i="22"/>
  <c r="CH101" i="22"/>
  <c r="BV102" i="22"/>
  <c r="CE32" i="22"/>
  <c r="CQ32" i="22"/>
  <c r="CC41" i="22"/>
  <c r="CH42" i="22"/>
  <c r="CN47" i="22"/>
  <c r="CD49" i="22"/>
  <c r="BV50" i="22"/>
  <c r="BZ54" i="22"/>
  <c r="CH55" i="22"/>
  <c r="BZ56" i="22"/>
  <c r="CD57" i="22"/>
  <c r="CP57" i="22"/>
  <c r="CH58" i="22"/>
  <c r="BZ59" i="22"/>
  <c r="CH60" i="22"/>
  <c r="BV61" i="22"/>
  <c r="BV62" i="22"/>
  <c r="CD63" i="22"/>
  <c r="BV64" i="22"/>
  <c r="BX65" i="22"/>
  <c r="CF65" i="22"/>
  <c r="BZ66" i="22"/>
  <c r="CH66" i="22"/>
  <c r="CR66" i="22"/>
  <c r="CB67" i="22"/>
  <c r="BX68" i="22"/>
  <c r="CF68" i="22"/>
  <c r="CL68" i="22"/>
  <c r="BZ69" i="22"/>
  <c r="CH69" i="22"/>
  <c r="CR69" i="22"/>
  <c r="CB70" i="22"/>
  <c r="CR70" i="22"/>
  <c r="CB71" i="22"/>
  <c r="CR71" i="22"/>
  <c r="CB72" i="22"/>
  <c r="CR72" i="22"/>
  <c r="CB73" i="22"/>
  <c r="CR73" i="22"/>
  <c r="BX74" i="22"/>
  <c r="CB74" i="22"/>
  <c r="CF74" i="22"/>
  <c r="CR74" i="22"/>
  <c r="BX75" i="22"/>
  <c r="CB75" i="22"/>
  <c r="CF75" i="22"/>
  <c r="CN75" i="22"/>
  <c r="CR75" i="22"/>
  <c r="BX76" i="22"/>
  <c r="CB76" i="22"/>
  <c r="CF76" i="22"/>
  <c r="CN76" i="22"/>
  <c r="CR76" i="22"/>
  <c r="BX77" i="22"/>
  <c r="CB77" i="22"/>
  <c r="CF77" i="22"/>
  <c r="CN77" i="22"/>
  <c r="CR77" i="22"/>
  <c r="BX78" i="22"/>
  <c r="CB78" i="22"/>
  <c r="CF78" i="22"/>
  <c r="CN78" i="22"/>
  <c r="CR78" i="22"/>
  <c r="BX79" i="22"/>
  <c r="CB79" i="22"/>
  <c r="CF79" i="22"/>
  <c r="CJ79" i="22"/>
  <c r="CR79" i="22"/>
  <c r="BX80" i="22"/>
  <c r="CB80" i="22"/>
  <c r="CF80" i="22"/>
  <c r="CR80" i="22"/>
  <c r="BX81" i="22"/>
  <c r="CB81" i="22"/>
  <c r="CF81" i="22"/>
  <c r="CR81" i="22"/>
  <c r="BX82" i="22"/>
  <c r="CB82" i="22"/>
  <c r="CF82" i="22"/>
  <c r="CN82" i="22"/>
  <c r="CR82" i="22"/>
  <c r="BX83" i="22"/>
  <c r="CB83" i="22"/>
  <c r="CF83" i="22"/>
  <c r="CR83" i="22"/>
  <c r="BX84" i="22"/>
  <c r="CB84" i="22"/>
  <c r="CF84" i="22"/>
  <c r="CR84" i="22"/>
  <c r="BX85" i="22"/>
  <c r="CB85" i="22"/>
  <c r="CF85" i="22"/>
  <c r="CN85" i="22"/>
  <c r="CR85" i="22"/>
  <c r="BX86" i="22"/>
  <c r="CB86" i="22"/>
  <c r="CF86" i="22"/>
  <c r="CR86" i="22"/>
  <c r="BX87" i="22"/>
  <c r="CB87" i="22"/>
  <c r="CF87" i="22"/>
  <c r="CR87" i="22"/>
  <c r="BX88" i="22"/>
  <c r="CB88" i="22"/>
  <c r="CF88" i="22"/>
  <c r="CR88" i="22"/>
  <c r="BX89" i="22"/>
  <c r="CB89" i="22"/>
  <c r="CF89" i="22"/>
  <c r="CR89" i="22"/>
  <c r="BX90" i="22"/>
  <c r="CB90" i="22"/>
  <c r="CF90" i="22"/>
  <c r="CR90" i="22"/>
  <c r="BX91" i="22"/>
  <c r="CB91" i="22"/>
  <c r="CF91" i="22"/>
  <c r="CR91" i="22"/>
  <c r="BX92" i="22"/>
  <c r="CB92" i="22"/>
  <c r="CF92" i="22"/>
  <c r="CR92" i="22"/>
  <c r="BX93" i="22"/>
  <c r="CB93" i="22"/>
  <c r="CF93" i="22"/>
  <c r="CR93" i="22"/>
  <c r="BX94" i="22"/>
  <c r="CB94" i="22"/>
  <c r="CF94" i="22"/>
  <c r="CR94" i="22"/>
  <c r="BX95" i="22"/>
  <c r="CB95" i="22"/>
  <c r="CF95" i="22"/>
  <c r="CJ95" i="22"/>
  <c r="CR95" i="22"/>
  <c r="BX96" i="22"/>
  <c r="CB96" i="22"/>
  <c r="CF96" i="22"/>
  <c r="CN96" i="22"/>
  <c r="CR96" i="22"/>
  <c r="BX97" i="22"/>
  <c r="CB97" i="22"/>
  <c r="CF97" i="22"/>
  <c r="CR97" i="22"/>
  <c r="BX98" i="22"/>
  <c r="CB98" i="22"/>
  <c r="CF98" i="22"/>
  <c r="CR98" i="22"/>
  <c r="BX99" i="22"/>
  <c r="CB99" i="22"/>
  <c r="CF99" i="22"/>
  <c r="CR99" i="22"/>
  <c r="BX100" i="22"/>
  <c r="CB100" i="22"/>
  <c r="CF100" i="22"/>
  <c r="CN100" i="22"/>
  <c r="CR100" i="22"/>
  <c r="BX101" i="22"/>
  <c r="CB101" i="22"/>
  <c r="CF101" i="22"/>
  <c r="CJ101" i="22"/>
  <c r="CN101" i="22"/>
  <c r="CR101" i="22"/>
  <c r="BX102" i="22"/>
  <c r="CB102" i="22"/>
  <c r="CK38" i="22"/>
  <c r="CF52" i="22"/>
  <c r="BV56" i="22"/>
  <c r="BV59" i="22"/>
  <c r="CH62" i="22"/>
  <c r="CF66" i="22"/>
  <c r="BZ67" i="22"/>
  <c r="BV68" i="22"/>
  <c r="BX69" i="22"/>
  <c r="CL69" i="22"/>
  <c r="CH71" i="22"/>
  <c r="CH73" i="22"/>
  <c r="CA74" i="22"/>
  <c r="CA75" i="22"/>
  <c r="CQ75" i="22"/>
  <c r="CE77" i="22"/>
  <c r="CA78" i="22"/>
  <c r="CM78" i="22"/>
  <c r="BW79" i="22"/>
  <c r="CM79" i="22"/>
  <c r="BW80" i="22"/>
  <c r="BW81" i="22"/>
  <c r="BW82" i="22"/>
  <c r="BW83" i="22"/>
  <c r="CE84" i="22"/>
  <c r="CQ84" i="22"/>
  <c r="CA86" i="22"/>
  <c r="CA87" i="22"/>
  <c r="CA88" i="22"/>
  <c r="CE89" i="22"/>
  <c r="CE90" i="22"/>
  <c r="CE91" i="22"/>
  <c r="BW92" i="22"/>
  <c r="CG92" i="22"/>
  <c r="BY93" i="22"/>
  <c r="CG93" i="22"/>
  <c r="BY94" i="22"/>
  <c r="CG94" i="22"/>
  <c r="BY95" i="22"/>
  <c r="CG95" i="22"/>
  <c r="CQ95" i="22"/>
  <c r="CA96" i="22"/>
  <c r="CO96" i="22"/>
  <c r="BY97" i="22"/>
  <c r="CG97" i="22"/>
  <c r="BY98" i="22"/>
  <c r="CG98" i="22"/>
  <c r="BY99" i="22"/>
  <c r="CG99" i="22"/>
  <c r="BY100" i="22"/>
  <c r="CG100" i="22"/>
  <c r="CS100" i="22"/>
  <c r="CC101" i="22"/>
  <c r="CK101" i="22"/>
  <c r="BY102" i="22"/>
  <c r="CD102" i="22"/>
  <c r="CH102" i="22"/>
  <c r="CL102" i="22"/>
  <c r="CP102" i="22"/>
  <c r="BV103" i="22"/>
  <c r="BZ103" i="22"/>
  <c r="CD103" i="22"/>
  <c r="CH103" i="22"/>
  <c r="BV104" i="22"/>
  <c r="BZ104" i="22"/>
  <c r="CD104" i="22"/>
  <c r="CH104" i="22"/>
  <c r="BV105" i="22"/>
  <c r="BZ105" i="22"/>
  <c r="CD105" i="22"/>
  <c r="CH105" i="22"/>
  <c r="BV106" i="22"/>
  <c r="BZ106" i="22"/>
  <c r="CD106" i="22"/>
  <c r="CH106" i="22"/>
  <c r="BV107" i="22"/>
  <c r="BZ107" i="22"/>
  <c r="CD107" i="22"/>
  <c r="CH107" i="22"/>
  <c r="CL107" i="22"/>
  <c r="CP107" i="22"/>
  <c r="BV108" i="22"/>
  <c r="BZ108" i="22"/>
  <c r="CD108" i="22"/>
  <c r="CH108" i="22"/>
  <c r="BV109" i="22"/>
  <c r="BZ109" i="22"/>
  <c r="CD109" i="22"/>
  <c r="CH109" i="22"/>
  <c r="CL109" i="22"/>
  <c r="BV110" i="22"/>
  <c r="BZ110" i="22"/>
  <c r="CD110" i="22"/>
  <c r="CH110" i="22"/>
  <c r="BV111" i="22"/>
  <c r="BZ111" i="22"/>
  <c r="CD111" i="22"/>
  <c r="CH111" i="22"/>
  <c r="CL111" i="22"/>
  <c r="CP111" i="22"/>
  <c r="BV112" i="22"/>
  <c r="BZ112" i="22"/>
  <c r="CD112" i="22"/>
  <c r="CH112" i="22"/>
  <c r="BV113" i="22"/>
  <c r="BZ113" i="22"/>
  <c r="CD113" i="22"/>
  <c r="CH113" i="22"/>
  <c r="BV114" i="22"/>
  <c r="BZ114" i="22"/>
  <c r="CD114" i="22"/>
  <c r="CH114" i="22"/>
  <c r="BV115" i="22"/>
  <c r="BZ115" i="22"/>
  <c r="CD115" i="22"/>
  <c r="CH115" i="22"/>
  <c r="CL115" i="22"/>
  <c r="BV116" i="22"/>
  <c r="BZ116" i="22"/>
  <c r="CD116" i="22"/>
  <c r="CH116" i="22"/>
  <c r="BV117" i="22"/>
  <c r="BZ117" i="22"/>
  <c r="CD117" i="22"/>
  <c r="CH117" i="22"/>
  <c r="CP117" i="22"/>
  <c r="BV118" i="22"/>
  <c r="BZ118" i="22"/>
  <c r="CD118" i="22"/>
  <c r="CH118" i="22"/>
  <c r="CP118" i="22"/>
  <c r="BV119" i="22"/>
  <c r="BZ119" i="22"/>
  <c r="CD119" i="22"/>
  <c r="CH119" i="22"/>
  <c r="BV120" i="22"/>
  <c r="BZ120" i="22"/>
  <c r="CD120" i="22"/>
  <c r="CH120" i="22"/>
  <c r="CF45" i="22"/>
  <c r="BV49" i="22"/>
  <c r="CD51" i="22"/>
  <c r="CD55" i="22"/>
  <c r="CN65" i="22"/>
  <c r="CH67" i="22"/>
  <c r="CN67" i="22"/>
  <c r="CD68" i="22"/>
  <c r="CF69" i="22"/>
  <c r="BZ70" i="22"/>
  <c r="BZ72" i="22"/>
  <c r="CE74" i="22"/>
  <c r="CE75" i="22"/>
  <c r="CM75" i="22"/>
  <c r="BW76" i="22"/>
  <c r="CQ76" i="22"/>
  <c r="CE78" i="22"/>
  <c r="CA79" i="22"/>
  <c r="CA80" i="22"/>
  <c r="CA81" i="22"/>
  <c r="CA82" i="22"/>
  <c r="CA83" i="22"/>
  <c r="CM83" i="22"/>
  <c r="CQ83" i="22"/>
  <c r="BW85" i="22"/>
  <c r="CE86" i="22"/>
  <c r="CE87" i="22"/>
  <c r="CE88" i="22"/>
  <c r="CQ88" i="22"/>
  <c r="CQ89" i="22"/>
  <c r="CQ90" i="22"/>
  <c r="CA92" i="22"/>
  <c r="CM92" i="22"/>
  <c r="CQ92" i="22"/>
  <c r="CA93" i="22"/>
  <c r="CQ93" i="22"/>
  <c r="CA94" i="22"/>
  <c r="CI94" i="22"/>
  <c r="CQ94" i="22"/>
  <c r="CA95" i="22"/>
  <c r="CS95" i="22"/>
  <c r="CC96" i="22"/>
  <c r="CQ96" i="22"/>
  <c r="CA97" i="22"/>
  <c r="CQ97" i="22"/>
  <c r="CA98" i="22"/>
  <c r="CI98" i="22"/>
  <c r="CQ98" i="22"/>
  <c r="CA99" i="22"/>
  <c r="CI99" i="22"/>
  <c r="CQ99" i="22"/>
  <c r="CA100" i="22"/>
  <c r="BW101" i="22"/>
  <c r="CE101" i="22"/>
  <c r="CQ101" i="22"/>
  <c r="BZ102" i="22"/>
  <c r="CE102" i="22"/>
  <c r="CM102" i="22"/>
  <c r="CQ102" i="22"/>
  <c r="BW103" i="22"/>
  <c r="CA103" i="22"/>
  <c r="CE103" i="22"/>
  <c r="CI103" i="22"/>
  <c r="CQ103" i="22"/>
  <c r="BW104" i="22"/>
  <c r="CA104" i="22"/>
  <c r="CE104" i="22"/>
  <c r="CQ104" i="22"/>
  <c r="BW105" i="22"/>
  <c r="CA105" i="22"/>
  <c r="CE105" i="22"/>
  <c r="CQ105" i="22"/>
  <c r="BW106" i="22"/>
  <c r="CA106" i="22"/>
  <c r="CE106" i="22"/>
  <c r="CQ106" i="22"/>
  <c r="BW107" i="22"/>
  <c r="CA107" i="22"/>
  <c r="CE107" i="22"/>
  <c r="CM107" i="22"/>
  <c r="CQ107" i="22"/>
  <c r="BW108" i="22"/>
  <c r="CA108" i="22"/>
  <c r="CE108" i="22"/>
  <c r="CI108" i="22"/>
  <c r="CQ108" i="22"/>
  <c r="BW109" i="22"/>
  <c r="CA109" i="22"/>
  <c r="CE109" i="22"/>
  <c r="CQ109" i="22"/>
  <c r="BW110" i="22"/>
  <c r="CA110" i="22"/>
  <c r="CE110" i="22"/>
  <c r="CQ110" i="22"/>
  <c r="BW111" i="22"/>
  <c r="CA111" i="22"/>
  <c r="CE111" i="22"/>
  <c r="CM111" i="22"/>
  <c r="CQ111" i="22"/>
  <c r="BW112" i="22"/>
  <c r="CA112" i="22"/>
  <c r="CE112" i="22"/>
  <c r="CM112" i="22"/>
  <c r="CQ112" i="22"/>
  <c r="BW113" i="22"/>
  <c r="CA113" i="22"/>
  <c r="CE113" i="22"/>
  <c r="CQ113" i="22"/>
  <c r="BW114" i="22"/>
  <c r="CA114" i="22"/>
  <c r="CE114" i="22"/>
  <c r="CQ114" i="22"/>
  <c r="BW115" i="22"/>
  <c r="CA115" i="22"/>
  <c r="CE115" i="22"/>
  <c r="CM115" i="22"/>
  <c r="CQ115" i="22"/>
  <c r="BW116" i="22"/>
  <c r="CA116" i="22"/>
  <c r="CE116" i="22"/>
  <c r="CQ116" i="22"/>
  <c r="BW117" i="22"/>
  <c r="CA117" i="22"/>
  <c r="CE117" i="22"/>
  <c r="CQ117" i="22"/>
  <c r="BW118" i="22"/>
  <c r="CA118" i="22"/>
  <c r="CE118" i="22"/>
  <c r="CQ118" i="22"/>
  <c r="BW119" i="22"/>
  <c r="CA119" i="22"/>
  <c r="CE119" i="22"/>
  <c r="CQ119" i="22"/>
  <c r="BW120" i="22"/>
  <c r="CA120" i="22"/>
  <c r="CE120" i="22"/>
  <c r="CM120" i="22"/>
  <c r="CQ120" i="22"/>
  <c r="BW121" i="22"/>
  <c r="CA121" i="22"/>
  <c r="CE121" i="22"/>
  <c r="CQ121" i="22"/>
  <c r="BW122" i="22"/>
  <c r="CA122" i="22"/>
  <c r="CE122" i="22"/>
  <c r="CM122" i="22"/>
  <c r="CQ122" i="22"/>
  <c r="BW123" i="22"/>
  <c r="CA123" i="22"/>
  <c r="CE123" i="22"/>
  <c r="CM123" i="22"/>
  <c r="CQ123" i="22"/>
  <c r="BW124" i="22"/>
  <c r="CA124" i="22"/>
  <c r="CE124" i="22"/>
  <c r="CQ124" i="22"/>
  <c r="CH46" i="22"/>
  <c r="CD48" i="22"/>
  <c r="BZ57" i="22"/>
  <c r="CD60" i="22"/>
  <c r="CH61" i="22"/>
  <c r="BZ63" i="22"/>
  <c r="CD65" i="22"/>
  <c r="BX66" i="22"/>
  <c r="CJ68" i="22"/>
  <c r="BZ71" i="22"/>
  <c r="BZ73" i="22"/>
  <c r="BW74" i="22"/>
  <c r="BW75" i="22"/>
  <c r="CE76" i="22"/>
  <c r="CA77" i="22"/>
  <c r="BW78" i="22"/>
  <c r="CQ78" i="22"/>
  <c r="CQ79" i="22"/>
  <c r="CQ80" i="22"/>
  <c r="CI81" i="22"/>
  <c r="CQ81" i="22"/>
  <c r="CQ82" i="22"/>
  <c r="CA84" i="22"/>
  <c r="CE85" i="22"/>
  <c r="BW86" i="22"/>
  <c r="BW87" i="22"/>
  <c r="BW88" i="22"/>
  <c r="CA89" i="22"/>
  <c r="CA90" i="22"/>
  <c r="CA91" i="22"/>
  <c r="CM91" i="22"/>
  <c r="CQ91" i="22"/>
  <c r="CE92" i="22"/>
  <c r="BW93" i="22"/>
  <c r="CE93" i="22"/>
  <c r="BW94" i="22"/>
  <c r="CE94" i="22"/>
  <c r="BW95" i="22"/>
  <c r="CE95" i="22"/>
  <c r="BY96" i="22"/>
  <c r="CG96" i="22"/>
  <c r="BW97" i="22"/>
  <c r="CE97" i="22"/>
  <c r="CK97" i="22"/>
  <c r="BW98" i="22"/>
  <c r="CE98" i="22"/>
  <c r="BW99" i="22"/>
  <c r="CE99" i="22"/>
  <c r="BW100" i="22"/>
  <c r="CE100" i="22"/>
  <c r="CQ100" i="22"/>
  <c r="CA101" i="22"/>
  <c r="BW102" i="22"/>
  <c r="CC102" i="22"/>
  <c r="CG102" i="22"/>
  <c r="CK102" i="22"/>
  <c r="CS102" i="22"/>
  <c r="BY103" i="22"/>
  <c r="CC103" i="22"/>
  <c r="CG103" i="22"/>
  <c r="CS103" i="22"/>
  <c r="BY104" i="22"/>
  <c r="CC104" i="22"/>
  <c r="CG104" i="22"/>
  <c r="CS104" i="22"/>
  <c r="BY105" i="22"/>
  <c r="CC105" i="22"/>
  <c r="CG105" i="22"/>
  <c r="CS105" i="22"/>
  <c r="BY106" i="22"/>
  <c r="CC106" i="22"/>
  <c r="CG106" i="22"/>
  <c r="CK106" i="22"/>
  <c r="CS106" i="22"/>
  <c r="BY107" i="22"/>
  <c r="CC107" i="22"/>
  <c r="CG107" i="22"/>
  <c r="CK107" i="22"/>
  <c r="CS107" i="22"/>
  <c r="BY108" i="22"/>
  <c r="CC108" i="22"/>
  <c r="CG108" i="22"/>
  <c r="CS108" i="22"/>
  <c r="BY109" i="22"/>
  <c r="CC109" i="22"/>
  <c r="CG109" i="22"/>
  <c r="CS109" i="22"/>
  <c r="BY110" i="22"/>
  <c r="CC110" i="22"/>
  <c r="CG110" i="22"/>
  <c r="CK110" i="22"/>
  <c r="CS110" i="22"/>
  <c r="BY111" i="22"/>
  <c r="CC111" i="22"/>
  <c r="CG111" i="22"/>
  <c r="CK111" i="22"/>
  <c r="CS111" i="22"/>
  <c r="BY112" i="22"/>
  <c r="CC112" i="22"/>
  <c r="CG112" i="22"/>
  <c r="CK112" i="22"/>
  <c r="CS112" i="22"/>
  <c r="BY113" i="22"/>
  <c r="CC113" i="22"/>
  <c r="CG113" i="22"/>
  <c r="CS113" i="22"/>
  <c r="BY114" i="22"/>
  <c r="CC114" i="22"/>
  <c r="CG114" i="22"/>
  <c r="CS114" i="22"/>
  <c r="BY115" i="22"/>
  <c r="CC115" i="22"/>
  <c r="CG115" i="22"/>
  <c r="CS115" i="22"/>
  <c r="BY116" i="22"/>
  <c r="CC116" i="22"/>
  <c r="CG116" i="22"/>
  <c r="CS116" i="22"/>
  <c r="BY117" i="22"/>
  <c r="CC117" i="22"/>
  <c r="CG117" i="22"/>
  <c r="CO117" i="22"/>
  <c r="CS117" i="22"/>
  <c r="BY118" i="22"/>
  <c r="CC118" i="22"/>
  <c r="CG118" i="22"/>
  <c r="CO118" i="22"/>
  <c r="CS118" i="22"/>
  <c r="BY119" i="22"/>
  <c r="CC119" i="22"/>
  <c r="CG119" i="22"/>
  <c r="CS119" i="22"/>
  <c r="BY120" i="22"/>
  <c r="CC120" i="22"/>
  <c r="CG120" i="22"/>
  <c r="CS120" i="22"/>
  <c r="BY121" i="22"/>
  <c r="CC121" i="22"/>
  <c r="CG121" i="22"/>
  <c r="CS121" i="22"/>
  <c r="BY122" i="22"/>
  <c r="CC122" i="22"/>
  <c r="CG122" i="22"/>
  <c r="CK122" i="22"/>
  <c r="CS122" i="22"/>
  <c r="BY123" i="22"/>
  <c r="CC123" i="22"/>
  <c r="CG123" i="22"/>
  <c r="CS123" i="22"/>
  <c r="BY124" i="22"/>
  <c r="CC124" i="22"/>
  <c r="CG124" i="22"/>
  <c r="CO124" i="22"/>
  <c r="CS124" i="22"/>
  <c r="CD58" i="22"/>
  <c r="CQ73" i="22"/>
  <c r="CE79" i="22"/>
  <c r="CE80" i="22"/>
  <c r="BW84" i="22"/>
  <c r="CA85" i="22"/>
  <c r="CQ86" i="22"/>
  <c r="CC94" i="22"/>
  <c r="CS94" i="22"/>
  <c r="CC97" i="22"/>
  <c r="CS97" i="22"/>
  <c r="CR102" i="22"/>
  <c r="CJ103" i="22"/>
  <c r="BX104" i="22"/>
  <c r="BX105" i="22"/>
  <c r="CJ105" i="22"/>
  <c r="BX106" i="22"/>
  <c r="CB107" i="22"/>
  <c r="CN107" i="22"/>
  <c r="CB108" i="22"/>
  <c r="CF109" i="22"/>
  <c r="CR109" i="22"/>
  <c r="BX111" i="22"/>
  <c r="BX112" i="22"/>
  <c r="CF113" i="22"/>
  <c r="CF114" i="22"/>
  <c r="CF115" i="22"/>
  <c r="BX116" i="22"/>
  <c r="BX117" i="22"/>
  <c r="CN117" i="22"/>
  <c r="CF118" i="22"/>
  <c r="BX119" i="22"/>
  <c r="BX120" i="22"/>
  <c r="BX121" i="22"/>
  <c r="CF121" i="22"/>
  <c r="BX122" i="22"/>
  <c r="CF122" i="22"/>
  <c r="CL122" i="22"/>
  <c r="CR122" i="22"/>
  <c r="CB123" i="22"/>
  <c r="BV124" i="22"/>
  <c r="CD124" i="22"/>
  <c r="CN124" i="22"/>
  <c r="CF44" i="22"/>
  <c r="CH70" i="22"/>
  <c r="CI74" i="22"/>
  <c r="CQ74" i="22"/>
  <c r="BW77" i="22"/>
  <c r="CE81" i="22"/>
  <c r="CE82" i="22"/>
  <c r="CM82" i="22"/>
  <c r="CI87" i="22"/>
  <c r="CQ87" i="22"/>
  <c r="BW89" i="22"/>
  <c r="CC92" i="22"/>
  <c r="CS92" i="22"/>
  <c r="CC95" i="22"/>
  <c r="BW96" i="22"/>
  <c r="CK96" i="22"/>
  <c r="CC98" i="22"/>
  <c r="CS98" i="22"/>
  <c r="CO100" i="22"/>
  <c r="CS101" i="22"/>
  <c r="BX103" i="22"/>
  <c r="CB104" i="22"/>
  <c r="CB105" i="22"/>
  <c r="CB106" i="22"/>
  <c r="CF107" i="22"/>
  <c r="CF108" i="22"/>
  <c r="CR108" i="22"/>
  <c r="BX110" i="22"/>
  <c r="CB111" i="22"/>
  <c r="CN111" i="22"/>
  <c r="CB112" i="22"/>
  <c r="CR112" i="22"/>
  <c r="CR113" i="22"/>
  <c r="CR114" i="22"/>
  <c r="CB116" i="22"/>
  <c r="CB117" i="22"/>
  <c r="CR117" i="22"/>
  <c r="CB119" i="22"/>
  <c r="CB120" i="22"/>
  <c r="BZ121" i="22"/>
  <c r="CH121" i="22"/>
  <c r="BZ122" i="22"/>
  <c r="CH122" i="22"/>
  <c r="BV123" i="22"/>
  <c r="CD123" i="22"/>
  <c r="BX124" i="22"/>
  <c r="CF124" i="22"/>
  <c r="CB53" i="22"/>
  <c r="CS53" i="22"/>
  <c r="CH64" i="22"/>
  <c r="BV65" i="22"/>
  <c r="CA76" i="22"/>
  <c r="CQ77" i="22"/>
  <c r="CQ85" i="22"/>
  <c r="BW91" i="22"/>
  <c r="CS93" i="22"/>
  <c r="CS96" i="22"/>
  <c r="CC100" i="22"/>
  <c r="CG101" i="22"/>
  <c r="CF102" i="22"/>
  <c r="CF103" i="22"/>
  <c r="CR103" i="22"/>
  <c r="CR104" i="22"/>
  <c r="CR105" i="22"/>
  <c r="BX107" i="22"/>
  <c r="BX108" i="22"/>
  <c r="CB109" i="22"/>
  <c r="CF110" i="22"/>
  <c r="CR110" i="22"/>
  <c r="CR111" i="22"/>
  <c r="CB113" i="22"/>
  <c r="CB114" i="22"/>
  <c r="CB115" i="22"/>
  <c r="CR115" i="22"/>
  <c r="CR116" i="22"/>
  <c r="CB118" i="22"/>
  <c r="CR118" i="22"/>
  <c r="CR119" i="22"/>
  <c r="BV121" i="22"/>
  <c r="CD121" i="22"/>
  <c r="BV122" i="22"/>
  <c r="CD122" i="22"/>
  <c r="BZ123" i="22"/>
  <c r="CH123" i="22"/>
  <c r="CR123" i="22"/>
  <c r="CB124" i="22"/>
  <c r="CE83" i="22"/>
  <c r="CB103" i="22"/>
  <c r="CF105" i="22"/>
  <c r="CF106" i="22"/>
  <c r="CR106" i="22"/>
  <c r="CR107" i="22"/>
  <c r="BX109" i="22"/>
  <c r="CB110" i="22"/>
  <c r="CF111" i="22"/>
  <c r="CF112" i="22"/>
  <c r="BX114" i="22"/>
  <c r="CF116" i="22"/>
  <c r="CB121" i="22"/>
  <c r="BX123" i="22"/>
  <c r="CS11" i="22"/>
  <c r="CO11" i="22"/>
  <c r="CG11" i="22"/>
  <c r="CC11" i="22"/>
  <c r="BY11" i="22"/>
  <c r="CP60" i="22"/>
  <c r="CN102" i="22"/>
  <c r="CB122" i="22"/>
  <c r="BW11" i="22"/>
  <c r="BW90" i="22"/>
  <c r="CE96" i="22"/>
  <c r="BY101" i="22"/>
  <c r="BX115" i="22"/>
  <c r="CF117" i="22"/>
  <c r="CJ118" i="22"/>
  <c r="CN118" i="22"/>
  <c r="CR121" i="22"/>
  <c r="CF123" i="22"/>
  <c r="BZ124" i="22"/>
  <c r="CR124" i="22"/>
  <c r="CR11" i="22"/>
  <c r="CF11" i="22"/>
  <c r="CB11" i="22"/>
  <c r="BX11" i="22"/>
  <c r="BY12" i="22"/>
  <c r="CC93" i="22"/>
  <c r="CF119" i="22"/>
  <c r="CA11" i="22"/>
  <c r="CH72" i="22"/>
  <c r="CC99" i="22"/>
  <c r="CS99" i="22"/>
  <c r="CA102" i="22"/>
  <c r="CF104" i="22"/>
  <c r="BX113" i="22"/>
  <c r="BX118" i="22"/>
  <c r="CF120" i="22"/>
  <c r="CR120" i="22"/>
  <c r="CP11" i="22"/>
  <c r="CH11" i="22"/>
  <c r="CD11" i="22"/>
  <c r="BZ11" i="22"/>
  <c r="BV11" i="22"/>
  <c r="CH124" i="22"/>
  <c r="CQ11" i="22"/>
  <c r="CE11" i="22"/>
  <c r="P5" i="36"/>
  <c r="AU5" i="36"/>
  <c r="Q6" i="36"/>
  <c r="G6" i="36" s="1"/>
  <c r="AV6" i="36"/>
  <c r="J8" i="36"/>
  <c r="AD8" i="36"/>
  <c r="D9" i="36"/>
  <c r="S9" i="36"/>
  <c r="AX9" i="36"/>
  <c r="O10" i="36"/>
  <c r="AI10" i="36"/>
  <c r="L11" i="36"/>
  <c r="T11" i="36"/>
  <c r="AW11" i="36"/>
  <c r="N14" i="36"/>
  <c r="AH14" i="36"/>
  <c r="D15" i="36"/>
  <c r="S15" i="36"/>
  <c r="AW15" i="36"/>
  <c r="O16" i="36"/>
  <c r="AI16" i="36"/>
  <c r="J22" i="36"/>
  <c r="AD22" i="36"/>
  <c r="J35" i="36"/>
  <c r="G9" i="9"/>
  <c r="G10" i="9"/>
  <c r="D5" i="36"/>
  <c r="K5" i="36"/>
  <c r="O5" i="36"/>
  <c r="S5" i="36"/>
  <c r="AF5" i="36"/>
  <c r="AJ5" i="36"/>
  <c r="AX5" i="36"/>
  <c r="L6" i="36"/>
  <c r="P6" i="36"/>
  <c r="T6" i="36"/>
  <c r="AG6" i="36"/>
  <c r="AU6" i="36"/>
  <c r="AY6" i="36"/>
  <c r="M8" i="36"/>
  <c r="Q8" i="36"/>
  <c r="G8" i="36" s="1"/>
  <c r="AG8" i="36"/>
  <c r="AU8" i="36"/>
  <c r="AY8" i="36"/>
  <c r="J9" i="36"/>
  <c r="N9" i="36"/>
  <c r="R9" i="36"/>
  <c r="AE9" i="36"/>
  <c r="AI9" i="36"/>
  <c r="AW9" i="36"/>
  <c r="E10" i="36"/>
  <c r="J10" i="36"/>
  <c r="N10" i="36"/>
  <c r="R10" i="36"/>
  <c r="AD10" i="36"/>
  <c r="AH10" i="36"/>
  <c r="AV10" i="36"/>
  <c r="D11" i="36"/>
  <c r="K11" i="36"/>
  <c r="O11" i="36"/>
  <c r="S11" i="36"/>
  <c r="AD11" i="36"/>
  <c r="AH11" i="36"/>
  <c r="AV11" i="36"/>
  <c r="M14" i="36"/>
  <c r="E35" i="36" s="1"/>
  <c r="Q14" i="36"/>
  <c r="G14" i="36" s="1"/>
  <c r="AG14" i="36"/>
  <c r="AU14" i="36"/>
  <c r="AY14" i="36"/>
  <c r="J15" i="36"/>
  <c r="N15" i="36"/>
  <c r="R15" i="36"/>
  <c r="AD15" i="36"/>
  <c r="AH15" i="36"/>
  <c r="AV15" i="36"/>
  <c r="D16" i="36"/>
  <c r="J16" i="36"/>
  <c r="N16" i="36"/>
  <c r="R16" i="36"/>
  <c r="AD16" i="36"/>
  <c r="AH16" i="36"/>
  <c r="AX16" i="36"/>
  <c r="M22" i="36"/>
  <c r="Q22" i="36"/>
  <c r="G22" i="36" s="1"/>
  <c r="AG22" i="36"/>
  <c r="AU22" i="36"/>
  <c r="AY22" i="36"/>
  <c r="M35" i="36"/>
  <c r="L5" i="36"/>
  <c r="T5" i="36"/>
  <c r="AY5" i="36"/>
  <c r="AD6" i="36"/>
  <c r="N8" i="36"/>
  <c r="AH8" i="36"/>
  <c r="K9" i="36"/>
  <c r="AF9" i="36"/>
  <c r="S10" i="36"/>
  <c r="AW10" i="36"/>
  <c r="P11" i="36"/>
  <c r="AI11" i="36"/>
  <c r="J14" i="36"/>
  <c r="AD14" i="36"/>
  <c r="K15" i="36"/>
  <c r="AE15" i="36"/>
  <c r="E16" i="36"/>
  <c r="S16" i="36"/>
  <c r="AU16" i="36"/>
  <c r="N22" i="36"/>
  <c r="AH22" i="36"/>
  <c r="N35" i="36"/>
  <c r="G8" i="9"/>
  <c r="G11" i="9"/>
  <c r="M5" i="36"/>
  <c r="Q5" i="36"/>
  <c r="G5" i="36" s="1"/>
  <c r="AD5" i="36"/>
  <c r="AH5" i="36"/>
  <c r="AV5" i="36"/>
  <c r="D6" i="36"/>
  <c r="J6" i="36"/>
  <c r="N6" i="36"/>
  <c r="R6" i="36"/>
  <c r="AE6" i="36"/>
  <c r="AI6" i="36"/>
  <c r="AW6" i="36"/>
  <c r="D8" i="36"/>
  <c r="K8" i="36"/>
  <c r="O8" i="36"/>
  <c r="S8" i="36"/>
  <c r="AE8" i="36"/>
  <c r="AI8" i="36"/>
  <c r="AW8" i="36"/>
  <c r="E9" i="36"/>
  <c r="L9" i="36"/>
  <c r="P9" i="36"/>
  <c r="T9" i="36"/>
  <c r="AG9" i="36"/>
  <c r="AU9" i="36"/>
  <c r="AY9" i="36"/>
  <c r="L10" i="36"/>
  <c r="P10" i="36"/>
  <c r="T10" i="36"/>
  <c r="AF10" i="36"/>
  <c r="AJ10" i="36"/>
  <c r="AX10" i="36"/>
  <c r="M11" i="36"/>
  <c r="Q11" i="36"/>
  <c r="G11" i="36" s="1"/>
  <c r="AF11" i="36"/>
  <c r="AJ11" i="36"/>
  <c r="AX11" i="36"/>
  <c r="E14" i="36"/>
  <c r="K14" i="36"/>
  <c r="R35" i="36" s="1"/>
  <c r="X29" i="36" s="1"/>
  <c r="O14" i="36"/>
  <c r="Q35" i="36" s="1"/>
  <c r="W29" i="36" s="1"/>
  <c r="S14" i="36"/>
  <c r="AE14" i="36"/>
  <c r="AI14" i="36"/>
  <c r="AW14" i="36"/>
  <c r="E15" i="36"/>
  <c r="L15" i="36"/>
  <c r="P15" i="36"/>
  <c r="T15" i="36"/>
  <c r="AF15" i="36"/>
  <c r="AJ15" i="36"/>
  <c r="AX15" i="36"/>
  <c r="L16" i="36"/>
  <c r="P16" i="36"/>
  <c r="T16" i="36"/>
  <c r="AF16" i="36"/>
  <c r="AJ16" i="36"/>
  <c r="AV16" i="36"/>
  <c r="D22" i="36"/>
  <c r="K22" i="36"/>
  <c r="O22" i="36"/>
  <c r="S22" i="36"/>
  <c r="AE22" i="36"/>
  <c r="AI22" i="36"/>
  <c r="AW22" i="36"/>
  <c r="K35" i="36"/>
  <c r="E5" i="36"/>
  <c r="AG5" i="36"/>
  <c r="M6" i="36"/>
  <c r="AH6" i="36"/>
  <c r="R8" i="36"/>
  <c r="AV8" i="36"/>
  <c r="O9" i="36"/>
  <c r="AJ9" i="36"/>
  <c r="K10" i="36"/>
  <c r="AE10" i="36"/>
  <c r="E11" i="36"/>
  <c r="AE11" i="36"/>
  <c r="D14" i="36"/>
  <c r="R14" i="36"/>
  <c r="AV14" i="36"/>
  <c r="O15" i="36"/>
  <c r="AI15" i="36"/>
  <c r="K16" i="36"/>
  <c r="AE16" i="36"/>
  <c r="AY16" i="36"/>
  <c r="R22" i="36"/>
  <c r="AV22" i="36"/>
  <c r="G6" i="9"/>
  <c r="J5" i="36"/>
  <c r="N5" i="36"/>
  <c r="R5" i="36"/>
  <c r="AE5" i="36"/>
  <c r="AI5" i="36"/>
  <c r="AW5" i="36"/>
  <c r="E6" i="36"/>
  <c r="K6" i="36"/>
  <c r="O6" i="36"/>
  <c r="S6" i="36"/>
  <c r="AF6" i="36"/>
  <c r="AJ6" i="36"/>
  <c r="AX6" i="36"/>
  <c r="E8" i="36"/>
  <c r="L8" i="36"/>
  <c r="P8" i="36"/>
  <c r="T8" i="36"/>
  <c r="AF8" i="36"/>
  <c r="AJ8" i="36"/>
  <c r="AX8" i="36"/>
  <c r="M9" i="36"/>
  <c r="Q9" i="36"/>
  <c r="G9" i="36" s="1"/>
  <c r="AD9" i="36"/>
  <c r="AH9" i="36"/>
  <c r="AV9" i="36"/>
  <c r="D10" i="36"/>
  <c r="M10" i="36"/>
  <c r="Q10" i="36"/>
  <c r="G10" i="36" s="1"/>
  <c r="AG10" i="36"/>
  <c r="AU10" i="36"/>
  <c r="AY10" i="36"/>
  <c r="J11" i="36"/>
  <c r="N11" i="36"/>
  <c r="R11" i="36"/>
  <c r="AG11" i="36"/>
  <c r="AU11" i="36"/>
  <c r="AY11" i="36"/>
  <c r="L14" i="36"/>
  <c r="P14" i="36"/>
  <c r="T14" i="36"/>
  <c r="AF14" i="36"/>
  <c r="AJ14" i="36"/>
  <c r="AX14" i="36"/>
  <c r="M15" i="36"/>
  <c r="Q15" i="36"/>
  <c r="G15" i="36" s="1"/>
  <c r="AG15" i="36"/>
  <c r="AU15" i="36"/>
  <c r="AY15" i="36"/>
  <c r="M16" i="36"/>
  <c r="Q16" i="36"/>
  <c r="G16" i="36" s="1"/>
  <c r="AG16" i="36"/>
  <c r="AW16" i="36"/>
  <c r="E22" i="36"/>
  <c r="L22" i="36"/>
  <c r="P22" i="36"/>
  <c r="T22" i="36"/>
  <c r="AF22" i="36"/>
  <c r="AJ22" i="36"/>
  <c r="AX22" i="36"/>
  <c r="L35" i="36"/>
  <c r="AE61" i="36"/>
  <c r="AA61" i="36"/>
  <c r="W61" i="36"/>
  <c r="S61" i="36"/>
  <c r="O61" i="36"/>
  <c r="K61" i="36"/>
  <c r="D61" i="36"/>
  <c r="AD54" i="36"/>
  <c r="Z54" i="36"/>
  <c r="V54" i="36"/>
  <c r="R54" i="36"/>
  <c r="N54" i="36"/>
  <c r="E54" i="36"/>
  <c r="AE53" i="36"/>
  <c r="AA53" i="36"/>
  <c r="W53" i="36"/>
  <c r="S53" i="36"/>
  <c r="O53" i="36"/>
  <c r="K53" i="36"/>
  <c r="D53" i="36"/>
  <c r="AD61" i="36"/>
  <c r="Z61" i="36"/>
  <c r="V61" i="36"/>
  <c r="R61" i="36"/>
  <c r="N61" i="36"/>
  <c r="I61" i="36"/>
  <c r="Y54" i="36"/>
  <c r="U54" i="36"/>
  <c r="Q54" i="36"/>
  <c r="M54" i="36"/>
  <c r="I54" i="36"/>
  <c r="D54" i="36"/>
  <c r="AD53" i="36"/>
  <c r="Z53" i="36"/>
  <c r="V53" i="36"/>
  <c r="R53" i="36"/>
  <c r="N53" i="36"/>
  <c r="I53" i="36"/>
  <c r="I54" i="9"/>
  <c r="L53" i="36"/>
  <c r="T53" i="36"/>
  <c r="AB53" i="36"/>
  <c r="O54" i="36"/>
  <c r="W54" i="36"/>
  <c r="AE54" i="36"/>
  <c r="L61" i="36"/>
  <c r="T61" i="36"/>
  <c r="AB61" i="36"/>
  <c r="AC61" i="36"/>
  <c r="Q53" i="36"/>
  <c r="Y53" i="36"/>
  <c r="L54" i="36"/>
  <c r="T54" i="36"/>
  <c r="AB54" i="36"/>
  <c r="Q61" i="36"/>
  <c r="Y61" i="36"/>
  <c r="AG61" i="36"/>
  <c r="G5" i="9"/>
  <c r="BA72" i="23"/>
  <c r="BB72" i="23" s="1"/>
  <c r="BC72" i="23"/>
  <c r="BD72" i="23" s="1"/>
  <c r="BG72" i="23"/>
  <c r="BH72" i="23"/>
  <c r="BI72" i="23"/>
  <c r="BA73" i="23"/>
  <c r="BB73" i="23" s="1"/>
  <c r="BC73" i="23"/>
  <c r="BD73" i="23" s="1"/>
  <c r="BG73" i="23"/>
  <c r="BH73" i="23"/>
  <c r="BI73" i="23"/>
  <c r="BA74" i="23"/>
  <c r="BB74" i="23" s="1"/>
  <c r="BC74" i="23"/>
  <c r="BD74" i="23" s="1"/>
  <c r="BG74" i="23"/>
  <c r="BH74" i="23"/>
  <c r="BI74" i="23"/>
  <c r="BA75" i="23"/>
  <c r="BB75" i="23" s="1"/>
  <c r="BC75" i="23"/>
  <c r="BD75" i="23" s="1"/>
  <c r="BG75" i="23"/>
  <c r="BH75" i="23"/>
  <c r="BI75" i="23"/>
  <c r="BA76" i="23"/>
  <c r="BB76" i="23" s="1"/>
  <c r="BC76" i="23"/>
  <c r="BD76" i="23" s="1"/>
  <c r="BG76" i="23"/>
  <c r="BH76" i="23"/>
  <c r="BI76" i="23"/>
  <c r="BA77" i="23"/>
  <c r="BB77" i="23" s="1"/>
  <c r="BC77" i="23"/>
  <c r="BD77" i="23" s="1"/>
  <c r="BG77" i="23"/>
  <c r="BH77" i="23"/>
  <c r="BI77" i="23"/>
  <c r="BA78" i="23"/>
  <c r="BB78" i="23" s="1"/>
  <c r="BC78" i="23"/>
  <c r="BD78" i="23" s="1"/>
  <c r="BG78" i="23"/>
  <c r="BH78" i="23"/>
  <c r="BI78" i="23"/>
  <c r="BA79" i="23"/>
  <c r="BB79" i="23" s="1"/>
  <c r="BC79" i="23"/>
  <c r="BD79" i="23" s="1"/>
  <c r="BG79" i="23"/>
  <c r="BH79" i="23"/>
  <c r="BI79" i="23"/>
  <c r="BA80" i="23"/>
  <c r="BB80" i="23" s="1"/>
  <c r="BC80" i="23"/>
  <c r="BD80" i="23" s="1"/>
  <c r="BG80" i="23"/>
  <c r="BH80" i="23"/>
  <c r="BI80" i="23"/>
  <c r="BA81" i="23"/>
  <c r="BB81" i="23" s="1"/>
  <c r="BC81" i="23"/>
  <c r="BD81" i="23" s="1"/>
  <c r="BG81" i="23"/>
  <c r="BH81" i="23"/>
  <c r="BI81" i="23"/>
  <c r="BA82" i="23"/>
  <c r="BB82" i="23" s="1"/>
  <c r="BC82" i="23"/>
  <c r="BD82" i="23" s="1"/>
  <c r="BG82" i="23"/>
  <c r="BH82" i="23"/>
  <c r="BI82" i="23"/>
  <c r="BA83" i="23"/>
  <c r="BB83" i="23" s="1"/>
  <c r="BC83" i="23"/>
  <c r="BD83" i="23" s="1"/>
  <c r="BG83" i="23"/>
  <c r="BH83" i="23"/>
  <c r="BI83" i="23"/>
  <c r="BA84" i="23"/>
  <c r="BB84" i="23" s="1"/>
  <c r="BC84" i="23"/>
  <c r="BD84" i="23" s="1"/>
  <c r="BG84" i="23"/>
  <c r="BH84" i="23"/>
  <c r="BI84" i="23"/>
  <c r="BA85" i="23"/>
  <c r="BB85" i="23" s="1"/>
  <c r="BC85" i="23"/>
  <c r="BD85" i="23" s="1"/>
  <c r="BG85" i="23"/>
  <c r="BH85" i="23"/>
  <c r="BI85" i="23"/>
  <c r="AV88" i="22"/>
  <c r="AW88" i="22"/>
  <c r="AX88" i="22" s="1"/>
  <c r="BA88" i="22"/>
  <c r="BB88" i="22"/>
  <c r="BC88" i="22"/>
  <c r="BD88" i="22"/>
  <c r="BE88" i="22"/>
  <c r="BF88" i="22"/>
  <c r="BG88" i="22"/>
  <c r="BH88" i="22"/>
  <c r="BI88" i="22"/>
  <c r="BJ88" i="22"/>
  <c r="BK88" i="22"/>
  <c r="BL88" i="22"/>
  <c r="BM88" i="22"/>
  <c r="BN88" i="22"/>
  <c r="BO88" i="22"/>
  <c r="BP88" i="22"/>
  <c r="BQ88" i="22"/>
  <c r="BR88" i="22"/>
  <c r="BS88" i="22"/>
  <c r="BT88" i="22"/>
  <c r="BU88" i="22"/>
  <c r="AV89" i="22"/>
  <c r="AW89" i="22"/>
  <c r="AX89" i="22" s="1"/>
  <c r="BA89" i="22"/>
  <c r="BB89" i="22"/>
  <c r="BC89" i="22"/>
  <c r="BD89" i="22"/>
  <c r="BE89" i="22"/>
  <c r="BF89" i="22"/>
  <c r="BG89" i="22"/>
  <c r="BH89" i="22"/>
  <c r="BI89" i="22"/>
  <c r="BJ89" i="22"/>
  <c r="BK89" i="22"/>
  <c r="BL89" i="22"/>
  <c r="BM89" i="22"/>
  <c r="BN89" i="22"/>
  <c r="BO89" i="22"/>
  <c r="BP89" i="22"/>
  <c r="BQ89" i="22"/>
  <c r="BR89" i="22"/>
  <c r="BS89" i="22"/>
  <c r="BT89" i="22"/>
  <c r="BU89" i="22"/>
  <c r="AV90" i="22"/>
  <c r="AW90" i="22"/>
  <c r="AX90" i="22" s="1"/>
  <c r="BA90" i="22"/>
  <c r="BB90" i="22"/>
  <c r="BC90" i="22"/>
  <c r="BD90" i="22"/>
  <c r="BE90" i="22"/>
  <c r="BF90" i="22"/>
  <c r="BG90" i="22"/>
  <c r="BH90" i="22"/>
  <c r="BI90" i="22"/>
  <c r="BJ90" i="22"/>
  <c r="BK90" i="22"/>
  <c r="BL90" i="22"/>
  <c r="BM90" i="22"/>
  <c r="BN90" i="22"/>
  <c r="BO90" i="22"/>
  <c r="BP90" i="22"/>
  <c r="BQ90" i="22"/>
  <c r="BR90" i="22"/>
  <c r="BS90" i="22"/>
  <c r="BT90" i="22"/>
  <c r="BU90" i="22"/>
  <c r="D48" i="36" l="1"/>
  <c r="H17" i="9"/>
  <c r="J64" i="33"/>
  <c r="G64" i="33"/>
  <c r="F64" i="33"/>
  <c r="H64" i="33"/>
  <c r="J71" i="34"/>
  <c r="J70" i="33"/>
  <c r="G71" i="34"/>
  <c r="H71" i="34"/>
  <c r="F71" i="34"/>
  <c r="G70" i="33"/>
  <c r="H70" i="33"/>
  <c r="F70" i="33"/>
  <c r="AH58" i="37"/>
  <c r="AL13" i="33"/>
  <c r="H17" i="33"/>
  <c r="H21" i="33"/>
  <c r="AP13" i="33"/>
  <c r="AO13" i="33"/>
  <c r="AT13" i="33"/>
  <c r="Y21" i="33"/>
  <c r="X21" i="33"/>
  <c r="V13" i="33"/>
  <c r="AB13" i="33"/>
  <c r="AC13" i="33"/>
  <c r="AA13" i="33"/>
  <c r="AK13" i="33"/>
  <c r="W13" i="33"/>
  <c r="Z13" i="33"/>
  <c r="U13" i="33"/>
  <c r="AP21" i="33"/>
  <c r="AO21" i="33"/>
  <c r="F13" i="33"/>
  <c r="AS21" i="33"/>
  <c r="AR21" i="33"/>
  <c r="AT21" i="33"/>
  <c r="AZ21" i="33"/>
  <c r="AM21" i="33"/>
  <c r="AQ21" i="33"/>
  <c r="AL21" i="33"/>
  <c r="AN21" i="33"/>
  <c r="AR13" i="33"/>
  <c r="AN13" i="33"/>
  <c r="AM13" i="33"/>
  <c r="AS13" i="33"/>
  <c r="AQ13" i="33"/>
  <c r="AZ13" i="33"/>
  <c r="F21" i="33"/>
  <c r="Y13" i="33"/>
  <c r="X13" i="33"/>
  <c r="H13" i="33"/>
  <c r="AK21" i="33"/>
  <c r="AA21" i="33"/>
  <c r="Z21" i="33"/>
  <c r="W21" i="33"/>
  <c r="V21" i="33"/>
  <c r="U21" i="33"/>
  <c r="AC21" i="33"/>
  <c r="AB21" i="33"/>
  <c r="H18" i="33"/>
  <c r="F20" i="33"/>
  <c r="AP20" i="33"/>
  <c r="AO20" i="33"/>
  <c r="H20" i="33"/>
  <c r="AB20" i="33"/>
  <c r="AK20" i="33"/>
  <c r="V20" i="33"/>
  <c r="AA20" i="33"/>
  <c r="W20" i="33"/>
  <c r="AC20" i="33"/>
  <c r="U20" i="33"/>
  <c r="AT20" i="33"/>
  <c r="AM20" i="33"/>
  <c r="AR20" i="33"/>
  <c r="AS20" i="33"/>
  <c r="AN20" i="33"/>
  <c r="AQ20" i="33"/>
  <c r="AZ20" i="33"/>
  <c r="AL20" i="33"/>
  <c r="Z20" i="33"/>
  <c r="X20" i="33"/>
  <c r="Y20" i="33"/>
  <c r="F18" i="33"/>
  <c r="AP18" i="33"/>
  <c r="AO18" i="33"/>
  <c r="X18" i="33"/>
  <c r="Y18" i="33"/>
  <c r="U18" i="33"/>
  <c r="AA18" i="33"/>
  <c r="AC18" i="33"/>
  <c r="V18" i="33"/>
  <c r="W18" i="33"/>
  <c r="Z18" i="33"/>
  <c r="AK18" i="33"/>
  <c r="AB18" i="33"/>
  <c r="AS18" i="33"/>
  <c r="AT18" i="33"/>
  <c r="AM18" i="33"/>
  <c r="AQ18" i="33"/>
  <c r="AL18" i="33"/>
  <c r="AZ18" i="33"/>
  <c r="AR18" i="33"/>
  <c r="AN18" i="33"/>
  <c r="G16" i="33"/>
  <c r="H12" i="33"/>
  <c r="AP11" i="33"/>
  <c r="AO11" i="33"/>
  <c r="AP12" i="33"/>
  <c r="AO12" i="33"/>
  <c r="V11" i="33"/>
  <c r="AA11" i="33"/>
  <c r="Z11" i="33"/>
  <c r="AB11" i="33"/>
  <c r="W11" i="33"/>
  <c r="U11" i="33"/>
  <c r="AK11" i="33"/>
  <c r="AC11" i="33"/>
  <c r="AL12" i="33"/>
  <c r="AR12" i="33"/>
  <c r="AT12" i="33"/>
  <c r="AQ12" i="33"/>
  <c r="AZ12" i="33"/>
  <c r="AN12" i="33"/>
  <c r="AS12" i="33"/>
  <c r="AM12" i="33"/>
  <c r="F17" i="33"/>
  <c r="X17" i="33"/>
  <c r="Y17" i="33"/>
  <c r="AQ17" i="33"/>
  <c r="AS17" i="33"/>
  <c r="AM17" i="33"/>
  <c r="AR17" i="33"/>
  <c r="AL17" i="33"/>
  <c r="AZ17" i="33"/>
  <c r="AN17" i="33"/>
  <c r="H11" i="33"/>
  <c r="X12" i="33"/>
  <c r="Y12" i="33"/>
  <c r="F12" i="33"/>
  <c r="F11" i="33"/>
  <c r="AK17" i="33"/>
  <c r="Z17" i="33"/>
  <c r="V17" i="33"/>
  <c r="W17" i="33"/>
  <c r="U17" i="33"/>
  <c r="AA17" i="33"/>
  <c r="AC17" i="33"/>
  <c r="AB17" i="33"/>
  <c r="X11" i="33"/>
  <c r="Y11" i="33"/>
  <c r="AN11" i="33"/>
  <c r="AR11" i="33"/>
  <c r="AT11" i="33"/>
  <c r="AS11" i="33"/>
  <c r="AQ11" i="33"/>
  <c r="AM11" i="33"/>
  <c r="AZ11" i="33"/>
  <c r="AL11" i="33"/>
  <c r="AK12" i="33"/>
  <c r="V12" i="33"/>
  <c r="W12" i="33"/>
  <c r="U12" i="33"/>
  <c r="Z12" i="33"/>
  <c r="AA12" i="33"/>
  <c r="AB12" i="33"/>
  <c r="AC12" i="33"/>
  <c r="AT17" i="33"/>
  <c r="AO17" i="33"/>
  <c r="AP17" i="33"/>
  <c r="H19" i="33"/>
  <c r="U9" i="33"/>
  <c r="V9" i="33"/>
  <c r="AA9" i="33"/>
  <c r="AC9" i="33"/>
  <c r="W9" i="33"/>
  <c r="AK9" i="33"/>
  <c r="Z9" i="33"/>
  <c r="AB9" i="33"/>
  <c r="F19" i="33"/>
  <c r="U19" i="33"/>
  <c r="AL19" i="33"/>
  <c r="AS19" i="33"/>
  <c r="AZ19" i="33"/>
  <c r="AT19" i="33"/>
  <c r="AR19" i="33"/>
  <c r="AQ19" i="33"/>
  <c r="AN19" i="33"/>
  <c r="AM19" i="33"/>
  <c r="V19" i="33"/>
  <c r="AK19" i="33"/>
  <c r="AB19" i="33"/>
  <c r="AA19" i="33"/>
  <c r="Z19" i="33"/>
  <c r="AC19" i="33"/>
  <c r="F26" i="33"/>
  <c r="H8" i="33"/>
  <c r="AP19" i="33"/>
  <c r="AO19" i="33"/>
  <c r="AQ9" i="33"/>
  <c r="AL9" i="33"/>
  <c r="AM9" i="33"/>
  <c r="AZ9" i="33"/>
  <c r="AT9" i="33"/>
  <c r="AR9" i="33"/>
  <c r="AS9" i="33"/>
  <c r="AN9" i="33"/>
  <c r="F9" i="33"/>
  <c r="W19" i="33"/>
  <c r="Y19" i="33"/>
  <c r="X19" i="33"/>
  <c r="H9" i="33"/>
  <c r="X9" i="33"/>
  <c r="Y9" i="33"/>
  <c r="AP9" i="33"/>
  <c r="AO9" i="33"/>
  <c r="AP8" i="33"/>
  <c r="AO8" i="33"/>
  <c r="F8" i="33"/>
  <c r="Y6" i="33"/>
  <c r="X6" i="33"/>
  <c r="AT8" i="33"/>
  <c r="AQ8" i="33"/>
  <c r="AL8" i="33"/>
  <c r="AZ8" i="33"/>
  <c r="AN8" i="33"/>
  <c r="AM8" i="33"/>
  <c r="AS8" i="33"/>
  <c r="AR8" i="33"/>
  <c r="AB26" i="33"/>
  <c r="V26" i="33"/>
  <c r="Z26" i="33"/>
  <c r="U26" i="33"/>
  <c r="AK26" i="33"/>
  <c r="AA26" i="33"/>
  <c r="AC26" i="33"/>
  <c r="W26" i="33"/>
  <c r="AB8" i="33"/>
  <c r="V8" i="33"/>
  <c r="Z8" i="33"/>
  <c r="W8" i="33"/>
  <c r="AK8" i="33"/>
  <c r="AA8" i="33"/>
  <c r="U8" i="33"/>
  <c r="AC8" i="33"/>
  <c r="U6" i="33"/>
  <c r="V6" i="33"/>
  <c r="W6" i="33"/>
  <c r="AB6" i="33"/>
  <c r="AC6" i="33"/>
  <c r="Z6" i="33"/>
  <c r="AA6" i="33"/>
  <c r="AK6" i="33"/>
  <c r="W31" i="33"/>
  <c r="X35" i="33"/>
  <c r="W30" i="33"/>
  <c r="X34" i="33"/>
  <c r="W37" i="33"/>
  <c r="X31" i="33"/>
  <c r="W32" i="33"/>
  <c r="W35" i="33"/>
  <c r="X36" i="33"/>
  <c r="X33" i="33"/>
  <c r="X30" i="33"/>
  <c r="W34" i="33"/>
  <c r="X32" i="33"/>
  <c r="X37" i="33"/>
  <c r="W36" i="33"/>
  <c r="W33" i="33"/>
  <c r="Y26" i="33"/>
  <c r="X26" i="33"/>
  <c r="AO6" i="33"/>
  <c r="AP6" i="33"/>
  <c r="H6" i="33"/>
  <c r="G5" i="33"/>
  <c r="H26" i="33"/>
  <c r="X8" i="33"/>
  <c r="Y8" i="33"/>
  <c r="AM26" i="33"/>
  <c r="AT26" i="33"/>
  <c r="AN26" i="33"/>
  <c r="AL26" i="33"/>
  <c r="AS26" i="33"/>
  <c r="AQ26" i="33"/>
  <c r="AZ26" i="33"/>
  <c r="AR26" i="33"/>
  <c r="AR6" i="33"/>
  <c r="AS6" i="33"/>
  <c r="AQ6" i="33"/>
  <c r="AZ6" i="33"/>
  <c r="AL6" i="33"/>
  <c r="AT6" i="33"/>
  <c r="AN6" i="33"/>
  <c r="AP26" i="33"/>
  <c r="AO26" i="33"/>
  <c r="F6" i="33"/>
  <c r="AM6" i="33"/>
  <c r="AS21" i="34"/>
  <c r="AM21" i="34"/>
  <c r="AL21" i="34"/>
  <c r="AT21" i="34"/>
  <c r="AN21" i="34"/>
  <c r="AQ21" i="34"/>
  <c r="AR21" i="34"/>
  <c r="AZ21" i="34"/>
  <c r="F21" i="34"/>
  <c r="Y21" i="34"/>
  <c r="X21" i="34"/>
  <c r="H21" i="34"/>
  <c r="Z21" i="34"/>
  <c r="AB21" i="34"/>
  <c r="W21" i="34"/>
  <c r="AA21" i="34"/>
  <c r="U21" i="34"/>
  <c r="AK21" i="34"/>
  <c r="V21" i="34"/>
  <c r="AC21" i="34"/>
  <c r="AO21" i="34"/>
  <c r="AP21" i="34"/>
  <c r="H9" i="32"/>
  <c r="W35" i="34"/>
  <c r="W36" i="34"/>
  <c r="W30" i="34"/>
  <c r="X30" i="34"/>
  <c r="X37" i="34"/>
  <c r="W34" i="34"/>
  <c r="X33" i="34"/>
  <c r="X31" i="34"/>
  <c r="W33" i="34"/>
  <c r="W31" i="34"/>
  <c r="W37" i="34"/>
  <c r="X34" i="34"/>
  <c r="W32" i="34"/>
  <c r="X36" i="34"/>
  <c r="X32" i="34"/>
  <c r="X35" i="34"/>
  <c r="AQ9" i="32"/>
  <c r="AR9" i="32"/>
  <c r="AS9" i="32"/>
  <c r="AL9" i="32"/>
  <c r="AZ9" i="32"/>
  <c r="AT9" i="32"/>
  <c r="AN9" i="32"/>
  <c r="AM9" i="32"/>
  <c r="AS10" i="32"/>
  <c r="AZ10" i="32"/>
  <c r="AQ10" i="32"/>
  <c r="AL10" i="32"/>
  <c r="AN10" i="32"/>
  <c r="AR10" i="32"/>
  <c r="F26" i="34"/>
  <c r="V9" i="32"/>
  <c r="X10" i="32"/>
  <c r="Y10" i="32"/>
  <c r="AT10" i="32"/>
  <c r="AP10" i="32"/>
  <c r="AO10" i="32"/>
  <c r="F9" i="32"/>
  <c r="AP26" i="34"/>
  <c r="AO26" i="34"/>
  <c r="V26" i="34"/>
  <c r="U26" i="34"/>
  <c r="AC26" i="34"/>
  <c r="W26" i="34"/>
  <c r="Z26" i="34"/>
  <c r="AA26" i="34"/>
  <c r="AK26" i="34"/>
  <c r="AB26" i="34"/>
  <c r="AP9" i="32"/>
  <c r="AO9" i="32"/>
  <c r="AS26" i="34"/>
  <c r="AN26" i="34"/>
  <c r="AQ26" i="34"/>
  <c r="AM26" i="34"/>
  <c r="AT26" i="34"/>
  <c r="AZ26" i="34"/>
  <c r="AR26" i="34"/>
  <c r="AL26" i="34"/>
  <c r="AM10" i="32"/>
  <c r="U10" i="32"/>
  <c r="Z10" i="32"/>
  <c r="AB10" i="32"/>
  <c r="W10" i="32"/>
  <c r="AK10" i="32"/>
  <c r="V10" i="32"/>
  <c r="AA10" i="32"/>
  <c r="AC10" i="32"/>
  <c r="H10" i="32"/>
  <c r="X9" i="32"/>
  <c r="Y9" i="32"/>
  <c r="G5" i="32"/>
  <c r="X26" i="34"/>
  <c r="Y26" i="34"/>
  <c r="F10" i="32"/>
  <c r="U9" i="32"/>
  <c r="W9" i="32"/>
  <c r="Z9" i="32"/>
  <c r="AC9" i="32"/>
  <c r="AB9" i="32"/>
  <c r="AK9" i="32"/>
  <c r="AA9" i="32"/>
  <c r="H26" i="34"/>
  <c r="H10" i="34"/>
  <c r="H20" i="34"/>
  <c r="J71" i="33"/>
  <c r="J72" i="33"/>
  <c r="G68" i="33"/>
  <c r="H68" i="33"/>
  <c r="F68" i="33"/>
  <c r="J73" i="33"/>
  <c r="J68" i="33"/>
  <c r="H72" i="33"/>
  <c r="G72" i="33"/>
  <c r="F72" i="33"/>
  <c r="G74" i="33"/>
  <c r="F74" i="33"/>
  <c r="H74" i="33"/>
  <c r="F73" i="33"/>
  <c r="H73" i="33"/>
  <c r="G73" i="33"/>
  <c r="J74" i="33"/>
  <c r="F71" i="33"/>
  <c r="G71" i="33"/>
  <c r="H71" i="33"/>
  <c r="J69" i="33"/>
  <c r="F69" i="33"/>
  <c r="H69" i="33"/>
  <c r="G69" i="33"/>
  <c r="J58" i="33"/>
  <c r="F60" i="33"/>
  <c r="H60" i="33"/>
  <c r="G60" i="33"/>
  <c r="H59" i="33"/>
  <c r="G59" i="33"/>
  <c r="F59" i="33"/>
  <c r="J57" i="30"/>
  <c r="J59" i="33"/>
  <c r="J56" i="30"/>
  <c r="H56" i="30"/>
  <c r="G56" i="30"/>
  <c r="F56" i="30"/>
  <c r="H57" i="30"/>
  <c r="F57" i="30"/>
  <c r="G57" i="30"/>
  <c r="J60" i="33"/>
  <c r="F58" i="33"/>
  <c r="G58" i="33"/>
  <c r="H58" i="33"/>
  <c r="J75" i="34"/>
  <c r="H75" i="34"/>
  <c r="G75" i="34"/>
  <c r="F75" i="34"/>
  <c r="H72" i="34"/>
  <c r="G72" i="34"/>
  <c r="F72" i="34"/>
  <c r="J70" i="34"/>
  <c r="J69" i="34"/>
  <c r="H73" i="34"/>
  <c r="F73" i="34"/>
  <c r="F74" i="34"/>
  <c r="G74" i="34"/>
  <c r="H74" i="34"/>
  <c r="J72" i="34"/>
  <c r="G73" i="34"/>
  <c r="J74" i="34"/>
  <c r="J73" i="34"/>
  <c r="H70" i="34"/>
  <c r="F70" i="34"/>
  <c r="G70" i="34"/>
  <c r="F69" i="34"/>
  <c r="G69" i="34"/>
  <c r="H69" i="34"/>
  <c r="G66" i="9"/>
  <c r="F25" i="34"/>
  <c r="H18" i="34"/>
  <c r="H25" i="34"/>
  <c r="AK20" i="34"/>
  <c r="Z20" i="34"/>
  <c r="AC20" i="34"/>
  <c r="W20" i="34"/>
  <c r="AA20" i="34"/>
  <c r="AB20" i="34"/>
  <c r="U20" i="34"/>
  <c r="X12" i="34"/>
  <c r="Y12" i="34"/>
  <c r="AO25" i="34"/>
  <c r="AP25" i="34"/>
  <c r="AL18" i="34"/>
  <c r="AN18" i="34"/>
  <c r="AR18" i="34"/>
  <c r="AQ18" i="34"/>
  <c r="AM18" i="34"/>
  <c r="AZ18" i="34"/>
  <c r="AS18" i="34"/>
  <c r="AT18" i="34"/>
  <c r="F18" i="34"/>
  <c r="AQ25" i="34"/>
  <c r="AZ25" i="34"/>
  <c r="AN25" i="34"/>
  <c r="AS25" i="34"/>
  <c r="AR25" i="34"/>
  <c r="AL25" i="34"/>
  <c r="AM25" i="34"/>
  <c r="AT25" i="34"/>
  <c r="Y11" i="34"/>
  <c r="X11" i="34"/>
  <c r="Y25" i="34"/>
  <c r="X25" i="34"/>
  <c r="F12" i="34"/>
  <c r="AM20" i="34"/>
  <c r="AN20" i="34"/>
  <c r="AQ20" i="34"/>
  <c r="AL20" i="34"/>
  <c r="AR20" i="34"/>
  <c r="AT20" i="34"/>
  <c r="AS20" i="34"/>
  <c r="AZ20" i="34"/>
  <c r="Y20" i="34"/>
  <c r="X20" i="34"/>
  <c r="F20" i="34"/>
  <c r="AZ10" i="34"/>
  <c r="AN10" i="34"/>
  <c r="AQ10" i="34"/>
  <c r="AM10" i="34"/>
  <c r="AS10" i="34"/>
  <c r="AT10" i="34"/>
  <c r="AL10" i="34"/>
  <c r="AR10" i="34"/>
  <c r="AO10" i="34"/>
  <c r="AP10" i="34"/>
  <c r="V20" i="34"/>
  <c r="AB11" i="34"/>
  <c r="AA11" i="34"/>
  <c r="U11" i="34"/>
  <c r="AC11" i="34"/>
  <c r="V11" i="34"/>
  <c r="AK11" i="34"/>
  <c r="W11" i="34"/>
  <c r="Z11" i="34"/>
  <c r="AT12" i="34"/>
  <c r="AN12" i="34"/>
  <c r="AR12" i="34"/>
  <c r="AM12" i="34"/>
  <c r="AS12" i="34"/>
  <c r="AL12" i="34"/>
  <c r="AZ12" i="34"/>
  <c r="AC25" i="34"/>
  <c r="U25" i="34"/>
  <c r="Z25" i="34"/>
  <c r="V25" i="34"/>
  <c r="AK25" i="34"/>
  <c r="AB25" i="34"/>
  <c r="W25" i="34"/>
  <c r="AA25" i="34"/>
  <c r="AA10" i="34"/>
  <c r="U10" i="34"/>
  <c r="AC10" i="34"/>
  <c r="AB10" i="34"/>
  <c r="V10" i="34"/>
  <c r="W10" i="34"/>
  <c r="AK10" i="34"/>
  <c r="Z10" i="34"/>
  <c r="F10" i="34"/>
  <c r="AQ12" i="34"/>
  <c r="AO12" i="34"/>
  <c r="AP12" i="34"/>
  <c r="AK12" i="34"/>
  <c r="W12" i="34"/>
  <c r="Z12" i="34"/>
  <c r="V12" i="34"/>
  <c r="AB12" i="34"/>
  <c r="AA12" i="34"/>
  <c r="AC12" i="34"/>
  <c r="U12" i="34"/>
  <c r="AO18" i="34"/>
  <c r="AP18" i="34"/>
  <c r="AO11" i="34"/>
  <c r="AP11" i="34"/>
  <c r="Y10" i="34"/>
  <c r="X10" i="34"/>
  <c r="Y18" i="34"/>
  <c r="X18" i="34"/>
  <c r="AC18" i="34"/>
  <c r="W18" i="34"/>
  <c r="AB18" i="34"/>
  <c r="Z18" i="34"/>
  <c r="AK18" i="34"/>
  <c r="AA18" i="34"/>
  <c r="V18" i="34"/>
  <c r="U18" i="34"/>
  <c r="AO20" i="34"/>
  <c r="AP20" i="34"/>
  <c r="F11" i="34"/>
  <c r="AN11" i="34"/>
  <c r="AR11" i="34"/>
  <c r="AS11" i="34"/>
  <c r="AL11" i="34"/>
  <c r="AQ11" i="34"/>
  <c r="AT11" i="34"/>
  <c r="AM11" i="34"/>
  <c r="AZ11" i="34"/>
  <c r="H11" i="34"/>
  <c r="H19" i="34"/>
  <c r="F23" i="37"/>
  <c r="AH68" i="37"/>
  <c r="G55" i="36"/>
  <c r="G67" i="37"/>
  <c r="G69" i="37"/>
  <c r="H69" i="37"/>
  <c r="F69" i="37"/>
  <c r="AH69" i="37"/>
  <c r="G68" i="37"/>
  <c r="H68" i="37"/>
  <c r="F68" i="37"/>
  <c r="J68" i="37"/>
  <c r="J69" i="37"/>
  <c r="AH54" i="37"/>
  <c r="F58" i="36"/>
  <c r="F58" i="37"/>
  <c r="AH55" i="37"/>
  <c r="G58" i="36"/>
  <c r="J53" i="37"/>
  <c r="H55" i="36"/>
  <c r="H61" i="37"/>
  <c r="G57" i="36"/>
  <c r="J55" i="36"/>
  <c r="AB23" i="37"/>
  <c r="H23" i="37"/>
  <c r="AC23" i="37"/>
  <c r="AA23" i="37"/>
  <c r="W23" i="37"/>
  <c r="Z23" i="37"/>
  <c r="U23" i="37"/>
  <c r="V23" i="37"/>
  <c r="AP23" i="37"/>
  <c r="AO23" i="37"/>
  <c r="AS23" i="37"/>
  <c r="AM23" i="37"/>
  <c r="AL23" i="37"/>
  <c r="AZ23" i="37"/>
  <c r="AQ23" i="37"/>
  <c r="AT23" i="37"/>
  <c r="AN23" i="37"/>
  <c r="AR23" i="37"/>
  <c r="AK23" i="37"/>
  <c r="X23" i="37"/>
  <c r="Y23" i="37"/>
  <c r="H8" i="37"/>
  <c r="H5" i="37"/>
  <c r="AP16" i="37"/>
  <c r="AO16" i="37"/>
  <c r="X9" i="37"/>
  <c r="Y9" i="37"/>
  <c r="AQ22" i="37"/>
  <c r="AS22" i="37"/>
  <c r="AT22" i="37"/>
  <c r="AR22" i="37"/>
  <c r="AM22" i="37"/>
  <c r="AL22" i="37"/>
  <c r="AZ22" i="37"/>
  <c r="AN22" i="37"/>
  <c r="AT8" i="37"/>
  <c r="AL8" i="37"/>
  <c r="AS8" i="37"/>
  <c r="AN8" i="37"/>
  <c r="AZ8" i="37"/>
  <c r="AR8" i="37"/>
  <c r="AM8" i="37"/>
  <c r="AQ8" i="37"/>
  <c r="AR5" i="37"/>
  <c r="AS5" i="37"/>
  <c r="AL5" i="37"/>
  <c r="AQ5" i="37"/>
  <c r="AT5" i="37"/>
  <c r="AM5" i="37"/>
  <c r="AZ5" i="37"/>
  <c r="AN5" i="37"/>
  <c r="H11" i="37"/>
  <c r="AM15" i="37"/>
  <c r="AN15" i="37"/>
  <c r="AZ15" i="37"/>
  <c r="AS15" i="37"/>
  <c r="AL15" i="37"/>
  <c r="AT15" i="37"/>
  <c r="AR15" i="37"/>
  <c r="AQ15" i="37"/>
  <c r="AC5" i="37"/>
  <c r="U5" i="37"/>
  <c r="V5" i="37"/>
  <c r="W5" i="37"/>
  <c r="AB5" i="37"/>
  <c r="Z5" i="37"/>
  <c r="AA5" i="37"/>
  <c r="AK5" i="37"/>
  <c r="AT10" i="37"/>
  <c r="AQ10" i="37"/>
  <c r="AN10" i="37"/>
  <c r="AL10" i="37"/>
  <c r="AM10" i="37"/>
  <c r="AS10" i="37"/>
  <c r="AZ10" i="37"/>
  <c r="AR10" i="37"/>
  <c r="Y14" i="37"/>
  <c r="X14" i="37"/>
  <c r="Y16" i="37"/>
  <c r="X16" i="37"/>
  <c r="AP22" i="37"/>
  <c r="AO22" i="37"/>
  <c r="F5" i="37"/>
  <c r="AO10" i="37"/>
  <c r="AP10" i="37"/>
  <c r="AO15" i="37"/>
  <c r="AP15" i="37"/>
  <c r="F15" i="37"/>
  <c r="AK9" i="37"/>
  <c r="V9" i="37"/>
  <c r="W9" i="37"/>
  <c r="AC9" i="37"/>
  <c r="AB9" i="37"/>
  <c r="U9" i="37"/>
  <c r="AA9" i="37"/>
  <c r="Z9" i="37"/>
  <c r="F10" i="37"/>
  <c r="V11" i="37"/>
  <c r="Z11" i="37"/>
  <c r="AB11" i="37"/>
  <c r="AC11" i="37"/>
  <c r="W11" i="37"/>
  <c r="AA11" i="37"/>
  <c r="U11" i="37"/>
  <c r="AK11" i="37"/>
  <c r="AO5" i="37"/>
  <c r="AP5" i="37"/>
  <c r="H14" i="37"/>
  <c r="AK15" i="37"/>
  <c r="V15" i="37"/>
  <c r="W15" i="37"/>
  <c r="Z15" i="37"/>
  <c r="U15" i="37"/>
  <c r="AC15" i="37"/>
  <c r="AB15" i="37"/>
  <c r="AA15" i="37"/>
  <c r="H16" i="37"/>
  <c r="Z22" i="37"/>
  <c r="AC22" i="37"/>
  <c r="V22" i="37"/>
  <c r="U22" i="37"/>
  <c r="W22" i="37"/>
  <c r="AK22" i="37"/>
  <c r="AB22" i="37"/>
  <c r="AA22" i="37"/>
  <c r="AR16" i="37"/>
  <c r="AZ16" i="37"/>
  <c r="AT16" i="37"/>
  <c r="AS16" i="37"/>
  <c r="AM16" i="37"/>
  <c r="AQ16" i="37"/>
  <c r="AN16" i="37"/>
  <c r="AL16" i="37"/>
  <c r="AT9" i="37"/>
  <c r="AL9" i="37"/>
  <c r="AS9" i="37"/>
  <c r="AN9" i="37"/>
  <c r="AM9" i="37"/>
  <c r="AZ9" i="37"/>
  <c r="AR9" i="37"/>
  <c r="AQ9" i="37"/>
  <c r="G13" i="37"/>
  <c r="X15" i="37"/>
  <c r="Y15" i="37"/>
  <c r="X22" i="37"/>
  <c r="Y22" i="37"/>
  <c r="X11" i="37"/>
  <c r="Y11" i="37"/>
  <c r="AO11" i="37"/>
  <c r="AP11" i="37"/>
  <c r="AP8" i="37"/>
  <c r="AO8" i="37"/>
  <c r="F22" i="37"/>
  <c r="X8" i="37"/>
  <c r="Y8" i="37"/>
  <c r="AL14" i="37"/>
  <c r="AM14" i="37"/>
  <c r="AR14" i="37"/>
  <c r="AQ14" i="37"/>
  <c r="AT14" i="37"/>
  <c r="AZ14" i="37"/>
  <c r="AS14" i="37"/>
  <c r="AN14" i="37"/>
  <c r="F9" i="37"/>
  <c r="AC10" i="37"/>
  <c r="AA10" i="37"/>
  <c r="U10" i="37"/>
  <c r="Z10" i="37"/>
  <c r="V10" i="37"/>
  <c r="AB10" i="37"/>
  <c r="AK10" i="37"/>
  <c r="W10" i="37"/>
  <c r="AP14" i="37"/>
  <c r="AO14" i="37"/>
  <c r="X10" i="37"/>
  <c r="Y10" i="37"/>
  <c r="AA8" i="37"/>
  <c r="U8" i="37"/>
  <c r="Z8" i="37"/>
  <c r="AC8" i="37"/>
  <c r="V8" i="37"/>
  <c r="W8" i="37"/>
  <c r="AK8" i="37"/>
  <c r="AB8" i="37"/>
  <c r="F11" i="37"/>
  <c r="AO9" i="37"/>
  <c r="AP9" i="37"/>
  <c r="F14" i="37"/>
  <c r="F16" i="37"/>
  <c r="Y5" i="37"/>
  <c r="X5" i="37"/>
  <c r="AM11" i="37"/>
  <c r="AL11" i="37"/>
  <c r="AN11" i="37"/>
  <c r="AT11" i="37"/>
  <c r="AR11" i="37"/>
  <c r="AQ11" i="37"/>
  <c r="AZ11" i="37"/>
  <c r="AS11" i="37"/>
  <c r="Z14" i="37"/>
  <c r="W14" i="37"/>
  <c r="AK14" i="37"/>
  <c r="AB14" i="37"/>
  <c r="V14" i="37"/>
  <c r="AC14" i="37"/>
  <c r="AA14" i="37"/>
  <c r="U14" i="37"/>
  <c r="H15" i="37"/>
  <c r="AB16" i="37"/>
  <c r="W16" i="37"/>
  <c r="Z16" i="37"/>
  <c r="AK16" i="37"/>
  <c r="AA16" i="37"/>
  <c r="U16" i="37"/>
  <c r="AC16" i="37"/>
  <c r="V16" i="37"/>
  <c r="H22" i="37"/>
  <c r="G55" i="37"/>
  <c r="F55" i="37"/>
  <c r="H55" i="37"/>
  <c r="J54" i="37"/>
  <c r="AH61" i="37"/>
  <c r="F54" i="37"/>
  <c r="H54" i="37"/>
  <c r="G54" i="37"/>
  <c r="AH57" i="37"/>
  <c r="J57" i="36"/>
  <c r="H56" i="36"/>
  <c r="F56" i="36"/>
  <c r="H53" i="37"/>
  <c r="F53" i="37"/>
  <c r="G53" i="37"/>
  <c r="J56" i="37"/>
  <c r="G56" i="37"/>
  <c r="F56" i="37"/>
  <c r="H56" i="37"/>
  <c r="J61" i="37"/>
  <c r="J58" i="36"/>
  <c r="F55" i="36"/>
  <c r="H57" i="36"/>
  <c r="F57" i="37"/>
  <c r="H57" i="37"/>
  <c r="J55" i="37"/>
  <c r="AH67" i="37"/>
  <c r="J58" i="37"/>
  <c r="F67" i="37"/>
  <c r="H67" i="37"/>
  <c r="AH53" i="37"/>
  <c r="H58" i="37"/>
  <c r="G58" i="37"/>
  <c r="G56" i="36"/>
  <c r="H58" i="36"/>
  <c r="F57" i="36"/>
  <c r="J56" i="36"/>
  <c r="J57" i="37"/>
  <c r="G61" i="37"/>
  <c r="F61" i="37"/>
  <c r="G57" i="37"/>
  <c r="AH56" i="37"/>
  <c r="J67" i="37"/>
  <c r="H25" i="33"/>
  <c r="U7" i="33"/>
  <c r="Z7" i="33"/>
  <c r="AC7" i="33"/>
  <c r="V7" i="33"/>
  <c r="AB7" i="33"/>
  <c r="W7" i="33"/>
  <c r="AK7" i="33"/>
  <c r="AA7" i="33"/>
  <c r="AO25" i="33"/>
  <c r="AP25" i="33"/>
  <c r="F7" i="33"/>
  <c r="F25" i="33"/>
  <c r="AP7" i="33"/>
  <c r="AO7" i="33"/>
  <c r="X7" i="33"/>
  <c r="Y7" i="33"/>
  <c r="AQ25" i="33"/>
  <c r="AS25" i="33"/>
  <c r="AL25" i="33"/>
  <c r="AR25" i="33"/>
  <c r="AN25" i="33"/>
  <c r="AT25" i="33"/>
  <c r="AZ25" i="33"/>
  <c r="AM25" i="33"/>
  <c r="AM7" i="33"/>
  <c r="AQ7" i="33"/>
  <c r="AS7" i="33"/>
  <c r="AN7" i="33"/>
  <c r="AR7" i="33"/>
  <c r="AL7" i="33"/>
  <c r="AT7" i="33"/>
  <c r="AZ7" i="33"/>
  <c r="W25" i="33"/>
  <c r="AA25" i="33"/>
  <c r="AK25" i="33"/>
  <c r="V25" i="33"/>
  <c r="U25" i="33"/>
  <c r="AB25" i="33"/>
  <c r="Z25" i="33"/>
  <c r="AC25" i="33"/>
  <c r="X25" i="33"/>
  <c r="Y25" i="33"/>
  <c r="H7" i="33"/>
  <c r="CN94" i="23"/>
  <c r="G64" i="34"/>
  <c r="H64" i="34"/>
  <c r="F64" i="34"/>
  <c r="G59" i="34"/>
  <c r="H59" i="34"/>
  <c r="F59" i="34"/>
  <c r="J58" i="34"/>
  <c r="G58" i="34"/>
  <c r="F58" i="34"/>
  <c r="H58" i="34"/>
  <c r="J59" i="34"/>
  <c r="J60" i="34"/>
  <c r="H60" i="34"/>
  <c r="G60" i="34"/>
  <c r="F60" i="34"/>
  <c r="J57" i="34"/>
  <c r="G57" i="34"/>
  <c r="F57" i="34"/>
  <c r="H57" i="34"/>
  <c r="J64" i="34"/>
  <c r="G16" i="34"/>
  <c r="H17" i="34"/>
  <c r="AO19" i="34"/>
  <c r="AP19" i="34"/>
  <c r="X19" i="34"/>
  <c r="Y19" i="34"/>
  <c r="W19" i="34"/>
  <c r="V19" i="34"/>
  <c r="AK19" i="34"/>
  <c r="U19" i="34"/>
  <c r="AA19" i="34"/>
  <c r="Z19" i="34"/>
  <c r="AC19" i="34"/>
  <c r="AB19" i="34"/>
  <c r="F19" i="34"/>
  <c r="AM19" i="34"/>
  <c r="AZ19" i="34"/>
  <c r="AN19" i="34"/>
  <c r="AR19" i="34"/>
  <c r="AT19" i="34"/>
  <c r="AQ19" i="34"/>
  <c r="AL19" i="34"/>
  <c r="AS19" i="34"/>
  <c r="AL17" i="34"/>
  <c r="AK17" i="34"/>
  <c r="V17" i="34"/>
  <c r="AA17" i="34"/>
  <c r="AC17" i="34"/>
  <c r="AB17" i="34"/>
  <c r="Z17" i="34"/>
  <c r="W17" i="34"/>
  <c r="U17" i="34"/>
  <c r="Y17" i="34"/>
  <c r="X17" i="34"/>
  <c r="AS17" i="34"/>
  <c r="AR17" i="34"/>
  <c r="AN17" i="34"/>
  <c r="AQ17" i="34"/>
  <c r="AM17" i="34"/>
  <c r="AT17" i="34"/>
  <c r="AP17" i="34"/>
  <c r="AO17" i="34"/>
  <c r="F17" i="34"/>
  <c r="AZ17" i="34"/>
  <c r="AM8" i="34"/>
  <c r="F8" i="34"/>
  <c r="V8" i="34"/>
  <c r="Z8" i="34"/>
  <c r="AB8" i="34"/>
  <c r="AC8" i="34"/>
  <c r="W8" i="34"/>
  <c r="AK8" i="34"/>
  <c r="U8" i="34"/>
  <c r="AA8" i="34"/>
  <c r="Y8" i="34"/>
  <c r="X8" i="34"/>
  <c r="H8" i="34"/>
  <c r="AN8" i="34"/>
  <c r="AQ8" i="34"/>
  <c r="AR8" i="34"/>
  <c r="AL8" i="34"/>
  <c r="AS8" i="34"/>
  <c r="AT8" i="34"/>
  <c r="AZ8" i="34"/>
  <c r="AP8" i="34"/>
  <c r="AO8" i="34"/>
  <c r="J56" i="34"/>
  <c r="H65" i="9"/>
  <c r="F70" i="9"/>
  <c r="H56" i="34"/>
  <c r="F56" i="34"/>
  <c r="G56" i="34"/>
  <c r="G70" i="9"/>
  <c r="F65" i="9"/>
  <c r="AG57" i="32"/>
  <c r="G65" i="9"/>
  <c r="AC56" i="33"/>
  <c r="J56" i="32"/>
  <c r="J56" i="33"/>
  <c r="H70" i="9"/>
  <c r="AG56" i="33"/>
  <c r="H57" i="32"/>
  <c r="F57" i="32"/>
  <c r="G57" i="32"/>
  <c r="G56" i="32"/>
  <c r="F56" i="32"/>
  <c r="H56" i="32"/>
  <c r="AC57" i="32"/>
  <c r="J57" i="32"/>
  <c r="H56" i="33"/>
  <c r="F56" i="33"/>
  <c r="G56" i="33"/>
  <c r="F69" i="9"/>
  <c r="G5" i="34"/>
  <c r="H25" i="32"/>
  <c r="F67" i="9"/>
  <c r="AZ6" i="34"/>
  <c r="AS6" i="34"/>
  <c r="AM6" i="34"/>
  <c r="AR6" i="34"/>
  <c r="AL6" i="34"/>
  <c r="AQ6" i="34"/>
  <c r="AT6" i="34"/>
  <c r="AN6" i="34"/>
  <c r="Y6" i="34"/>
  <c r="X6" i="34"/>
  <c r="AP6" i="34"/>
  <c r="AO6" i="34"/>
  <c r="H6" i="34"/>
  <c r="AB6" i="34"/>
  <c r="Z6" i="34"/>
  <c r="AC6" i="34"/>
  <c r="V6" i="34"/>
  <c r="U6" i="34"/>
  <c r="W6" i="34"/>
  <c r="AA6" i="34"/>
  <c r="AK6" i="34"/>
  <c r="F6" i="34"/>
  <c r="AL7" i="34"/>
  <c r="AM7" i="34"/>
  <c r="AN7" i="34"/>
  <c r="AR7" i="34"/>
  <c r="AZ7" i="34"/>
  <c r="AS7" i="34"/>
  <c r="F25" i="32"/>
  <c r="F24" i="32" s="1"/>
  <c r="AK7" i="34"/>
  <c r="AT7" i="34"/>
  <c r="AQ7" i="34"/>
  <c r="AP7" i="34"/>
  <c r="AO7" i="34"/>
  <c r="F7" i="34"/>
  <c r="AA7" i="34"/>
  <c r="U7" i="34"/>
  <c r="V7" i="34"/>
  <c r="W7" i="34"/>
  <c r="AC7" i="34"/>
  <c r="AB7" i="34"/>
  <c r="X25" i="32"/>
  <c r="Y25" i="32"/>
  <c r="Z7" i="34"/>
  <c r="Y7" i="34"/>
  <c r="X7" i="34"/>
  <c r="H7" i="34"/>
  <c r="W25" i="32"/>
  <c r="AB25" i="32"/>
  <c r="U25" i="32"/>
  <c r="AA25" i="32"/>
  <c r="AK25" i="32"/>
  <c r="V25" i="32"/>
  <c r="AC25" i="32"/>
  <c r="Z25" i="32"/>
  <c r="AM25" i="32"/>
  <c r="AR25" i="32"/>
  <c r="AQ25" i="32"/>
  <c r="AS25" i="32"/>
  <c r="AN25" i="32"/>
  <c r="AT25" i="32"/>
  <c r="AZ25" i="32"/>
  <c r="AL25" i="32"/>
  <c r="AP25" i="32"/>
  <c r="AO25" i="32"/>
  <c r="U14" i="9"/>
  <c r="H9" i="34"/>
  <c r="H16" i="9"/>
  <c r="AO15" i="9"/>
  <c r="AP15" i="9"/>
  <c r="AP16" i="9"/>
  <c r="AO16" i="9"/>
  <c r="AB15" i="9"/>
  <c r="V15" i="9"/>
  <c r="U15" i="9"/>
  <c r="AA15" i="9"/>
  <c r="AC15" i="9"/>
  <c r="Z15" i="9"/>
  <c r="W15" i="9"/>
  <c r="V9" i="34"/>
  <c r="U9" i="34"/>
  <c r="W9" i="34"/>
  <c r="AK9" i="34"/>
  <c r="AB9" i="34"/>
  <c r="Z9" i="34"/>
  <c r="AC9" i="34"/>
  <c r="AA9" i="34"/>
  <c r="X9" i="34"/>
  <c r="Y9" i="34"/>
  <c r="F15" i="9"/>
  <c r="AS16" i="9"/>
  <c r="AN16" i="9"/>
  <c r="AM16" i="9"/>
  <c r="AT16" i="9"/>
  <c r="AL16" i="9"/>
  <c r="AR16" i="9"/>
  <c r="AQ16" i="9"/>
  <c r="F16" i="9"/>
  <c r="W16" i="9"/>
  <c r="Z16" i="9"/>
  <c r="AA16" i="9"/>
  <c r="U16" i="9"/>
  <c r="AB16" i="9"/>
  <c r="V16" i="9"/>
  <c r="AC16" i="9"/>
  <c r="H15" i="9"/>
  <c r="Y16" i="9"/>
  <c r="X16" i="9"/>
  <c r="AL9" i="34"/>
  <c r="AS9" i="34"/>
  <c r="AN9" i="34"/>
  <c r="AQ9" i="34"/>
  <c r="AM9" i="34"/>
  <c r="AR9" i="34"/>
  <c r="AT9" i="34"/>
  <c r="AZ9" i="34"/>
  <c r="AO9" i="34"/>
  <c r="AP9" i="34"/>
  <c r="AN15" i="9"/>
  <c r="AQ15" i="9"/>
  <c r="AR15" i="9"/>
  <c r="AM15" i="9"/>
  <c r="AT15" i="9"/>
  <c r="AL15" i="9"/>
  <c r="AS15" i="9"/>
  <c r="F9" i="34"/>
  <c r="X15" i="9"/>
  <c r="Y15" i="9"/>
  <c r="H4" i="9"/>
  <c r="AQ4" i="9"/>
  <c r="AC4" i="9"/>
  <c r="AR4" i="9"/>
  <c r="AL4" i="9"/>
  <c r="AS4" i="9"/>
  <c r="Z4" i="9"/>
  <c r="AM4" i="9"/>
  <c r="F4" i="9"/>
  <c r="AO4" i="9"/>
  <c r="X4" i="9"/>
  <c r="AP4" i="9"/>
  <c r="W4" i="9"/>
  <c r="Y4" i="9"/>
  <c r="AN4" i="9"/>
  <c r="U4" i="9"/>
  <c r="AB4" i="9"/>
  <c r="AT4" i="9"/>
  <c r="AA4" i="9"/>
  <c r="V4" i="9"/>
  <c r="V3" i="9"/>
  <c r="H6" i="36"/>
  <c r="AR8" i="9"/>
  <c r="H8" i="9"/>
  <c r="AO5" i="36"/>
  <c r="AR5" i="36"/>
  <c r="H5" i="36"/>
  <c r="H69" i="9"/>
  <c r="CN96" i="23"/>
  <c r="H66" i="9"/>
  <c r="CT103" i="22"/>
  <c r="CU115" i="22"/>
  <c r="CW92" i="22"/>
  <c r="CT115" i="22"/>
  <c r="CT101" i="22"/>
  <c r="CV103" i="22"/>
  <c r="CV112" i="22"/>
  <c r="CN87" i="23"/>
  <c r="CN88" i="23"/>
  <c r="G58" i="9"/>
  <c r="H67" i="9"/>
  <c r="J58" i="9"/>
  <c r="F66" i="9"/>
  <c r="G67" i="9"/>
  <c r="H68" i="9"/>
  <c r="F58" i="9"/>
  <c r="CV115" i="22"/>
  <c r="CU112" i="22"/>
  <c r="CU103" i="22"/>
  <c r="CV92" i="22"/>
  <c r="CT92" i="22"/>
  <c r="CU101" i="22"/>
  <c r="CW112" i="22"/>
  <c r="CW103" i="22"/>
  <c r="CU92" i="22"/>
  <c r="CV101" i="22"/>
  <c r="F68" i="9"/>
  <c r="G68" i="9"/>
  <c r="G69" i="9"/>
  <c r="F55" i="9"/>
  <c r="G55" i="9"/>
  <c r="J55" i="9"/>
  <c r="F57" i="9"/>
  <c r="H55" i="9"/>
  <c r="J57" i="9"/>
  <c r="H57" i="9"/>
  <c r="G57" i="9"/>
  <c r="H56" i="9"/>
  <c r="G56" i="9"/>
  <c r="F56" i="9"/>
  <c r="J56" i="9"/>
  <c r="F61" i="36"/>
  <c r="CN89" i="23"/>
  <c r="CN102" i="23"/>
  <c r="G61" i="36"/>
  <c r="H61" i="9"/>
  <c r="F53" i="9"/>
  <c r="G54" i="9"/>
  <c r="AM17" i="9"/>
  <c r="X7" i="9"/>
  <c r="AB18" i="9"/>
  <c r="H14" i="9"/>
  <c r="AT7" i="9"/>
  <c r="AL17" i="9"/>
  <c r="AP17" i="9"/>
  <c r="Z14" i="9"/>
  <c r="H18" i="9"/>
  <c r="AB17" i="9"/>
  <c r="AQ14" i="9"/>
  <c r="X18" i="9"/>
  <c r="AB14" i="9"/>
  <c r="AQ17" i="9"/>
  <c r="W17" i="9"/>
  <c r="AQ7" i="9"/>
  <c r="U17" i="9"/>
  <c r="X17" i="9"/>
  <c r="V7" i="9"/>
  <c r="AQ18" i="9"/>
  <c r="AC17" i="9"/>
  <c r="AL14" i="9"/>
  <c r="Y18" i="9"/>
  <c r="V17" i="9"/>
  <c r="AT17" i="9"/>
  <c r="Z18" i="9"/>
  <c r="AM7" i="9"/>
  <c r="AS17" i="9"/>
  <c r="Y17" i="9"/>
  <c r="AO7" i="9"/>
  <c r="AL7" i="9"/>
  <c r="F14" i="9"/>
  <c r="AS18" i="9"/>
  <c r="AO14" i="9"/>
  <c r="Z7" i="9"/>
  <c r="F17" i="9"/>
  <c r="AP18" i="9"/>
  <c r="F18" i="9"/>
  <c r="AM14" i="9"/>
  <c r="AP7" i="9"/>
  <c r="V18" i="9"/>
  <c r="AR17" i="9"/>
  <c r="Y14" i="9"/>
  <c r="AA17" i="9"/>
  <c r="AT14" i="9"/>
  <c r="AP3" i="9"/>
  <c r="AS14" i="9"/>
  <c r="AM18" i="9"/>
  <c r="Y7" i="9"/>
  <c r="F7" i="9"/>
  <c r="AC14" i="9"/>
  <c r="AN14" i="9"/>
  <c r="AP14" i="9"/>
  <c r="W14" i="9"/>
  <c r="Z17" i="9"/>
  <c r="AO17" i="9"/>
  <c r="AN17" i="9"/>
  <c r="AN18" i="9"/>
  <c r="AL18" i="9"/>
  <c r="AO18" i="9"/>
  <c r="U18" i="9"/>
  <c r="W18" i="9"/>
  <c r="AN7" i="9"/>
  <c r="AC7" i="9"/>
  <c r="AB7" i="9"/>
  <c r="W7" i="9"/>
  <c r="AA7" i="9"/>
  <c r="AT18" i="9"/>
  <c r="AC18" i="9"/>
  <c r="AA18" i="9"/>
  <c r="AR14" i="9"/>
  <c r="V14" i="9"/>
  <c r="X14" i="9"/>
  <c r="AA14" i="9"/>
  <c r="AR18" i="9"/>
  <c r="AR7" i="9"/>
  <c r="U7" i="9"/>
  <c r="AS7" i="9"/>
  <c r="H7" i="9"/>
  <c r="AN8" i="9"/>
  <c r="AP8" i="9"/>
  <c r="Y3" i="9"/>
  <c r="AQ14" i="36"/>
  <c r="O35" i="36" s="1"/>
  <c r="CW106" i="22"/>
  <c r="CW105" i="22"/>
  <c r="W3" i="9"/>
  <c r="AB3" i="9"/>
  <c r="AL3" i="9"/>
  <c r="H3" i="9"/>
  <c r="AO3" i="9"/>
  <c r="AA3" i="9"/>
  <c r="AC3" i="9"/>
  <c r="CU93" i="22"/>
  <c r="CU116" i="22"/>
  <c r="CV93" i="22"/>
  <c r="X3" i="9"/>
  <c r="AT3" i="9"/>
  <c r="AQ3" i="9"/>
  <c r="AM3" i="9"/>
  <c r="AR3" i="9"/>
  <c r="AN3" i="9"/>
  <c r="F3" i="9"/>
  <c r="U3" i="9"/>
  <c r="AT8" i="9"/>
  <c r="AQ10" i="9"/>
  <c r="AS3" i="9"/>
  <c r="Z3" i="9"/>
  <c r="AP10" i="9"/>
  <c r="AP5" i="36"/>
  <c r="CT93" i="22"/>
  <c r="CW95" i="22"/>
  <c r="CW94" i="22"/>
  <c r="CV98" i="22"/>
  <c r="V16" i="36"/>
  <c r="AO15" i="36"/>
  <c r="H14" i="36"/>
  <c r="Z11" i="36"/>
  <c r="AM10" i="36"/>
  <c r="H11" i="9"/>
  <c r="AO10" i="36"/>
  <c r="Z8" i="9"/>
  <c r="H15" i="36"/>
  <c r="X8" i="36"/>
  <c r="AN5" i="36"/>
  <c r="AR8" i="36"/>
  <c r="AB5" i="36"/>
  <c r="W5" i="36"/>
  <c r="V6" i="9"/>
  <c r="AB11" i="9"/>
  <c r="V23" i="9"/>
  <c r="AS11" i="36"/>
  <c r="AL8" i="9"/>
  <c r="Y10" i="9"/>
  <c r="AP8" i="36"/>
  <c r="W11" i="9"/>
  <c r="AZ14" i="36"/>
  <c r="X10" i="9"/>
  <c r="Z6" i="9"/>
  <c r="AP6" i="36"/>
  <c r="W23" i="9"/>
  <c r="H9" i="36"/>
  <c r="U6" i="9"/>
  <c r="G13" i="36"/>
  <c r="AA22" i="36"/>
  <c r="CU123" i="22"/>
  <c r="CV100" i="22"/>
  <c r="CV118" i="22"/>
  <c r="CV108" i="22"/>
  <c r="CT97" i="22"/>
  <c r="CW93" i="22"/>
  <c r="CV95" i="22"/>
  <c r="CU113" i="22"/>
  <c r="CU106" i="22"/>
  <c r="CU105" i="22"/>
  <c r="CU104" i="22"/>
  <c r="CW100" i="22"/>
  <c r="CU98" i="22"/>
  <c r="CU97" i="22"/>
  <c r="AQ8" i="9"/>
  <c r="W10" i="9"/>
  <c r="AZ11" i="36"/>
  <c r="H6" i="9"/>
  <c r="CV110" i="22"/>
  <c r="CV109" i="22"/>
  <c r="CV116" i="22"/>
  <c r="CV114" i="22"/>
  <c r="CT98" i="22"/>
  <c r="CV94" i="22"/>
  <c r="U11" i="9"/>
  <c r="AP9" i="9"/>
  <c r="Z15" i="36"/>
  <c r="F11" i="36"/>
  <c r="AN9" i="36"/>
  <c r="U23" i="9"/>
  <c r="Z14" i="36"/>
  <c r="V10" i="36"/>
  <c r="AO8" i="36"/>
  <c r="AA5" i="36"/>
  <c r="Z9" i="9"/>
  <c r="X11" i="9"/>
  <c r="F8" i="9"/>
  <c r="AS23" i="9"/>
  <c r="AZ10" i="36"/>
  <c r="AA14" i="36"/>
  <c r="AR10" i="9"/>
  <c r="AL5" i="36"/>
  <c r="AS6" i="9"/>
  <c r="AL6" i="9"/>
  <c r="Z10" i="9"/>
  <c r="AK6" i="36"/>
  <c r="CW123" i="22"/>
  <c r="AR11" i="36"/>
  <c r="AA10" i="36"/>
  <c r="F10" i="36"/>
  <c r="AC11" i="9"/>
  <c r="AN9" i="9"/>
  <c r="AO11" i="9"/>
  <c r="AC10" i="9"/>
  <c r="CU121" i="22"/>
  <c r="CW114" i="22"/>
  <c r="CT112" i="22"/>
  <c r="CT117" i="22"/>
  <c r="CT109" i="22"/>
  <c r="CV107" i="22"/>
  <c r="CU107" i="22"/>
  <c r="AL8" i="36"/>
  <c r="F5" i="36"/>
  <c r="F6" i="9"/>
  <c r="AL11" i="36"/>
  <c r="AC5" i="36"/>
  <c r="H9" i="9"/>
  <c r="V11" i="36"/>
  <c r="AQ9" i="36"/>
  <c r="AK8" i="36"/>
  <c r="U10" i="36"/>
  <c r="AL11" i="9"/>
  <c r="AQ8" i="36"/>
  <c r="AA9" i="9"/>
  <c r="AA15" i="36"/>
  <c r="AN8" i="36"/>
  <c r="AC9" i="36"/>
  <c r="X6" i="36"/>
  <c r="F9" i="36"/>
  <c r="AP22" i="36"/>
  <c r="AM11" i="9"/>
  <c r="AP16" i="36"/>
  <c r="AT5" i="36"/>
  <c r="AN22" i="36"/>
  <c r="AC15" i="36"/>
  <c r="X9" i="9"/>
  <c r="AO11" i="36"/>
  <c r="AL9" i="36"/>
  <c r="W8" i="36"/>
  <c r="X5" i="36"/>
  <c r="Y6" i="36"/>
  <c r="Y15" i="36"/>
  <c r="AQ11" i="36"/>
  <c r="AA10" i="9"/>
  <c r="V9" i="9"/>
  <c r="W10" i="36"/>
  <c r="W22" i="36"/>
  <c r="AQ5" i="36"/>
  <c r="Y5" i="36"/>
  <c r="F14" i="36"/>
  <c r="AN10" i="9"/>
  <c r="AB6" i="9"/>
  <c r="X22" i="36"/>
  <c r="Z6" i="36"/>
  <c r="AZ5" i="36"/>
  <c r="AQ15" i="36"/>
  <c r="W9" i="36"/>
  <c r="AO14" i="36"/>
  <c r="Y8" i="9"/>
  <c r="AP15" i="36"/>
  <c r="W8" i="9"/>
  <c r="Y9" i="9"/>
  <c r="W9" i="9"/>
  <c r="AB10" i="9"/>
  <c r="AT9" i="9"/>
  <c r="W15" i="36"/>
  <c r="Y16" i="36"/>
  <c r="AN11" i="36"/>
  <c r="AZ8" i="36"/>
  <c r="U6" i="36"/>
  <c r="Z5" i="36"/>
  <c r="AK5" i="36"/>
  <c r="AC14" i="36"/>
  <c r="F35" i="36" s="1"/>
  <c r="AB14" i="36"/>
  <c r="AP11" i="36"/>
  <c r="V6" i="36"/>
  <c r="AA16" i="36"/>
  <c r="AN10" i="36"/>
  <c r="AQ10" i="36"/>
  <c r="X15" i="36"/>
  <c r="H16" i="36"/>
  <c r="V14" i="36"/>
  <c r="CW113" i="22"/>
  <c r="AC16" i="36"/>
  <c r="AT6" i="9"/>
  <c r="AS22" i="36"/>
  <c r="U8" i="36"/>
  <c r="F11" i="9"/>
  <c r="U9" i="9"/>
  <c r="AC8" i="9"/>
  <c r="W16" i="36"/>
  <c r="AL15" i="36"/>
  <c r="AC10" i="36"/>
  <c r="AS8" i="36"/>
  <c r="V9" i="36"/>
  <c r="AM8" i="36"/>
  <c r="U14" i="36"/>
  <c r="AR14" i="36"/>
  <c r="P35" i="36" s="1"/>
  <c r="F16" i="36"/>
  <c r="AK14" i="36"/>
  <c r="H35" i="36" s="1"/>
  <c r="AM11" i="36"/>
  <c r="AS9" i="36"/>
  <c r="AC6" i="9"/>
  <c r="F10" i="9"/>
  <c r="AC23" i="9"/>
  <c r="Y10" i="36"/>
  <c r="H8" i="36"/>
  <c r="AC6" i="36"/>
  <c r="G2" i="36"/>
  <c r="Z11" i="9"/>
  <c r="U10" i="9"/>
  <c r="H10" i="9"/>
  <c r="AS8" i="9"/>
  <c r="AO23" i="9"/>
  <c r="Z16" i="36"/>
  <c r="AS14" i="36"/>
  <c r="CT105" i="22"/>
  <c r="CV121" i="22"/>
  <c r="CV119" i="22"/>
  <c r="AQ22" i="36"/>
  <c r="AQ16" i="36"/>
  <c r="AA11" i="36"/>
  <c r="W11" i="36"/>
  <c r="AR6" i="36"/>
  <c r="AT23" i="9"/>
  <c r="AM23" i="9"/>
  <c r="CT124" i="22"/>
  <c r="CU96" i="22"/>
  <c r="AR6" i="9"/>
  <c r="AQ6" i="9"/>
  <c r="AO9" i="9"/>
  <c r="F9" i="9"/>
  <c r="AO6" i="9"/>
  <c r="AN6" i="9"/>
  <c r="AP6" i="9"/>
  <c r="AM6" i="9"/>
  <c r="V8" i="9"/>
  <c r="U8" i="9"/>
  <c r="X8" i="9"/>
  <c r="AO8" i="9"/>
  <c r="AC9" i="9"/>
  <c r="X6" i="9"/>
  <c r="AN11" i="9"/>
  <c r="AA8" i="9"/>
  <c r="AT10" i="9"/>
  <c r="AQ9" i="9"/>
  <c r="AS10" i="9"/>
  <c r="AM16" i="36"/>
  <c r="AR9" i="36"/>
  <c r="AB22" i="36"/>
  <c r="AK10" i="36"/>
  <c r="AT9" i="36"/>
  <c r="AK15" i="36"/>
  <c r="AB8" i="36"/>
  <c r="AO9" i="36"/>
  <c r="AK9" i="36"/>
  <c r="AC8" i="36"/>
  <c r="AT6" i="36"/>
  <c r="V5" i="36"/>
  <c r="W14" i="36"/>
  <c r="X14" i="36"/>
  <c r="F15" i="36"/>
  <c r="AS15" i="36"/>
  <c r="Y14" i="36"/>
  <c r="AT10" i="36"/>
  <c r="Z23" i="9"/>
  <c r="AB11" i="36"/>
  <c r="AB9" i="36"/>
  <c r="AB9" i="9"/>
  <c r="X23" i="9"/>
  <c r="AT11" i="36"/>
  <c r="AL6" i="36"/>
  <c r="AC11" i="36"/>
  <c r="U9" i="36"/>
  <c r="AT16" i="36"/>
  <c r="AM9" i="36"/>
  <c r="AB15" i="36"/>
  <c r="U11" i="36"/>
  <c r="Z9" i="36"/>
  <c r="AB6" i="36"/>
  <c r="F22" i="36"/>
  <c r="F21" i="36" s="1"/>
  <c r="H11" i="36"/>
  <c r="AB10" i="36"/>
  <c r="CU117" i="22"/>
  <c r="CV104" i="22"/>
  <c r="CW124" i="22"/>
  <c r="CT104" i="22"/>
  <c r="CW116" i="22"/>
  <c r="CW96" i="22"/>
  <c r="CV113" i="22"/>
  <c r="CU122" i="22"/>
  <c r="CU118" i="22"/>
  <c r="CU114" i="22"/>
  <c r="CU120" i="22"/>
  <c r="CW117" i="22"/>
  <c r="CT116" i="22"/>
  <c r="CV102" i="22"/>
  <c r="CT113" i="22"/>
  <c r="CV111" i="22"/>
  <c r="CT106" i="22"/>
  <c r="CV96" i="22"/>
  <c r="CW109" i="22"/>
  <c r="CW101" i="22"/>
  <c r="CW111" i="22"/>
  <c r="CW102" i="22"/>
  <c r="CU99" i="22"/>
  <c r="CU91" i="22"/>
  <c r="CT100" i="22"/>
  <c r="CT99" i="22"/>
  <c r="AN16" i="36"/>
  <c r="AR16" i="36"/>
  <c r="AT22" i="36"/>
  <c r="Z22" i="36"/>
  <c r="V22" i="36"/>
  <c r="CW115" i="22"/>
  <c r="W6" i="9"/>
  <c r="AM9" i="9"/>
  <c r="AB8" i="9"/>
  <c r="AO10" i="9"/>
  <c r="AT11" i="9"/>
  <c r="AS11" i="9"/>
  <c r="Y11" i="9"/>
  <c r="AL10" i="9"/>
  <c r="AQ11" i="9"/>
  <c r="AL9" i="9"/>
  <c r="AC22" i="36"/>
  <c r="AR15" i="36"/>
  <c r="AK11" i="36"/>
  <c r="AO16" i="36"/>
  <c r="U16" i="36"/>
  <c r="V15" i="36"/>
  <c r="X11" i="36"/>
  <c r="AO6" i="36"/>
  <c r="AS6" i="36"/>
  <c r="W6" i="36"/>
  <c r="AM5" i="36"/>
  <c r="AA9" i="36"/>
  <c r="AA8" i="36"/>
  <c r="AM6" i="36"/>
  <c r="AP9" i="36"/>
  <c r="AM14" i="36"/>
  <c r="AT14" i="36"/>
  <c r="AK22" i="36"/>
  <c r="AN14" i="36"/>
  <c r="AP10" i="36"/>
  <c r="AR9" i="9"/>
  <c r="AO22" i="36"/>
  <c r="AR22" i="36"/>
  <c r="AS16" i="36"/>
  <c r="AR10" i="36"/>
  <c r="AZ6" i="36"/>
  <c r="AM10" i="9"/>
  <c r="AR23" i="9"/>
  <c r="Y23" i="9"/>
  <c r="AS10" i="36"/>
  <c r="Y8" i="36"/>
  <c r="AA11" i="9"/>
  <c r="AT8" i="36"/>
  <c r="H22" i="36"/>
  <c r="AM15" i="36"/>
  <c r="AL10" i="36"/>
  <c r="U5" i="36"/>
  <c r="U15" i="36"/>
  <c r="V10" i="9"/>
  <c r="Z8" i="36"/>
  <c r="V8" i="36"/>
  <c r="AS5" i="36"/>
  <c r="CV91" i="22"/>
  <c r="CV105" i="22"/>
  <c r="CT108" i="22"/>
  <c r="CW122" i="22"/>
  <c r="CW121" i="22"/>
  <c r="CW120" i="22"/>
  <c r="CW119" i="22"/>
  <c r="CW118" i="22"/>
  <c r="CV117" i="22"/>
  <c r="CW99" i="22"/>
  <c r="CT123" i="22"/>
  <c r="CU108" i="22"/>
  <c r="CV97" i="22"/>
  <c r="CT111" i="22"/>
  <c r="CW108" i="22"/>
  <c r="CW107" i="22"/>
  <c r="CW98" i="22"/>
  <c r="CU94" i="22"/>
  <c r="CT96" i="22"/>
  <c r="CT95" i="22"/>
  <c r="CT94" i="22"/>
  <c r="CU124" i="22"/>
  <c r="CT120" i="22"/>
  <c r="CU95" i="22"/>
  <c r="Y6" i="9"/>
  <c r="AA6" i="9"/>
  <c r="AR11" i="9"/>
  <c r="AP11" i="9"/>
  <c r="AS9" i="9"/>
  <c r="U22" i="36"/>
  <c r="AN15" i="36"/>
  <c r="AZ22" i="36"/>
  <c r="AM22" i="36"/>
  <c r="AK16" i="36"/>
  <c r="AT15" i="36"/>
  <c r="AZ16" i="36"/>
  <c r="AA6" i="36"/>
  <c r="AZ9" i="36"/>
  <c r="X9" i="36"/>
  <c r="AQ6" i="36"/>
  <c r="AL22" i="36"/>
  <c r="AZ15" i="36"/>
  <c r="AL14" i="36"/>
  <c r="Y11" i="36"/>
  <c r="AP23" i="9"/>
  <c r="Y9" i="36"/>
  <c r="AL16" i="36"/>
  <c r="AN6" i="36"/>
  <c r="AN23" i="9"/>
  <c r="Y22" i="36"/>
  <c r="F6" i="36"/>
  <c r="AA23" i="9"/>
  <c r="H10" i="36"/>
  <c r="Z10" i="36"/>
  <c r="X10" i="36"/>
  <c r="V11" i="9"/>
  <c r="AQ23" i="9"/>
  <c r="AL23" i="9"/>
  <c r="X16" i="36"/>
  <c r="AB16" i="36"/>
  <c r="AP14" i="36"/>
  <c r="F8" i="36"/>
  <c r="AB23" i="9"/>
  <c r="AM8" i="9"/>
  <c r="CT114" i="22"/>
  <c r="CV106" i="22"/>
  <c r="CU119" i="22"/>
  <c r="CV124" i="22"/>
  <c r="CV123" i="22"/>
  <c r="CV122" i="22"/>
  <c r="CV120" i="22"/>
  <c r="CT118" i="22"/>
  <c r="CW110" i="22"/>
  <c r="CV99" i="22"/>
  <c r="CT122" i="22"/>
  <c r="CT121" i="22"/>
  <c r="CT119" i="22"/>
  <c r="CT110" i="22"/>
  <c r="CT107" i="22"/>
  <c r="CW104" i="22"/>
  <c r="CW91" i="22"/>
  <c r="CU111" i="22"/>
  <c r="CU110" i="22"/>
  <c r="CU109" i="22"/>
  <c r="CU102" i="22"/>
  <c r="CU100" i="22"/>
  <c r="CW97" i="22"/>
  <c r="CT102" i="22"/>
  <c r="CT91" i="22"/>
  <c r="G61" i="9"/>
  <c r="J53" i="9"/>
  <c r="H53" i="9"/>
  <c r="H54" i="9"/>
  <c r="H53" i="36"/>
  <c r="J61" i="36"/>
  <c r="J54" i="9"/>
  <c r="J61" i="9"/>
  <c r="J53" i="36"/>
  <c r="CN100" i="23"/>
  <c r="G53" i="9"/>
  <c r="G53" i="36"/>
  <c r="H61" i="36"/>
  <c r="CN99" i="23"/>
  <c r="CN97" i="23"/>
  <c r="CN95" i="23"/>
  <c r="CN93" i="23"/>
  <c r="CN91" i="23"/>
  <c r="CN98" i="23"/>
  <c r="CN92" i="23"/>
  <c r="CN90" i="23"/>
  <c r="CN86" i="23"/>
  <c r="F61" i="9"/>
  <c r="G54" i="36"/>
  <c r="H54" i="36"/>
  <c r="CN107" i="23"/>
  <c r="CN105" i="23"/>
  <c r="CN103" i="23"/>
  <c r="CN108" i="23"/>
  <c r="F53" i="36"/>
  <c r="F54" i="9"/>
  <c r="J54" i="36"/>
  <c r="CN101" i="23"/>
  <c r="CN106" i="23"/>
  <c r="CN104" i="23"/>
  <c r="F54" i="36"/>
  <c r="CN72" i="23"/>
  <c r="AR5" i="9"/>
  <c r="AA5" i="9"/>
  <c r="AO5" i="9"/>
  <c r="AN5" i="9"/>
  <c r="AR22" i="9"/>
  <c r="AM5" i="9"/>
  <c r="Z5" i="9"/>
  <c r="AP5" i="9"/>
  <c r="W5" i="9"/>
  <c r="F5" i="9"/>
  <c r="AP22" i="9"/>
  <c r="U5" i="9"/>
  <c r="H5" i="9"/>
  <c r="X5" i="9"/>
  <c r="AC5" i="9"/>
  <c r="Y5" i="9"/>
  <c r="V5" i="9"/>
  <c r="AQ22" i="9"/>
  <c r="U22" i="9"/>
  <c r="AA22" i="9"/>
  <c r="W22" i="9"/>
  <c r="AN22" i="9"/>
  <c r="AL5" i="9"/>
  <c r="AT22" i="9"/>
  <c r="AS22" i="9"/>
  <c r="AO22" i="9"/>
  <c r="AB22" i="9"/>
  <c r="AL22" i="9"/>
  <c r="AM22" i="9"/>
  <c r="V22" i="9"/>
  <c r="AT5" i="9"/>
  <c r="AC22" i="9"/>
  <c r="AS5" i="9"/>
  <c r="AB5" i="9"/>
  <c r="AQ5" i="9"/>
  <c r="Y22" i="9"/>
  <c r="Z22" i="9"/>
  <c r="X22" i="9"/>
  <c r="CT89" i="22"/>
  <c r="CV90" i="22"/>
  <c r="CT90" i="22"/>
  <c r="CW88" i="22"/>
  <c r="CT88" i="22"/>
  <c r="AY90" i="22"/>
  <c r="AZ90" i="22" s="1"/>
  <c r="AY89" i="22"/>
  <c r="AZ89" i="22" s="1"/>
  <c r="AY88" i="22"/>
  <c r="AZ88" i="22" s="1"/>
  <c r="BE85" i="23"/>
  <c r="BF85" i="23" s="1"/>
  <c r="BE84" i="23"/>
  <c r="BF84" i="23" s="1"/>
  <c r="BE83" i="23"/>
  <c r="BF83" i="23" s="1"/>
  <c r="BE82" i="23"/>
  <c r="BF82" i="23" s="1"/>
  <c r="BE81" i="23"/>
  <c r="BF81" i="23" s="1"/>
  <c r="BE80" i="23"/>
  <c r="BF80" i="23" s="1"/>
  <c r="BE79" i="23"/>
  <c r="BF79" i="23" s="1"/>
  <c r="BE78" i="23"/>
  <c r="BF78" i="23" s="1"/>
  <c r="BE77" i="23"/>
  <c r="BF77" i="23" s="1"/>
  <c r="BE76" i="23"/>
  <c r="BF76" i="23" s="1"/>
  <c r="BE75" i="23"/>
  <c r="BF75" i="23" s="1"/>
  <c r="BE74" i="23"/>
  <c r="BF74" i="23" s="1"/>
  <c r="BE73" i="23"/>
  <c r="BF73" i="23" s="1"/>
  <c r="CV89" i="22"/>
  <c r="CV88" i="22"/>
  <c r="BE72" i="23"/>
  <c r="BF72" i="23" s="1"/>
  <c r="CW90" i="22"/>
  <c r="CU90" i="22"/>
  <c r="CU88" i="22"/>
  <c r="CW89" i="22"/>
  <c r="CU89" i="22"/>
  <c r="CN85" i="23"/>
  <c r="CN84" i="23"/>
  <c r="CN83" i="23"/>
  <c r="CN82" i="23"/>
  <c r="CN81" i="23"/>
  <c r="CN80" i="23"/>
  <c r="CN79" i="23"/>
  <c r="CN78" i="23"/>
  <c r="CN77" i="23"/>
  <c r="CN76" i="23"/>
  <c r="CN75" i="23"/>
  <c r="CN74" i="23"/>
  <c r="CN73" i="23"/>
  <c r="AG64" i="34"/>
  <c r="BA16" i="37" l="1"/>
  <c r="F21" i="37"/>
  <c r="BA15" i="37"/>
  <c r="BA5" i="37"/>
  <c r="H5" i="32"/>
  <c r="H16" i="33"/>
  <c r="F16" i="33"/>
  <c r="F24" i="33"/>
  <c r="H5" i="33"/>
  <c r="F5" i="33"/>
  <c r="F24" i="34"/>
  <c r="F5" i="32"/>
  <c r="H16" i="34"/>
  <c r="F16" i="34"/>
  <c r="BA22" i="37"/>
  <c r="BA23" i="37"/>
  <c r="BA14" i="37"/>
  <c r="H13" i="37"/>
  <c r="F13" i="37"/>
  <c r="AC64" i="34"/>
  <c r="CX103" i="22"/>
  <c r="CX112" i="22"/>
  <c r="CX92" i="22"/>
  <c r="H5" i="34"/>
  <c r="AG53" i="36"/>
  <c r="F5" i="34"/>
  <c r="AC53" i="36"/>
  <c r="CX115" i="22"/>
  <c r="CX101" i="22"/>
  <c r="CX98" i="22"/>
  <c r="CX116" i="22"/>
  <c r="CX93" i="22"/>
  <c r="H13" i="36"/>
  <c r="CX94" i="22"/>
  <c r="F13" i="36"/>
  <c r="CX105" i="22"/>
  <c r="CX104" i="22"/>
  <c r="CX97" i="22"/>
  <c r="CX113" i="22"/>
  <c r="CX107" i="22"/>
  <c r="CX102" i="22"/>
  <c r="F2" i="36"/>
  <c r="CX91" i="22"/>
  <c r="CX110" i="22"/>
  <c r="H2" i="36"/>
  <c r="CX109" i="22"/>
  <c r="CX121" i="22"/>
  <c r="CX96" i="22"/>
  <c r="CX100" i="22"/>
  <c r="CX106" i="22"/>
  <c r="CX117" i="22"/>
  <c r="CX119" i="22"/>
  <c r="CX99" i="22"/>
  <c r="CX124" i="22"/>
  <c r="CX120" i="22"/>
  <c r="CX123" i="22"/>
  <c r="CX118" i="22"/>
  <c r="G35" i="36"/>
  <c r="CX114" i="22"/>
  <c r="CX95" i="22"/>
  <c r="CX111" i="22"/>
  <c r="CX108" i="22"/>
  <c r="CX122" i="22"/>
  <c r="CX90" i="22"/>
  <c r="CX88" i="22"/>
  <c r="CX89" i="22"/>
  <c r="G49" i="7" l="1"/>
  <c r="H49" i="7"/>
  <c r="I49" i="7"/>
  <c r="J49" i="7"/>
  <c r="K49" i="7"/>
  <c r="L49" i="7"/>
  <c r="P3" i="7" l="1"/>
  <c r="N2" i="7" l="1"/>
  <c r="O2" i="7" s="1"/>
  <c r="I35" i="26"/>
  <c r="BA71" i="23"/>
  <c r="BB71" i="23" s="1"/>
  <c r="BC71" i="23"/>
  <c r="BD71" i="23" s="1"/>
  <c r="BG71" i="23"/>
  <c r="BH71" i="23"/>
  <c r="BI71" i="23"/>
  <c r="AV69" i="22"/>
  <c r="AW69" i="22"/>
  <c r="AX69" i="22" s="1"/>
  <c r="BA69" i="22"/>
  <c r="BB69" i="22"/>
  <c r="BC69" i="22"/>
  <c r="BD69" i="22"/>
  <c r="BE69" i="22"/>
  <c r="BF69" i="22"/>
  <c r="BG69" i="22"/>
  <c r="BH69" i="22"/>
  <c r="BI69" i="22"/>
  <c r="BJ69" i="22"/>
  <c r="BK69" i="22"/>
  <c r="BL69" i="22"/>
  <c r="BM69" i="22"/>
  <c r="BN69" i="22"/>
  <c r="BO69" i="22"/>
  <c r="BP69" i="22"/>
  <c r="BQ69" i="22"/>
  <c r="BR69" i="22"/>
  <c r="BS69" i="22"/>
  <c r="BT69" i="22"/>
  <c r="BU69" i="22"/>
  <c r="AV70" i="22"/>
  <c r="AW70" i="22"/>
  <c r="AX70" i="22" s="1"/>
  <c r="BA70" i="22"/>
  <c r="BB70" i="22"/>
  <c r="BC70" i="22"/>
  <c r="BD70" i="22"/>
  <c r="BE70" i="22"/>
  <c r="BF70" i="22"/>
  <c r="BG70" i="22"/>
  <c r="BH70" i="22"/>
  <c r="BI70" i="22"/>
  <c r="BJ70" i="22"/>
  <c r="BK70" i="22"/>
  <c r="BL70" i="22"/>
  <c r="BM70" i="22"/>
  <c r="BN70" i="22"/>
  <c r="BO70" i="22"/>
  <c r="BP70" i="22"/>
  <c r="BQ70" i="22"/>
  <c r="BR70" i="22"/>
  <c r="BS70" i="22"/>
  <c r="BT70" i="22"/>
  <c r="BU70" i="22"/>
  <c r="AV71" i="22"/>
  <c r="AW71" i="22"/>
  <c r="AX71" i="22" s="1"/>
  <c r="BA71" i="22"/>
  <c r="BB71" i="22"/>
  <c r="BC71" i="22"/>
  <c r="BD71" i="22"/>
  <c r="BE71" i="22"/>
  <c r="BF71" i="22"/>
  <c r="BG71" i="22"/>
  <c r="BH71" i="22"/>
  <c r="BI71" i="22"/>
  <c r="BJ71" i="22"/>
  <c r="BK71" i="22"/>
  <c r="BL71" i="22"/>
  <c r="BM71" i="22"/>
  <c r="BN71" i="22"/>
  <c r="BO71" i="22"/>
  <c r="BP71" i="22"/>
  <c r="BQ71" i="22"/>
  <c r="BR71" i="22"/>
  <c r="BS71" i="22"/>
  <c r="BT71" i="22"/>
  <c r="BU71" i="22"/>
  <c r="AV72" i="22"/>
  <c r="AW72" i="22"/>
  <c r="AX72" i="22" s="1"/>
  <c r="BA72" i="22"/>
  <c r="BB72" i="22"/>
  <c r="BC72" i="22"/>
  <c r="BD72" i="22"/>
  <c r="BE72" i="22"/>
  <c r="BF72" i="22"/>
  <c r="BG72" i="22"/>
  <c r="BH72" i="22"/>
  <c r="BI72" i="22"/>
  <c r="BJ72" i="22"/>
  <c r="BK72" i="22"/>
  <c r="BL72" i="22"/>
  <c r="BM72" i="22"/>
  <c r="BN72" i="22"/>
  <c r="BO72" i="22"/>
  <c r="BP72" i="22"/>
  <c r="BQ72" i="22"/>
  <c r="BR72" i="22"/>
  <c r="BS72" i="22"/>
  <c r="BT72" i="22"/>
  <c r="BU72" i="22"/>
  <c r="AV73" i="22"/>
  <c r="AW73" i="22"/>
  <c r="AX73" i="22" s="1"/>
  <c r="BA73" i="22"/>
  <c r="BB73" i="22"/>
  <c r="BC73" i="22"/>
  <c r="BD73" i="22"/>
  <c r="BE73" i="22"/>
  <c r="BF73" i="22"/>
  <c r="BG73" i="22"/>
  <c r="BH73" i="22"/>
  <c r="BI73" i="22"/>
  <c r="BJ73" i="22"/>
  <c r="BK73" i="22"/>
  <c r="BL73" i="22"/>
  <c r="BM73" i="22"/>
  <c r="BN73" i="22"/>
  <c r="BO73" i="22"/>
  <c r="BP73" i="22"/>
  <c r="BQ73" i="22"/>
  <c r="BR73" i="22"/>
  <c r="BS73" i="22"/>
  <c r="BT73" i="22"/>
  <c r="BU73" i="22"/>
  <c r="AV74" i="22"/>
  <c r="AW74" i="22"/>
  <c r="AX74" i="22" s="1"/>
  <c r="BA74" i="22"/>
  <c r="BB74" i="22"/>
  <c r="BC74" i="22"/>
  <c r="BD74" i="22"/>
  <c r="BE74" i="22"/>
  <c r="BF74" i="22"/>
  <c r="BG74" i="22"/>
  <c r="BH74" i="22"/>
  <c r="BI74" i="22"/>
  <c r="BJ74" i="22"/>
  <c r="BK74" i="22"/>
  <c r="BL74" i="22"/>
  <c r="BM74" i="22"/>
  <c r="BN74" i="22"/>
  <c r="BO74" i="22"/>
  <c r="BP74" i="22"/>
  <c r="BQ74" i="22"/>
  <c r="BR74" i="22"/>
  <c r="BS74" i="22"/>
  <c r="BT74" i="22"/>
  <c r="BU74" i="22"/>
  <c r="AV75" i="22"/>
  <c r="AW75" i="22"/>
  <c r="AX75" i="22" s="1"/>
  <c r="BA75" i="22"/>
  <c r="BB75" i="22"/>
  <c r="BC75" i="22"/>
  <c r="BD75" i="22"/>
  <c r="BE75" i="22"/>
  <c r="BF75" i="22"/>
  <c r="BG75" i="22"/>
  <c r="BH75" i="22"/>
  <c r="BI75" i="22"/>
  <c r="BJ75" i="22"/>
  <c r="BK75" i="22"/>
  <c r="BL75" i="22"/>
  <c r="BM75" i="22"/>
  <c r="BN75" i="22"/>
  <c r="BO75" i="22"/>
  <c r="BP75" i="22"/>
  <c r="BQ75" i="22"/>
  <c r="BR75" i="22"/>
  <c r="BS75" i="22"/>
  <c r="BT75" i="22"/>
  <c r="BU75" i="22"/>
  <c r="AV76" i="22"/>
  <c r="AW76" i="22"/>
  <c r="AX76" i="22" s="1"/>
  <c r="BA76" i="22"/>
  <c r="BB76" i="22"/>
  <c r="BC76" i="22"/>
  <c r="BD76" i="22"/>
  <c r="BE76" i="22"/>
  <c r="BF76" i="22"/>
  <c r="BG76" i="22"/>
  <c r="BH76" i="22"/>
  <c r="BI76" i="22"/>
  <c r="BJ76" i="22"/>
  <c r="BK76" i="22"/>
  <c r="BL76" i="22"/>
  <c r="BM76" i="22"/>
  <c r="BN76" i="22"/>
  <c r="BO76" i="22"/>
  <c r="BP76" i="22"/>
  <c r="BQ76" i="22"/>
  <c r="BR76" i="22"/>
  <c r="BS76" i="22"/>
  <c r="BT76" i="22"/>
  <c r="BU76" i="22"/>
  <c r="AV77" i="22"/>
  <c r="AW77" i="22"/>
  <c r="AX77" i="22" s="1"/>
  <c r="BA77" i="22"/>
  <c r="BB77" i="22"/>
  <c r="BC77" i="22"/>
  <c r="BD77" i="22"/>
  <c r="BE77" i="22"/>
  <c r="BF77" i="22"/>
  <c r="BG77" i="22"/>
  <c r="BH77" i="22"/>
  <c r="BI77" i="22"/>
  <c r="BJ77" i="22"/>
  <c r="BK77" i="22"/>
  <c r="BL77" i="22"/>
  <c r="BM77" i="22"/>
  <c r="BN77" i="22"/>
  <c r="BO77" i="22"/>
  <c r="BP77" i="22"/>
  <c r="BQ77" i="22"/>
  <c r="BR77" i="22"/>
  <c r="BS77" i="22"/>
  <c r="BT77" i="22"/>
  <c r="BU77" i="22"/>
  <c r="AV78" i="22"/>
  <c r="AW78" i="22"/>
  <c r="AX78" i="22" s="1"/>
  <c r="BA78" i="22"/>
  <c r="BB78" i="22"/>
  <c r="BC78" i="22"/>
  <c r="BD78" i="22"/>
  <c r="BE78" i="22"/>
  <c r="BF78" i="22"/>
  <c r="BG78" i="22"/>
  <c r="BH78" i="22"/>
  <c r="BI78" i="22"/>
  <c r="BJ78" i="22"/>
  <c r="BK78" i="22"/>
  <c r="BL78" i="22"/>
  <c r="BM78" i="22"/>
  <c r="BN78" i="22"/>
  <c r="BO78" i="22"/>
  <c r="BP78" i="22"/>
  <c r="BQ78" i="22"/>
  <c r="BR78" i="22"/>
  <c r="BS78" i="22"/>
  <c r="BT78" i="22"/>
  <c r="BU78" i="22"/>
  <c r="AV79" i="22"/>
  <c r="AW79" i="22"/>
  <c r="AX79" i="22" s="1"/>
  <c r="BA79" i="22"/>
  <c r="BB79" i="22"/>
  <c r="BC79" i="22"/>
  <c r="BD79" i="22"/>
  <c r="BE79" i="22"/>
  <c r="BF79" i="22"/>
  <c r="BG79" i="22"/>
  <c r="BH79" i="22"/>
  <c r="BI79" i="22"/>
  <c r="BJ79" i="22"/>
  <c r="BK79" i="22"/>
  <c r="BL79" i="22"/>
  <c r="BM79" i="22"/>
  <c r="BN79" i="22"/>
  <c r="BO79" i="22"/>
  <c r="BP79" i="22"/>
  <c r="BQ79" i="22"/>
  <c r="BR79" i="22"/>
  <c r="BS79" i="22"/>
  <c r="BT79" i="22"/>
  <c r="BU79" i="22"/>
  <c r="AV80" i="22"/>
  <c r="AW80" i="22"/>
  <c r="BA80" i="22"/>
  <c r="BB80" i="22"/>
  <c r="BC80" i="22"/>
  <c r="BD80" i="22"/>
  <c r="BE80" i="22"/>
  <c r="BF80" i="22"/>
  <c r="BG80" i="22"/>
  <c r="BH80" i="22"/>
  <c r="BI80" i="22"/>
  <c r="BJ80" i="22"/>
  <c r="BK80" i="22"/>
  <c r="BL80" i="22"/>
  <c r="BM80" i="22"/>
  <c r="BN80" i="22"/>
  <c r="BO80" i="22"/>
  <c r="BP80" i="22"/>
  <c r="BQ80" i="22"/>
  <c r="BR80" i="22"/>
  <c r="BS80" i="22"/>
  <c r="BT80" i="22"/>
  <c r="BU80" i="22"/>
  <c r="AV81" i="22"/>
  <c r="AW81" i="22"/>
  <c r="AX81" i="22" s="1"/>
  <c r="BA81" i="22"/>
  <c r="BB81" i="22"/>
  <c r="BC81" i="22"/>
  <c r="BD81" i="22"/>
  <c r="BE81" i="22"/>
  <c r="BF81" i="22"/>
  <c r="BG81" i="22"/>
  <c r="BH81" i="22"/>
  <c r="BI81" i="22"/>
  <c r="BJ81" i="22"/>
  <c r="BK81" i="22"/>
  <c r="BL81" i="22"/>
  <c r="BM81" i="22"/>
  <c r="BN81" i="22"/>
  <c r="BO81" i="22"/>
  <c r="BP81" i="22"/>
  <c r="BQ81" i="22"/>
  <c r="BR81" i="22"/>
  <c r="BS81" i="22"/>
  <c r="BT81" i="22"/>
  <c r="BU81" i="22"/>
  <c r="AV82" i="22"/>
  <c r="AW82" i="22"/>
  <c r="AX82" i="22" s="1"/>
  <c r="BA82" i="22"/>
  <c r="BB82" i="22"/>
  <c r="BC82" i="22"/>
  <c r="BD82" i="22"/>
  <c r="BE82" i="22"/>
  <c r="BF82" i="22"/>
  <c r="BG82" i="22"/>
  <c r="BH82" i="22"/>
  <c r="BI82" i="22"/>
  <c r="BJ82" i="22"/>
  <c r="BK82" i="22"/>
  <c r="BL82" i="22"/>
  <c r="BM82" i="22"/>
  <c r="BN82" i="22"/>
  <c r="BO82" i="22"/>
  <c r="BP82" i="22"/>
  <c r="BQ82" i="22"/>
  <c r="BR82" i="22"/>
  <c r="BS82" i="22"/>
  <c r="BT82" i="22"/>
  <c r="BU82" i="22"/>
  <c r="AV83" i="22"/>
  <c r="AW83" i="22"/>
  <c r="AX83" i="22" s="1"/>
  <c r="BA83" i="22"/>
  <c r="BB83" i="22"/>
  <c r="BC83" i="22"/>
  <c r="BD83" i="22"/>
  <c r="BE83" i="22"/>
  <c r="BF83" i="22"/>
  <c r="BG83" i="22"/>
  <c r="BH83" i="22"/>
  <c r="BI83" i="22"/>
  <c r="BJ83" i="22"/>
  <c r="BK83" i="22"/>
  <c r="BL83" i="22"/>
  <c r="BM83" i="22"/>
  <c r="BN83" i="22"/>
  <c r="BO83" i="22"/>
  <c r="BP83" i="22"/>
  <c r="BQ83" i="22"/>
  <c r="BR83" i="22"/>
  <c r="BS83" i="22"/>
  <c r="BT83" i="22"/>
  <c r="BU83" i="22"/>
  <c r="AV84" i="22"/>
  <c r="AW84" i="22"/>
  <c r="AX84" i="22" s="1"/>
  <c r="BA84" i="22"/>
  <c r="BB84" i="22"/>
  <c r="BC84" i="22"/>
  <c r="BD84" i="22"/>
  <c r="BE84" i="22"/>
  <c r="BF84" i="22"/>
  <c r="BG84" i="22"/>
  <c r="BH84" i="22"/>
  <c r="BI84" i="22"/>
  <c r="BJ84" i="22"/>
  <c r="BK84" i="22"/>
  <c r="BL84" i="22"/>
  <c r="BM84" i="22"/>
  <c r="BN84" i="22"/>
  <c r="BO84" i="22"/>
  <c r="BP84" i="22"/>
  <c r="BQ84" i="22"/>
  <c r="BR84" i="22"/>
  <c r="BS84" i="22"/>
  <c r="BT84" i="22"/>
  <c r="BU84" i="22"/>
  <c r="AV85" i="22"/>
  <c r="AW85" i="22"/>
  <c r="AX85" i="22" s="1"/>
  <c r="BA85" i="22"/>
  <c r="BB85" i="22"/>
  <c r="BC85" i="22"/>
  <c r="BD85" i="22"/>
  <c r="BE85" i="22"/>
  <c r="BF85" i="22"/>
  <c r="BG85" i="22"/>
  <c r="BH85" i="22"/>
  <c r="BI85" i="22"/>
  <c r="BJ85" i="22"/>
  <c r="BK85" i="22"/>
  <c r="BL85" i="22"/>
  <c r="BM85" i="22"/>
  <c r="BN85" i="22"/>
  <c r="BO85" i="22"/>
  <c r="BP85" i="22"/>
  <c r="BQ85" i="22"/>
  <c r="BR85" i="22"/>
  <c r="BS85" i="22"/>
  <c r="BT85" i="22"/>
  <c r="BU85" i="22"/>
  <c r="AV86" i="22"/>
  <c r="AW86" i="22"/>
  <c r="AX86" i="22" s="1"/>
  <c r="BA86" i="22"/>
  <c r="BB86" i="22"/>
  <c r="BC86" i="22"/>
  <c r="BD86" i="22"/>
  <c r="BE86" i="22"/>
  <c r="BF86" i="22"/>
  <c r="BG86" i="22"/>
  <c r="BH86" i="22"/>
  <c r="BI86" i="22"/>
  <c r="BJ86" i="22"/>
  <c r="BK86" i="22"/>
  <c r="BL86" i="22"/>
  <c r="BM86" i="22"/>
  <c r="BN86" i="22"/>
  <c r="BO86" i="22"/>
  <c r="BP86" i="22"/>
  <c r="BQ86" i="22"/>
  <c r="BR86" i="22"/>
  <c r="BS86" i="22"/>
  <c r="BT86" i="22"/>
  <c r="BU86" i="22"/>
  <c r="AV87" i="22"/>
  <c r="AW87" i="22"/>
  <c r="AX87" i="22" s="1"/>
  <c r="BA87" i="22"/>
  <c r="BB87" i="22"/>
  <c r="BC87" i="22"/>
  <c r="BD87" i="22"/>
  <c r="BE87" i="22"/>
  <c r="BF87" i="22"/>
  <c r="BG87" i="22"/>
  <c r="BH87" i="22"/>
  <c r="BI87" i="22"/>
  <c r="BJ87" i="22"/>
  <c r="BK87" i="22"/>
  <c r="BL87" i="22"/>
  <c r="BM87" i="22"/>
  <c r="BN87" i="22"/>
  <c r="BO87" i="22"/>
  <c r="BP87" i="22"/>
  <c r="BQ87" i="22"/>
  <c r="BR87" i="22"/>
  <c r="BS87" i="22"/>
  <c r="BT87" i="22"/>
  <c r="BU87" i="22"/>
  <c r="BE71" i="23" l="1"/>
  <c r="BF71" i="23" s="1"/>
  <c r="AY82" i="22"/>
  <c r="AZ82" i="22" s="1"/>
  <c r="AY86" i="22"/>
  <c r="AZ86" i="22" s="1"/>
  <c r="CT79" i="22"/>
  <c r="AY84" i="22"/>
  <c r="AZ84" i="22" s="1"/>
  <c r="AY80" i="22"/>
  <c r="AZ80" i="22" s="1"/>
  <c r="AY79" i="22"/>
  <c r="AZ79" i="22" s="1"/>
  <c r="AY78" i="22"/>
  <c r="AZ78" i="22" s="1"/>
  <c r="CT86" i="22"/>
  <c r="CV79" i="22"/>
  <c r="AY77" i="22"/>
  <c r="AZ77" i="22" s="1"/>
  <c r="AY76" i="22"/>
  <c r="AZ76" i="22" s="1"/>
  <c r="AY75" i="22"/>
  <c r="AZ75" i="22" s="1"/>
  <c r="AY74" i="22"/>
  <c r="AZ74" i="22" s="1"/>
  <c r="AY73" i="22"/>
  <c r="AZ73" i="22" s="1"/>
  <c r="AY72" i="22"/>
  <c r="AZ72" i="22" s="1"/>
  <c r="AY71" i="22"/>
  <c r="AZ71" i="22" s="1"/>
  <c r="CU76" i="22"/>
  <c r="CU75" i="22"/>
  <c r="CU74" i="22"/>
  <c r="CU71" i="22"/>
  <c r="CN71" i="23"/>
  <c r="CU69" i="22"/>
  <c r="CU70" i="22"/>
  <c r="CV71" i="22"/>
  <c r="CT71" i="22"/>
  <c r="CU72" i="22"/>
  <c r="CU77" i="22"/>
  <c r="CW69" i="22"/>
  <c r="CT84" i="22"/>
  <c r="CT82" i="22"/>
  <c r="CU73" i="22"/>
  <c r="CV85" i="22"/>
  <c r="CV83" i="22"/>
  <c r="CV81" i="22"/>
  <c r="CV75" i="22"/>
  <c r="CT75" i="22"/>
  <c r="CV87" i="22"/>
  <c r="CT85" i="22"/>
  <c r="CT83" i="22"/>
  <c r="CV77" i="22"/>
  <c r="CT77" i="22"/>
  <c r="CV73" i="22"/>
  <c r="CT73" i="22"/>
  <c r="CV69" i="22"/>
  <c r="CT69" i="22"/>
  <c r="CW86" i="22"/>
  <c r="CW84" i="22"/>
  <c r="CW82" i="22"/>
  <c r="CT80" i="22"/>
  <c r="CT78" i="22"/>
  <c r="CV76" i="22"/>
  <c r="CT76" i="22"/>
  <c r="CV74" i="22"/>
  <c r="CT74" i="22"/>
  <c r="CV72" i="22"/>
  <c r="CT72" i="22"/>
  <c r="CV70" i="22"/>
  <c r="CT70" i="22"/>
  <c r="CT87" i="22"/>
  <c r="CV86" i="22"/>
  <c r="CV84" i="22"/>
  <c r="AY87" i="22"/>
  <c r="AZ87" i="22" s="1"/>
  <c r="AY85" i="22"/>
  <c r="AZ85" i="22" s="1"/>
  <c r="AY83" i="22"/>
  <c r="AZ83" i="22" s="1"/>
  <c r="CT81" i="22"/>
  <c r="CW80" i="22"/>
  <c r="CV80" i="22"/>
  <c r="AX80" i="22"/>
  <c r="CW78" i="22"/>
  <c r="CV78" i="22"/>
  <c r="CW77" i="22"/>
  <c r="CW76" i="22"/>
  <c r="CW75" i="22"/>
  <c r="CW74" i="22"/>
  <c r="CW73" i="22"/>
  <c r="CW72" i="22"/>
  <c r="CW71" i="22"/>
  <c r="CW70" i="22"/>
  <c r="AY70" i="22"/>
  <c r="AZ70" i="22" s="1"/>
  <c r="AY69" i="22"/>
  <c r="AZ69" i="22" s="1"/>
  <c r="CV82" i="22"/>
  <c r="AY81" i="22"/>
  <c r="AZ81" i="22" s="1"/>
  <c r="CW87" i="22"/>
  <c r="CU87" i="22"/>
  <c r="CW85" i="22"/>
  <c r="CU85" i="22"/>
  <c r="CW83" i="22"/>
  <c r="CU83" i="22"/>
  <c r="CW81" i="22"/>
  <c r="CU81" i="22"/>
  <c r="CW79" i="22"/>
  <c r="CU79" i="22"/>
  <c r="CU86" i="22"/>
  <c r="CU84" i="22"/>
  <c r="CU82" i="22"/>
  <c r="CU80" i="22"/>
  <c r="CU78" i="22"/>
  <c r="CX75" i="22" l="1"/>
  <c r="CX74" i="22"/>
  <c r="CX76" i="22"/>
  <c r="CX86" i="22"/>
  <c r="CX79" i="22"/>
  <c r="CX71" i="22"/>
  <c r="CX82" i="22"/>
  <c r="CX83" i="22"/>
  <c r="CX80" i="22"/>
  <c r="CX69" i="22"/>
  <c r="CX73" i="22"/>
  <c r="CX77" i="22"/>
  <c r="CX84" i="22"/>
  <c r="CX70" i="22"/>
  <c r="CX72" i="22"/>
  <c r="CX78" i="22"/>
  <c r="CX87" i="22"/>
  <c r="CX81" i="22"/>
  <c r="CX85" i="22"/>
  <c r="AV64" i="22" l="1"/>
  <c r="AW64" i="22"/>
  <c r="AX64" i="22" s="1"/>
  <c r="BA64" i="22"/>
  <c r="BB64" i="22"/>
  <c r="BC64" i="22"/>
  <c r="BD64" i="22"/>
  <c r="BE64" i="22"/>
  <c r="BF64" i="22"/>
  <c r="BG64" i="22"/>
  <c r="BH64" i="22"/>
  <c r="BI64" i="22"/>
  <c r="BJ64" i="22"/>
  <c r="BK64" i="22"/>
  <c r="BL64" i="22"/>
  <c r="BM64" i="22"/>
  <c r="BN64" i="22"/>
  <c r="BO64" i="22"/>
  <c r="BP64" i="22"/>
  <c r="BQ64" i="22"/>
  <c r="BR64" i="22"/>
  <c r="BS64" i="22"/>
  <c r="BT64" i="22"/>
  <c r="BU64" i="22"/>
  <c r="AV65" i="22"/>
  <c r="AW65" i="22"/>
  <c r="AX65" i="22" s="1"/>
  <c r="BA65" i="22"/>
  <c r="BB65" i="22"/>
  <c r="BC65" i="22"/>
  <c r="BD65" i="22"/>
  <c r="BE65" i="22"/>
  <c r="BF65" i="22"/>
  <c r="BG65" i="22"/>
  <c r="BH65" i="22"/>
  <c r="BI65" i="22"/>
  <c r="BJ65" i="22"/>
  <c r="BK65" i="22"/>
  <c r="BL65" i="22"/>
  <c r="BM65" i="22"/>
  <c r="BN65" i="22"/>
  <c r="BO65" i="22"/>
  <c r="BP65" i="22"/>
  <c r="BQ65" i="22"/>
  <c r="BR65" i="22"/>
  <c r="BS65" i="22"/>
  <c r="BT65" i="22"/>
  <c r="BU65" i="22"/>
  <c r="AV66" i="22"/>
  <c r="AW66" i="22"/>
  <c r="AX66" i="22" s="1"/>
  <c r="BA66" i="22"/>
  <c r="BB66" i="22"/>
  <c r="BC66" i="22"/>
  <c r="BD66" i="22"/>
  <c r="BE66" i="22"/>
  <c r="BF66" i="22"/>
  <c r="BG66" i="22"/>
  <c r="BH66" i="22"/>
  <c r="BI66" i="22"/>
  <c r="BJ66" i="22"/>
  <c r="BK66" i="22"/>
  <c r="BL66" i="22"/>
  <c r="BM66" i="22"/>
  <c r="BN66" i="22"/>
  <c r="BO66" i="22"/>
  <c r="BP66" i="22"/>
  <c r="BQ66" i="22"/>
  <c r="BR66" i="22"/>
  <c r="BS66" i="22"/>
  <c r="BT66" i="22"/>
  <c r="BU66" i="22"/>
  <c r="AV67" i="22"/>
  <c r="AW67" i="22"/>
  <c r="AX67" i="22" s="1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M67" i="22"/>
  <c r="BN67" i="22"/>
  <c r="BO67" i="22"/>
  <c r="BP67" i="22"/>
  <c r="BQ67" i="22"/>
  <c r="BR67" i="22"/>
  <c r="BS67" i="22"/>
  <c r="BT67" i="22"/>
  <c r="BU67" i="22"/>
  <c r="AV68" i="22"/>
  <c r="AW68" i="22"/>
  <c r="AX68" i="22" s="1"/>
  <c r="BA68" i="22"/>
  <c r="BB68" i="22"/>
  <c r="BC68" i="22"/>
  <c r="BD68" i="22"/>
  <c r="BE68" i="22"/>
  <c r="BF68" i="22"/>
  <c r="BG68" i="22"/>
  <c r="BH68" i="22"/>
  <c r="BI68" i="22"/>
  <c r="BJ68" i="22"/>
  <c r="BK68" i="22"/>
  <c r="BL68" i="22"/>
  <c r="BM68" i="22"/>
  <c r="BN68" i="22"/>
  <c r="BO68" i="22"/>
  <c r="BP68" i="22"/>
  <c r="BQ68" i="22"/>
  <c r="BR68" i="22"/>
  <c r="BS68" i="22"/>
  <c r="BT68" i="22"/>
  <c r="BU68" i="22"/>
  <c r="AY66" i="22" l="1"/>
  <c r="AZ66" i="22" s="1"/>
  <c r="AY65" i="22"/>
  <c r="AZ65" i="22" s="1"/>
  <c r="AY64" i="22"/>
  <c r="AZ64" i="22" s="1"/>
  <c r="AY68" i="22"/>
  <c r="AZ68" i="22" s="1"/>
  <c r="AY67" i="22"/>
  <c r="AZ67" i="22" s="1"/>
  <c r="CT67" i="22"/>
  <c r="CV68" i="22"/>
  <c r="CV66" i="22"/>
  <c r="CW67" i="22"/>
  <c r="CT64" i="22"/>
  <c r="CU67" i="22"/>
  <c r="CT65" i="22"/>
  <c r="CT66" i="22"/>
  <c r="CV64" i="22"/>
  <c r="CW65" i="22"/>
  <c r="CV65" i="22"/>
  <c r="CW66" i="22"/>
  <c r="CU66" i="22"/>
  <c r="CW64" i="22"/>
  <c r="CU64" i="22"/>
  <c r="CU65" i="22"/>
  <c r="CV67" i="22"/>
  <c r="CT68" i="22"/>
  <c r="CW68" i="22"/>
  <c r="CU68" i="22"/>
  <c r="P87" i="7"/>
  <c r="Q87" i="7" s="1"/>
  <c r="G65" i="7"/>
  <c r="H65" i="7" s="1"/>
  <c r="I65" i="7" s="1"/>
  <c r="J65" i="7" s="1"/>
  <c r="K65" i="7" s="1"/>
  <c r="L65" i="7" s="1"/>
  <c r="M65" i="7" s="1"/>
  <c r="N65" i="7" s="1"/>
  <c r="O65" i="7" s="1"/>
  <c r="AV60" i="22"/>
  <c r="AW60" i="22"/>
  <c r="AX60" i="22" s="1"/>
  <c r="BA60" i="22"/>
  <c r="BB60" i="22"/>
  <c r="BC60" i="22"/>
  <c r="BD60" i="22"/>
  <c r="BE60" i="22"/>
  <c r="BF60" i="22"/>
  <c r="BG60" i="22"/>
  <c r="BH60" i="22"/>
  <c r="BI60" i="22"/>
  <c r="BJ60" i="22"/>
  <c r="BK60" i="22"/>
  <c r="BL60" i="22"/>
  <c r="BM60" i="22"/>
  <c r="BN60" i="22"/>
  <c r="BO60" i="22"/>
  <c r="BP60" i="22"/>
  <c r="BQ60" i="22"/>
  <c r="BR60" i="22"/>
  <c r="BS60" i="22"/>
  <c r="BT60" i="22"/>
  <c r="BU60" i="22"/>
  <c r="AU7" i="6"/>
  <c r="CX67" i="22" l="1"/>
  <c r="CX66" i="22"/>
  <c r="CX64" i="22"/>
  <c r="CX65" i="22"/>
  <c r="CX68" i="22"/>
  <c r="AY60" i="22"/>
  <c r="AZ60" i="22" s="1"/>
  <c r="CT60" i="22"/>
  <c r="CW60" i="22"/>
  <c r="CU60" i="22"/>
  <c r="CV60" i="22"/>
  <c r="G69" i="7"/>
  <c r="H69" i="7"/>
  <c r="I69" i="7"/>
  <c r="J69" i="7"/>
  <c r="K69" i="7"/>
  <c r="L69" i="7"/>
  <c r="M69" i="7"/>
  <c r="N69" i="7"/>
  <c r="O69" i="7"/>
  <c r="G70" i="7"/>
  <c r="F69" i="7"/>
  <c r="CX60" i="22" l="1"/>
  <c r="B24" i="26"/>
  <c r="B25" i="26"/>
  <c r="B26" i="26"/>
  <c r="B28" i="26"/>
  <c r="B34" i="26" s="1"/>
  <c r="B29" i="26"/>
  <c r="E34" i="26"/>
  <c r="E35" i="26"/>
  <c r="E36" i="26"/>
  <c r="B35" i="26" l="1"/>
  <c r="B36" i="26"/>
  <c r="CQ9" i="5"/>
  <c r="CL9" i="5"/>
  <c r="B27" i="26"/>
  <c r="B30" i="26"/>
  <c r="B31" i="26"/>
  <c r="CP9" i="5"/>
  <c r="CM9" i="5"/>
  <c r="CO9" i="5"/>
  <c r="CK9" i="5"/>
  <c r="CN9" i="5"/>
  <c r="CJ9" i="5"/>
  <c r="CR9" i="5" l="1"/>
  <c r="BA28" i="23" l="1"/>
  <c r="BB28" i="23" s="1"/>
  <c r="BC28" i="23"/>
  <c r="BD28" i="23" s="1"/>
  <c r="BG28" i="23"/>
  <c r="BH28" i="23"/>
  <c r="BI28" i="23"/>
  <c r="CN28" i="23"/>
  <c r="BA13" i="23"/>
  <c r="BB13" i="23" s="1"/>
  <c r="BC13" i="23"/>
  <c r="BD13" i="23" s="1"/>
  <c r="BG13" i="23"/>
  <c r="BH13" i="23"/>
  <c r="BI13" i="23"/>
  <c r="BA14" i="23"/>
  <c r="BB14" i="23" s="1"/>
  <c r="BC14" i="23"/>
  <c r="BD14" i="23" s="1"/>
  <c r="BG14" i="23"/>
  <c r="BH14" i="23"/>
  <c r="BI14" i="23"/>
  <c r="BA15" i="23"/>
  <c r="BB15" i="23" s="1"/>
  <c r="BC15" i="23"/>
  <c r="BD15" i="23" s="1"/>
  <c r="BG15" i="23"/>
  <c r="BH15" i="23"/>
  <c r="BI15" i="23"/>
  <c r="BA16" i="23"/>
  <c r="BB16" i="23" s="1"/>
  <c r="BC16" i="23"/>
  <c r="BD16" i="23" s="1"/>
  <c r="BG16" i="23"/>
  <c r="BH16" i="23"/>
  <c r="BI16" i="23"/>
  <c r="CN16" i="23"/>
  <c r="BA17" i="23"/>
  <c r="BB17" i="23" s="1"/>
  <c r="BC17" i="23"/>
  <c r="BD17" i="23" s="1"/>
  <c r="BG17" i="23"/>
  <c r="BH17" i="23"/>
  <c r="BI17" i="23"/>
  <c r="BA18" i="23"/>
  <c r="BB18" i="23" s="1"/>
  <c r="BC18" i="23"/>
  <c r="BD18" i="23" s="1"/>
  <c r="BG18" i="23"/>
  <c r="BH18" i="23"/>
  <c r="BI18" i="23"/>
  <c r="BA19" i="23"/>
  <c r="BB19" i="23" s="1"/>
  <c r="BC19" i="23"/>
  <c r="BD19" i="23" s="1"/>
  <c r="BG19" i="23"/>
  <c r="BH19" i="23"/>
  <c r="BI19" i="23"/>
  <c r="CN19" i="23"/>
  <c r="AV14" i="22"/>
  <c r="AW14" i="22"/>
  <c r="AX14" i="22" s="1"/>
  <c r="BA14" i="22"/>
  <c r="BB14" i="22"/>
  <c r="BC14" i="22"/>
  <c r="BD14" i="22"/>
  <c r="BE14" i="22"/>
  <c r="BF14" i="22"/>
  <c r="BG14" i="22"/>
  <c r="BH14" i="22"/>
  <c r="BI14" i="22"/>
  <c r="BJ14" i="22"/>
  <c r="BK14" i="22"/>
  <c r="BL14" i="22"/>
  <c r="BM14" i="22"/>
  <c r="BN14" i="22"/>
  <c r="BO14" i="22"/>
  <c r="BP14" i="22"/>
  <c r="BQ14" i="22"/>
  <c r="BR14" i="22"/>
  <c r="BS14" i="22"/>
  <c r="BT14" i="22"/>
  <c r="BU14" i="22"/>
  <c r="AV19" i="22"/>
  <c r="AW19" i="22"/>
  <c r="AX19" i="22" s="1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BM19" i="22"/>
  <c r="BN19" i="22"/>
  <c r="BO19" i="22"/>
  <c r="BP19" i="22"/>
  <c r="BQ19" i="22"/>
  <c r="BR19" i="22"/>
  <c r="BS19" i="22"/>
  <c r="BT19" i="22"/>
  <c r="BU19" i="22"/>
  <c r="AV47" i="22"/>
  <c r="AW47" i="22"/>
  <c r="AX47" i="22" s="1"/>
  <c r="BA47" i="22"/>
  <c r="BB47" i="22"/>
  <c r="BC47" i="22"/>
  <c r="BD47" i="22"/>
  <c r="BE47" i="22"/>
  <c r="BF47" i="22"/>
  <c r="BG47" i="22"/>
  <c r="BH47" i="22"/>
  <c r="BI47" i="22"/>
  <c r="BJ47" i="22"/>
  <c r="BK47" i="22"/>
  <c r="BL47" i="22"/>
  <c r="BM47" i="22"/>
  <c r="BN47" i="22"/>
  <c r="BO47" i="22"/>
  <c r="BP47" i="22"/>
  <c r="BQ47" i="22"/>
  <c r="BR47" i="22"/>
  <c r="BS47" i="22"/>
  <c r="BT47" i="22"/>
  <c r="BU47" i="22"/>
  <c r="CT47" i="22"/>
  <c r="AV13" i="22"/>
  <c r="AW13" i="22"/>
  <c r="AX13" i="22" s="1"/>
  <c r="BA13" i="22"/>
  <c r="BB13" i="22"/>
  <c r="BC13" i="22"/>
  <c r="BD13" i="22"/>
  <c r="BE13" i="22"/>
  <c r="BF13" i="22"/>
  <c r="BG13" i="22"/>
  <c r="BH13" i="22"/>
  <c r="BI13" i="22"/>
  <c r="BJ13" i="22"/>
  <c r="BK13" i="22"/>
  <c r="BL13" i="22"/>
  <c r="BM13" i="22"/>
  <c r="BN13" i="22"/>
  <c r="BO13" i="22"/>
  <c r="BP13" i="22"/>
  <c r="BQ13" i="22"/>
  <c r="BR13" i="22"/>
  <c r="BS13" i="22"/>
  <c r="BT13" i="22"/>
  <c r="BU13" i="22"/>
  <c r="AV32" i="22"/>
  <c r="AW32" i="22"/>
  <c r="AX32" i="22" s="1"/>
  <c r="BA32" i="22"/>
  <c r="BB32" i="22"/>
  <c r="BC32" i="22"/>
  <c r="BD32" i="22"/>
  <c r="BE32" i="22"/>
  <c r="BF32" i="22"/>
  <c r="BG32" i="22"/>
  <c r="BH32" i="22"/>
  <c r="BI32" i="22"/>
  <c r="BJ32" i="22"/>
  <c r="BK32" i="22"/>
  <c r="BL32" i="22"/>
  <c r="BM32" i="22"/>
  <c r="BN32" i="22"/>
  <c r="BO32" i="22"/>
  <c r="BP32" i="22"/>
  <c r="BQ32" i="22"/>
  <c r="BR32" i="22"/>
  <c r="BS32" i="22"/>
  <c r="BT32" i="22"/>
  <c r="BU32" i="22"/>
  <c r="CU32" i="22"/>
  <c r="CT32" i="22"/>
  <c r="CV32" i="22"/>
  <c r="AV48" i="22"/>
  <c r="AW48" i="22"/>
  <c r="AX48" i="22" s="1"/>
  <c r="BA48" i="22"/>
  <c r="BB48" i="22"/>
  <c r="BC48" i="22"/>
  <c r="BD48" i="22"/>
  <c r="BE48" i="22"/>
  <c r="BF48" i="22"/>
  <c r="BG48" i="22"/>
  <c r="BH48" i="22"/>
  <c r="BI48" i="22"/>
  <c r="BJ48" i="22"/>
  <c r="BK48" i="22"/>
  <c r="BL48" i="22"/>
  <c r="BM48" i="22"/>
  <c r="BN48" i="22"/>
  <c r="BO48" i="22"/>
  <c r="BP48" i="22"/>
  <c r="BQ48" i="22"/>
  <c r="BR48" i="22"/>
  <c r="BS48" i="22"/>
  <c r="BT48" i="22"/>
  <c r="BU48" i="22"/>
  <c r="AV49" i="22"/>
  <c r="AW49" i="22"/>
  <c r="AX49" i="22" s="1"/>
  <c r="BA49" i="22"/>
  <c r="BB49" i="22"/>
  <c r="BC49" i="22"/>
  <c r="BD49" i="22"/>
  <c r="BE49" i="22"/>
  <c r="BF49" i="22"/>
  <c r="BG49" i="22"/>
  <c r="BH49" i="22"/>
  <c r="BI49" i="22"/>
  <c r="BJ49" i="22"/>
  <c r="BK49" i="22"/>
  <c r="BL49" i="22"/>
  <c r="BM49" i="22"/>
  <c r="BN49" i="22"/>
  <c r="BO49" i="22"/>
  <c r="BP49" i="22"/>
  <c r="BQ49" i="22"/>
  <c r="BR49" i="22"/>
  <c r="BS49" i="22"/>
  <c r="BT49" i="22"/>
  <c r="BU49" i="22"/>
  <c r="AV52" i="22"/>
  <c r="AW52" i="22"/>
  <c r="AX52" i="22" s="1"/>
  <c r="BA52" i="22"/>
  <c r="BB52" i="22"/>
  <c r="BC52" i="22"/>
  <c r="BD52" i="22"/>
  <c r="BE52" i="22"/>
  <c r="BF52" i="22"/>
  <c r="BG52" i="22"/>
  <c r="BH52" i="22"/>
  <c r="BI52" i="22"/>
  <c r="BJ52" i="22"/>
  <c r="BK52" i="22"/>
  <c r="BL52" i="22"/>
  <c r="BM52" i="22"/>
  <c r="BN52" i="22"/>
  <c r="BO52" i="22"/>
  <c r="BP52" i="22"/>
  <c r="BQ52" i="22"/>
  <c r="BR52" i="22"/>
  <c r="BS52" i="22"/>
  <c r="BT52" i="22"/>
  <c r="BU52" i="22"/>
  <c r="AV35" i="22"/>
  <c r="AW35" i="22"/>
  <c r="AX35" i="22" s="1"/>
  <c r="BA35" i="22"/>
  <c r="BB35" i="22"/>
  <c r="BC35" i="22"/>
  <c r="BD35" i="22"/>
  <c r="BE35" i="22"/>
  <c r="BF35" i="22"/>
  <c r="BG35" i="22"/>
  <c r="BH35" i="22"/>
  <c r="BI35" i="22"/>
  <c r="BJ35" i="22"/>
  <c r="BK35" i="22"/>
  <c r="BL35" i="22"/>
  <c r="BM35" i="22"/>
  <c r="BN35" i="22"/>
  <c r="BO35" i="22"/>
  <c r="BP35" i="22"/>
  <c r="BQ35" i="22"/>
  <c r="BR35" i="22"/>
  <c r="BS35" i="22"/>
  <c r="BT35" i="22"/>
  <c r="BU35" i="22"/>
  <c r="AY35" i="22" l="1"/>
  <c r="AZ35" i="22" s="1"/>
  <c r="AY32" i="22"/>
  <c r="AZ32" i="22" s="1"/>
  <c r="AY13" i="22"/>
  <c r="AZ13" i="22" s="1"/>
  <c r="AY19" i="22"/>
  <c r="AZ19" i="22" s="1"/>
  <c r="BE17" i="23"/>
  <c r="BF17" i="23" s="1"/>
  <c r="BE15" i="23"/>
  <c r="BF15" i="23" s="1"/>
  <c r="BE28" i="23"/>
  <c r="BF28" i="23" s="1"/>
  <c r="BE19" i="23"/>
  <c r="BF19" i="23" s="1"/>
  <c r="BE13" i="23"/>
  <c r="BF13" i="23" s="1"/>
  <c r="AY48" i="22"/>
  <c r="AZ48" i="22" s="1"/>
  <c r="AY52" i="22"/>
  <c r="AZ52" i="22" s="1"/>
  <c r="AY49" i="22"/>
  <c r="AZ49" i="22" s="1"/>
  <c r="AY47" i="22"/>
  <c r="AZ47" i="22" s="1"/>
  <c r="CN17" i="23"/>
  <c r="CN15" i="23"/>
  <c r="AY14" i="22"/>
  <c r="AZ14" i="22" s="1"/>
  <c r="CT13" i="22"/>
  <c r="CT19" i="22"/>
  <c r="CV19" i="22"/>
  <c r="CN14" i="23"/>
  <c r="CN13" i="23"/>
  <c r="CN18" i="23"/>
  <c r="CT35" i="22"/>
  <c r="CT52" i="22"/>
  <c r="CT14" i="22"/>
  <c r="CW19" i="22"/>
  <c r="CV14" i="22"/>
  <c r="CV47" i="22"/>
  <c r="CU13" i="22"/>
  <c r="CT48" i="22"/>
  <c r="CW47" i="22"/>
  <c r="CU47" i="22"/>
  <c r="CU14" i="22"/>
  <c r="CT49" i="22"/>
  <c r="CW13" i="22"/>
  <c r="CV13" i="22"/>
  <c r="CU19" i="22"/>
  <c r="CW49" i="22"/>
  <c r="CW48" i="22"/>
  <c r="CV48" i="22"/>
  <c r="CW32" i="22"/>
  <c r="CX32" i="22" s="1"/>
  <c r="CU49" i="22"/>
  <c r="CU48" i="22"/>
  <c r="CV49" i="22"/>
  <c r="CW14" i="22"/>
  <c r="BE18" i="23"/>
  <c r="BF18" i="23" s="1"/>
  <c r="BE16" i="23"/>
  <c r="BF16" i="23" s="1"/>
  <c r="BE14" i="23"/>
  <c r="BF14" i="23" s="1"/>
  <c r="CV52" i="22"/>
  <c r="CW35" i="22"/>
  <c r="CV35" i="22"/>
  <c r="CU35" i="22"/>
  <c r="CW52" i="22"/>
  <c r="CU52" i="22"/>
  <c r="CX49" i="22" l="1"/>
  <c r="CX47" i="22"/>
  <c r="CX19" i="22"/>
  <c r="CX13" i="22"/>
  <c r="CX14" i="22"/>
  <c r="CX48" i="22"/>
  <c r="CX35" i="22"/>
  <c r="CX52" i="22"/>
  <c r="G66" i="7" l="1"/>
  <c r="H66" i="7" s="1"/>
  <c r="I66" i="7" s="1"/>
  <c r="J66" i="7" s="1"/>
  <c r="K66" i="7" s="1"/>
  <c r="L66" i="7" s="1"/>
  <c r="M66" i="7" s="1"/>
  <c r="N66" i="7" s="1"/>
  <c r="O66" i="7" s="1"/>
  <c r="G64" i="7"/>
  <c r="H64" i="7" s="1"/>
  <c r="I64" i="7" s="1"/>
  <c r="J64" i="7" s="1"/>
  <c r="K64" i="7" s="1"/>
  <c r="L64" i="7" s="1"/>
  <c r="M64" i="7" s="1"/>
  <c r="N64" i="7" s="1"/>
  <c r="O64" i="7" s="1"/>
  <c r="F18" i="26" l="1"/>
  <c r="C56" i="7" l="1"/>
  <c r="D56" i="7" s="1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BA27" i="23"/>
  <c r="BB27" i="23" s="1"/>
  <c r="BC27" i="23"/>
  <c r="BD27" i="23" s="1"/>
  <c r="BG27" i="23"/>
  <c r="BH27" i="23"/>
  <c r="BI27" i="23"/>
  <c r="BA12" i="23"/>
  <c r="BB12" i="23" s="1"/>
  <c r="BC12" i="23"/>
  <c r="BD12" i="23" s="1"/>
  <c r="BG12" i="23"/>
  <c r="BH12" i="23"/>
  <c r="BI12" i="23"/>
  <c r="BE12" i="23" l="1"/>
  <c r="BF12" i="23" s="1"/>
  <c r="BE27" i="23"/>
  <c r="BF27" i="23" s="1"/>
  <c r="CN12" i="23"/>
  <c r="CN27" i="23"/>
  <c r="O49" i="7" l="1"/>
  <c r="N49" i="7"/>
  <c r="M49" i="7"/>
  <c r="B11" i="25"/>
  <c r="K50" i="7" l="1"/>
  <c r="H50" i="7"/>
  <c r="BA50" i="23"/>
  <c r="BB50" i="23" s="1"/>
  <c r="BC50" i="23"/>
  <c r="BD50" i="23" s="1"/>
  <c r="BG50" i="23"/>
  <c r="BH50" i="23"/>
  <c r="BI50" i="23"/>
  <c r="BA24" i="23"/>
  <c r="BB24" i="23" s="1"/>
  <c r="BC24" i="23"/>
  <c r="BD24" i="23" s="1"/>
  <c r="BG24" i="23"/>
  <c r="BH24" i="23"/>
  <c r="BI24" i="23"/>
  <c r="BA22" i="23"/>
  <c r="BB22" i="23" s="1"/>
  <c r="BC22" i="23"/>
  <c r="BD22" i="23" s="1"/>
  <c r="BG22" i="23"/>
  <c r="BH22" i="23"/>
  <c r="BI22" i="23"/>
  <c r="BA34" i="23"/>
  <c r="BB34" i="23" s="1"/>
  <c r="BC34" i="23"/>
  <c r="BD34" i="23" s="1"/>
  <c r="BG34" i="23"/>
  <c r="BH34" i="23"/>
  <c r="BI34" i="23"/>
  <c r="AC56" i="34"/>
  <c r="AG56" i="34"/>
  <c r="AC58" i="34"/>
  <c r="AG58" i="34"/>
  <c r="AC56" i="32"/>
  <c r="AG56" i="32"/>
  <c r="G97" i="7"/>
  <c r="H97" i="7" s="1"/>
  <c r="AG57" i="34" l="1"/>
  <c r="AC57" i="34"/>
  <c r="AG54" i="36"/>
  <c r="AC54" i="36"/>
  <c r="BE24" i="23"/>
  <c r="BF24" i="23" s="1"/>
  <c r="BE50" i="23"/>
  <c r="BF50" i="23" s="1"/>
  <c r="BE34" i="23"/>
  <c r="BF34" i="23" s="1"/>
  <c r="BE22" i="23"/>
  <c r="BF22" i="23" s="1"/>
  <c r="J50" i="7"/>
  <c r="CN50" i="23"/>
  <c r="G50" i="7"/>
  <c r="I50" i="7"/>
  <c r="L50" i="7"/>
  <c r="CN34" i="23"/>
  <c r="CN22" i="23"/>
  <c r="CN24" i="23"/>
  <c r="O50" i="7"/>
  <c r="G67" i="7" l="1"/>
  <c r="N50" i="7" l="1"/>
  <c r="M50" i="7"/>
  <c r="L32" i="26"/>
  <c r="C55" i="7"/>
  <c r="D55" i="7" s="1"/>
  <c r="E55" i="7" s="1"/>
  <c r="F55" i="7" s="1"/>
  <c r="G55" i="7" s="1"/>
  <c r="H55" i="7" s="1"/>
  <c r="I55" i="7" s="1"/>
  <c r="J55" i="7" s="1"/>
  <c r="K55" i="7" s="1"/>
  <c r="L55" i="7" s="1"/>
  <c r="M55" i="7" s="1"/>
  <c r="N55" i="7" s="1"/>
  <c r="O55" i="7" s="1"/>
  <c r="AV25" i="22"/>
  <c r="AW25" i="22"/>
  <c r="AX25" i="22" s="1"/>
  <c r="BA25" i="22"/>
  <c r="BB25" i="22"/>
  <c r="BC25" i="22"/>
  <c r="BD25" i="22"/>
  <c r="BE25" i="22"/>
  <c r="BF25" i="22"/>
  <c r="BG25" i="22"/>
  <c r="BH25" i="22"/>
  <c r="BI25" i="22"/>
  <c r="BJ25" i="22"/>
  <c r="BK25" i="22"/>
  <c r="BL25" i="22"/>
  <c r="BM25" i="22"/>
  <c r="BN25" i="22"/>
  <c r="BO25" i="22"/>
  <c r="BP25" i="22"/>
  <c r="BQ25" i="22"/>
  <c r="BR25" i="22"/>
  <c r="BS25" i="22"/>
  <c r="BT25" i="22"/>
  <c r="BU25" i="22"/>
  <c r="BA33" i="23"/>
  <c r="BB33" i="23" s="1"/>
  <c r="BC33" i="23"/>
  <c r="BD33" i="23" s="1"/>
  <c r="BG33" i="23"/>
  <c r="BH33" i="23"/>
  <c r="BI33" i="23"/>
  <c r="BA36" i="23"/>
  <c r="BB36" i="23" s="1"/>
  <c r="BC36" i="23"/>
  <c r="BD36" i="23" s="1"/>
  <c r="BG36" i="23"/>
  <c r="BH36" i="23"/>
  <c r="BI36" i="23"/>
  <c r="F19" i="26"/>
  <c r="F20" i="26" s="1"/>
  <c r="AY25" i="22" l="1"/>
  <c r="AZ25" i="22" s="1"/>
  <c r="BE36" i="23"/>
  <c r="BF36" i="23" s="1"/>
  <c r="BE33" i="23"/>
  <c r="BF33" i="23" s="1"/>
  <c r="CT25" i="22"/>
  <c r="CV25" i="22"/>
  <c r="CU25" i="22"/>
  <c r="CW25" i="22"/>
  <c r="CN33" i="23"/>
  <c r="CN36" i="23"/>
  <c r="F21" i="26"/>
  <c r="CX25" i="22" l="1"/>
  <c r="G63" i="7" l="1"/>
  <c r="B41" i="25"/>
  <c r="B40" i="25"/>
  <c r="Q38" i="25"/>
  <c r="Q37" i="25"/>
  <c r="Q36" i="25"/>
  <c r="Q32" i="25"/>
  <c r="Q31" i="25"/>
  <c r="Q30" i="25"/>
  <c r="L54" i="25"/>
  <c r="Q54" i="25" s="1"/>
  <c r="L53" i="25"/>
  <c r="Q53" i="25" s="1"/>
  <c r="L52" i="25"/>
  <c r="Q52" i="25" s="1"/>
  <c r="L48" i="25"/>
  <c r="Q48" i="25" s="1"/>
  <c r="L47" i="25"/>
  <c r="Q47" i="25" s="1"/>
  <c r="L46" i="25"/>
  <c r="Q46" i="25" s="1"/>
  <c r="S52" i="25"/>
  <c r="U52" i="25" s="1"/>
  <c r="S53" i="25" s="1"/>
  <c r="U53" i="25" s="1"/>
  <c r="S54" i="25" s="1"/>
  <c r="U54" i="25" s="1"/>
  <c r="N52" i="25"/>
  <c r="P52" i="25" s="1"/>
  <c r="S46" i="25"/>
  <c r="U46" i="25" s="1"/>
  <c r="S47" i="25" s="1"/>
  <c r="U47" i="25" s="1"/>
  <c r="S48" i="25" s="1"/>
  <c r="U48" i="25" s="1"/>
  <c r="N46" i="25"/>
  <c r="P46" i="25" s="1"/>
  <c r="N47" i="25" s="1"/>
  <c r="P47" i="25" s="1"/>
  <c r="B12" i="25"/>
  <c r="B10" i="25"/>
  <c r="B9" i="25"/>
  <c r="B8" i="25"/>
  <c r="B7" i="25"/>
  <c r="B6" i="25"/>
  <c r="B5" i="25"/>
  <c r="B4" i="25"/>
  <c r="P100" i="7"/>
  <c r="Q100" i="7" s="1"/>
  <c r="P99" i="7"/>
  <c r="Q99" i="7" s="1"/>
  <c r="P98" i="7"/>
  <c r="Q98" i="7" s="1"/>
  <c r="P97" i="7"/>
  <c r="Q97" i="7" s="1"/>
  <c r="D97" i="7"/>
  <c r="E97" i="7" s="1"/>
  <c r="C97" i="7"/>
  <c r="P75" i="7"/>
  <c r="Q75" i="7" s="1"/>
  <c r="P92" i="7"/>
  <c r="Q92" i="7" s="1"/>
  <c r="P70" i="7"/>
  <c r="Q70" i="7" s="1"/>
  <c r="V52" i="25" l="1"/>
  <c r="N53" i="25"/>
  <c r="P53" i="25" s="1"/>
  <c r="V53" i="25" s="1"/>
  <c r="B3" i="25"/>
  <c r="G3" i="25" s="1"/>
  <c r="H3" i="25" s="1"/>
  <c r="I3" i="25" s="1"/>
  <c r="J3" i="25" s="1"/>
  <c r="V46" i="25"/>
  <c r="V47" i="25"/>
  <c r="N48" i="25"/>
  <c r="P48" i="25" s="1"/>
  <c r="V48" i="25" s="1"/>
  <c r="BA68" i="23"/>
  <c r="BB68" i="23" s="1"/>
  <c r="BC68" i="23"/>
  <c r="BD68" i="23" s="1"/>
  <c r="BG68" i="23"/>
  <c r="BH68" i="23"/>
  <c r="BI68" i="23"/>
  <c r="BA49" i="23"/>
  <c r="BB49" i="23" s="1"/>
  <c r="BC49" i="23"/>
  <c r="BD49" i="23" s="1"/>
  <c r="BG49" i="23"/>
  <c r="BH49" i="23"/>
  <c r="BI49" i="23"/>
  <c r="AV31" i="22"/>
  <c r="AW31" i="22"/>
  <c r="AX31" i="22" s="1"/>
  <c r="BA31" i="22"/>
  <c r="BB31" i="22"/>
  <c r="BC31" i="22"/>
  <c r="BD31" i="22"/>
  <c r="BE31" i="22"/>
  <c r="BF31" i="22"/>
  <c r="BG31" i="22"/>
  <c r="BH31" i="22"/>
  <c r="BI31" i="22"/>
  <c r="BJ31" i="22"/>
  <c r="BK31" i="22"/>
  <c r="BL31" i="22"/>
  <c r="BM31" i="22"/>
  <c r="BN31" i="22"/>
  <c r="BO31" i="22"/>
  <c r="BP31" i="22"/>
  <c r="BQ31" i="22"/>
  <c r="BR31" i="22"/>
  <c r="BS31" i="22"/>
  <c r="BT31" i="22"/>
  <c r="BU31" i="22"/>
  <c r="AV33" i="22"/>
  <c r="AW33" i="22"/>
  <c r="AX33" i="22" s="1"/>
  <c r="BA33" i="22"/>
  <c r="BB33" i="22"/>
  <c r="BC33" i="22"/>
  <c r="BD33" i="22"/>
  <c r="BE33" i="22"/>
  <c r="BF33" i="22"/>
  <c r="BG33" i="22"/>
  <c r="BH33" i="22"/>
  <c r="BI33" i="22"/>
  <c r="BJ33" i="22"/>
  <c r="BK33" i="22"/>
  <c r="BL33" i="22"/>
  <c r="BM33" i="22"/>
  <c r="BN33" i="22"/>
  <c r="BO33" i="22"/>
  <c r="BP33" i="22"/>
  <c r="BQ33" i="22"/>
  <c r="BR33" i="22"/>
  <c r="BS33" i="22"/>
  <c r="BT33" i="22"/>
  <c r="BU33" i="22"/>
  <c r="N11" i="26"/>
  <c r="M11" i="26"/>
  <c r="L30" i="26"/>
  <c r="L31" i="26"/>
  <c r="L18" i="26"/>
  <c r="L29" i="26"/>
  <c r="L28" i="26"/>
  <c r="L27" i="26"/>
  <c r="L26" i="26"/>
  <c r="L25" i="26"/>
  <c r="L24" i="26"/>
  <c r="L23" i="26"/>
  <c r="L22" i="26"/>
  <c r="L21" i="26"/>
  <c r="L20" i="26"/>
  <c r="N54" i="25" l="1"/>
  <c r="P54" i="25" s="1"/>
  <c r="V54" i="25" s="1"/>
  <c r="B29" i="25"/>
  <c r="G29" i="25" s="1"/>
  <c r="H29" i="25" s="1"/>
  <c r="I29" i="25" s="1"/>
  <c r="J29" i="25" s="1"/>
  <c r="AY31" i="22"/>
  <c r="AZ31" i="22" s="1"/>
  <c r="AY33" i="22"/>
  <c r="AZ33" i="22" s="1"/>
  <c r="BE49" i="23"/>
  <c r="BF49" i="23" s="1"/>
  <c r="BE68" i="23"/>
  <c r="BF68" i="23" s="1"/>
  <c r="CV31" i="22"/>
  <c r="CT33" i="22"/>
  <c r="CT31" i="22"/>
  <c r="CW33" i="22"/>
  <c r="CU33" i="22"/>
  <c r="CU31" i="22"/>
  <c r="CV33" i="22"/>
  <c r="CW31" i="22"/>
  <c r="CN49" i="23"/>
  <c r="CN68" i="23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I27" i="26"/>
  <c r="I26" i="26"/>
  <c r="I18" i="26"/>
  <c r="I22" i="26"/>
  <c r="BA45" i="23"/>
  <c r="BB45" i="23" s="1"/>
  <c r="BC45" i="23"/>
  <c r="BD45" i="23" s="1"/>
  <c r="BG45" i="23"/>
  <c r="BH45" i="23"/>
  <c r="BI45" i="23"/>
  <c r="BA23" i="23"/>
  <c r="BB23" i="23" s="1"/>
  <c r="BC23" i="23"/>
  <c r="BD23" i="23" s="1"/>
  <c r="BG23" i="23"/>
  <c r="BH23" i="23"/>
  <c r="BI23" i="23"/>
  <c r="BA62" i="23"/>
  <c r="BB62" i="23" s="1"/>
  <c r="BC62" i="23"/>
  <c r="BD62" i="23" s="1"/>
  <c r="BG62" i="23"/>
  <c r="BH62" i="23"/>
  <c r="BI62" i="23"/>
  <c r="BA65" i="23"/>
  <c r="BB65" i="23" s="1"/>
  <c r="BC65" i="23"/>
  <c r="BD65" i="23" s="1"/>
  <c r="BG65" i="23"/>
  <c r="BH65" i="23"/>
  <c r="BI65" i="23"/>
  <c r="BA47" i="23"/>
  <c r="BB47" i="23" s="1"/>
  <c r="BC47" i="23"/>
  <c r="BD47" i="23" s="1"/>
  <c r="BG47" i="23"/>
  <c r="BH47" i="23"/>
  <c r="BI47" i="23"/>
  <c r="AV18" i="22"/>
  <c r="AW18" i="22"/>
  <c r="AX18" i="22" s="1"/>
  <c r="BA18" i="22"/>
  <c r="BB18" i="22"/>
  <c r="BC18" i="22"/>
  <c r="BD18" i="22"/>
  <c r="BE18" i="22"/>
  <c r="BF18" i="22"/>
  <c r="BG18" i="22"/>
  <c r="BH18" i="22"/>
  <c r="BI18" i="22"/>
  <c r="BJ18" i="22"/>
  <c r="BK18" i="22"/>
  <c r="BL18" i="22"/>
  <c r="BM18" i="22"/>
  <c r="BN18" i="22"/>
  <c r="BO18" i="22"/>
  <c r="BP18" i="22"/>
  <c r="BQ18" i="22"/>
  <c r="BR18" i="22"/>
  <c r="BS18" i="22"/>
  <c r="BT18" i="22"/>
  <c r="BU18" i="22"/>
  <c r="BE45" i="23" l="1"/>
  <c r="BF45" i="23" s="1"/>
  <c r="I21" i="26"/>
  <c r="N18" i="26"/>
  <c r="BE23" i="23"/>
  <c r="BF23" i="23" s="1"/>
  <c r="BE65" i="23"/>
  <c r="BF65" i="23" s="1"/>
  <c r="BE62" i="23"/>
  <c r="BF62" i="23" s="1"/>
  <c r="BE47" i="23"/>
  <c r="BF47" i="23" s="1"/>
  <c r="CX31" i="22"/>
  <c r="CU18" i="22"/>
  <c r="CX33" i="22"/>
  <c r="CT18" i="22"/>
  <c r="CN45" i="23"/>
  <c r="I29" i="26"/>
  <c r="I30" i="26" s="1"/>
  <c r="I20" i="26"/>
  <c r="I23" i="26" s="1"/>
  <c r="AY18" i="22"/>
  <c r="AZ18" i="22" s="1"/>
  <c r="CW18" i="22"/>
  <c r="CV18" i="22"/>
  <c r="CN23" i="23"/>
  <c r="CN47" i="23"/>
  <c r="CN65" i="23"/>
  <c r="CN62" i="23"/>
  <c r="B39" i="25"/>
  <c r="B38" i="25"/>
  <c r="B37" i="25"/>
  <c r="B36" i="25"/>
  <c r="B35" i="25"/>
  <c r="B34" i="25"/>
  <c r="B33" i="25"/>
  <c r="B32" i="25"/>
  <c r="B31" i="25"/>
  <c r="B30" i="25"/>
  <c r="I24" i="26" l="1"/>
  <c r="I28" i="26" s="1"/>
  <c r="I31" i="26" s="1"/>
  <c r="CX18" i="22"/>
  <c r="N12" i="26" l="1"/>
  <c r="N8" i="26"/>
  <c r="N4" i="26"/>
  <c r="M12" i="26"/>
  <c r="M9" i="26"/>
  <c r="M8" i="26"/>
  <c r="M4" i="26"/>
  <c r="E61" i="26"/>
  <c r="E62" i="26"/>
  <c r="E63" i="26"/>
  <c r="E64" i="26"/>
  <c r="E65" i="26"/>
  <c r="E66" i="26"/>
  <c r="E67" i="26"/>
  <c r="E68" i="26"/>
  <c r="E60" i="26"/>
  <c r="AV57" i="22"/>
  <c r="AW57" i="22"/>
  <c r="AX57" i="22" s="1"/>
  <c r="BA57" i="22"/>
  <c r="BB57" i="22"/>
  <c r="BC57" i="22"/>
  <c r="BD57" i="22"/>
  <c r="BE57" i="22"/>
  <c r="BF57" i="22"/>
  <c r="BG57" i="22"/>
  <c r="BH57" i="22"/>
  <c r="BI57" i="22"/>
  <c r="BJ57" i="22"/>
  <c r="BK57" i="22"/>
  <c r="BL57" i="22"/>
  <c r="BM57" i="22"/>
  <c r="BN57" i="22"/>
  <c r="BO57" i="22"/>
  <c r="BP57" i="22"/>
  <c r="BQ57" i="22"/>
  <c r="BR57" i="22"/>
  <c r="BS57" i="22"/>
  <c r="BT57" i="22"/>
  <c r="BU57" i="22"/>
  <c r="AV11" i="22"/>
  <c r="AW11" i="22"/>
  <c r="AX11" i="22" s="1"/>
  <c r="BA11" i="22"/>
  <c r="BB11" i="22"/>
  <c r="BC11" i="22"/>
  <c r="BD11" i="22"/>
  <c r="BE11" i="22"/>
  <c r="BF11" i="22"/>
  <c r="BG11" i="22"/>
  <c r="BH11" i="22"/>
  <c r="BI11" i="22"/>
  <c r="BJ11" i="22"/>
  <c r="BK11" i="22"/>
  <c r="BL11" i="22"/>
  <c r="BM11" i="22"/>
  <c r="BN11" i="22"/>
  <c r="BO11" i="22"/>
  <c r="BP11" i="22"/>
  <c r="BQ11" i="22"/>
  <c r="BR11" i="22"/>
  <c r="BS11" i="22"/>
  <c r="BT11" i="22"/>
  <c r="BU11" i="22"/>
  <c r="BI40" i="23"/>
  <c r="BH40" i="23"/>
  <c r="BG40" i="23"/>
  <c r="BC40" i="23"/>
  <c r="BD40" i="23" s="1"/>
  <c r="BA40" i="23"/>
  <c r="C6" i="22"/>
  <c r="O101" i="7"/>
  <c r="N101" i="7"/>
  <c r="M101" i="7"/>
  <c r="L101" i="7"/>
  <c r="O96" i="7"/>
  <c r="N96" i="7"/>
  <c r="M96" i="7"/>
  <c r="O60" i="7"/>
  <c r="N60" i="7"/>
  <c r="M60" i="7"/>
  <c r="L96" i="7"/>
  <c r="K96" i="7"/>
  <c r="J96" i="7"/>
  <c r="I96" i="7"/>
  <c r="H96" i="7"/>
  <c r="G96" i="7"/>
  <c r="F96" i="7"/>
  <c r="H67" i="7"/>
  <c r="I67" i="7" s="1"/>
  <c r="J67" i="7" s="1"/>
  <c r="K67" i="7" s="1"/>
  <c r="L67" i="7" s="1"/>
  <c r="M67" i="7" s="1"/>
  <c r="H63" i="7"/>
  <c r="I63" i="7" s="1"/>
  <c r="J63" i="7" s="1"/>
  <c r="K63" i="7" s="1"/>
  <c r="L63" i="7" s="1"/>
  <c r="M63" i="7" s="1"/>
  <c r="N63" i="7" s="1"/>
  <c r="O63" i="7" s="1"/>
  <c r="BA60" i="23"/>
  <c r="BB60" i="23" s="1"/>
  <c r="BC60" i="23"/>
  <c r="BD60" i="23" s="1"/>
  <c r="BG60" i="23"/>
  <c r="BH60" i="23"/>
  <c r="BI60" i="23"/>
  <c r="BA54" i="23"/>
  <c r="BB54" i="23" s="1"/>
  <c r="BC54" i="23"/>
  <c r="BD54" i="23" s="1"/>
  <c r="BG54" i="23"/>
  <c r="BH54" i="23"/>
  <c r="BI54" i="23"/>
  <c r="AV58" i="22"/>
  <c r="AW58" i="22"/>
  <c r="AX58" i="22" s="1"/>
  <c r="BA58" i="22"/>
  <c r="BB58" i="22"/>
  <c r="BC58" i="22"/>
  <c r="BD58" i="22"/>
  <c r="BE58" i="22"/>
  <c r="BF58" i="22"/>
  <c r="BG58" i="22"/>
  <c r="BH58" i="22"/>
  <c r="BI58" i="22"/>
  <c r="BJ58" i="22"/>
  <c r="BK58" i="22"/>
  <c r="BL58" i="22"/>
  <c r="BM58" i="22"/>
  <c r="BN58" i="22"/>
  <c r="BO58" i="22"/>
  <c r="BP58" i="22"/>
  <c r="BQ58" i="22"/>
  <c r="BR58" i="22"/>
  <c r="BS58" i="22"/>
  <c r="BT58" i="22"/>
  <c r="BU58" i="22"/>
  <c r="AV46" i="22"/>
  <c r="AW46" i="22"/>
  <c r="AX46" i="22" s="1"/>
  <c r="BA46" i="22"/>
  <c r="BB46" i="22"/>
  <c r="BC46" i="22"/>
  <c r="BD46" i="22"/>
  <c r="BE46" i="22"/>
  <c r="BF46" i="22"/>
  <c r="BG46" i="22"/>
  <c r="BH46" i="22"/>
  <c r="BI46" i="22"/>
  <c r="BJ46" i="22"/>
  <c r="BK46" i="22"/>
  <c r="BL46" i="22"/>
  <c r="BM46" i="22"/>
  <c r="BN46" i="22"/>
  <c r="BO46" i="22"/>
  <c r="BP46" i="22"/>
  <c r="BQ46" i="22"/>
  <c r="BR46" i="22"/>
  <c r="BS46" i="22"/>
  <c r="BT46" i="22"/>
  <c r="BU46" i="22"/>
  <c r="AV17" i="22"/>
  <c r="AW17" i="22"/>
  <c r="AX17" i="22" s="1"/>
  <c r="BA17" i="22"/>
  <c r="BB17" i="22"/>
  <c r="BC17" i="22"/>
  <c r="BD17" i="22"/>
  <c r="BE17" i="22"/>
  <c r="BF17" i="22"/>
  <c r="BG17" i="22"/>
  <c r="BH17" i="22"/>
  <c r="BI17" i="22"/>
  <c r="BJ17" i="22"/>
  <c r="BK17" i="22"/>
  <c r="BL17" i="22"/>
  <c r="BM17" i="22"/>
  <c r="BN17" i="22"/>
  <c r="BO17" i="22"/>
  <c r="BP17" i="22"/>
  <c r="BQ17" i="22"/>
  <c r="BR17" i="22"/>
  <c r="BS17" i="22"/>
  <c r="BT17" i="22"/>
  <c r="BU17" i="22"/>
  <c r="F22" i="26"/>
  <c r="S36" i="25"/>
  <c r="U36" i="25" s="1"/>
  <c r="S37" i="25" s="1"/>
  <c r="U37" i="25" s="1"/>
  <c r="S38" i="25" s="1"/>
  <c r="U38" i="25" s="1"/>
  <c r="N36" i="25"/>
  <c r="P36" i="25" s="1"/>
  <c r="N37" i="25" s="1"/>
  <c r="P37" i="25" s="1"/>
  <c r="N38" i="25" s="1"/>
  <c r="P38" i="25" s="1"/>
  <c r="S30" i="25"/>
  <c r="N30" i="25"/>
  <c r="C57" i="7"/>
  <c r="D57" i="7" s="1"/>
  <c r="E57" i="7" s="1"/>
  <c r="F57" i="7" s="1"/>
  <c r="G57" i="7" s="1"/>
  <c r="H57" i="7" s="1"/>
  <c r="I57" i="7" s="1"/>
  <c r="J57" i="7" s="1"/>
  <c r="K57" i="7" s="1"/>
  <c r="L57" i="7" s="1"/>
  <c r="M57" i="7" s="1"/>
  <c r="N57" i="7" s="1"/>
  <c r="O57" i="7" s="1"/>
  <c r="BA37" i="23"/>
  <c r="BB37" i="23" s="1"/>
  <c r="BC37" i="23"/>
  <c r="BD37" i="23" s="1"/>
  <c r="BG37" i="23"/>
  <c r="BH37" i="23"/>
  <c r="BI37" i="23"/>
  <c r="AV56" i="22"/>
  <c r="AW56" i="22"/>
  <c r="AX56" i="22" s="1"/>
  <c r="BA56" i="22"/>
  <c r="BB56" i="22"/>
  <c r="BC56" i="22"/>
  <c r="BD56" i="22"/>
  <c r="BE56" i="22"/>
  <c r="BF56" i="22"/>
  <c r="BG56" i="22"/>
  <c r="BH56" i="22"/>
  <c r="BI56" i="22"/>
  <c r="BJ56" i="22"/>
  <c r="BK56" i="22"/>
  <c r="BL56" i="22"/>
  <c r="BM56" i="22"/>
  <c r="BN56" i="22"/>
  <c r="BO56" i="22"/>
  <c r="BP56" i="22"/>
  <c r="BQ56" i="22"/>
  <c r="BR56" i="22"/>
  <c r="BS56" i="22"/>
  <c r="BT56" i="22"/>
  <c r="BU56" i="22"/>
  <c r="AV28" i="22"/>
  <c r="AW28" i="22"/>
  <c r="AX28" i="22" s="1"/>
  <c r="BA28" i="22"/>
  <c r="BB28" i="22"/>
  <c r="BC28" i="22"/>
  <c r="BD28" i="22"/>
  <c r="BE28" i="22"/>
  <c r="BF28" i="22"/>
  <c r="BG28" i="22"/>
  <c r="BH28" i="22"/>
  <c r="BI28" i="22"/>
  <c r="BJ28" i="22"/>
  <c r="BK28" i="22"/>
  <c r="BL28" i="22"/>
  <c r="BM28" i="22"/>
  <c r="BN28" i="22"/>
  <c r="BO28" i="22"/>
  <c r="BP28" i="22"/>
  <c r="BQ28" i="22"/>
  <c r="BR28" i="22"/>
  <c r="BS28" i="22"/>
  <c r="BT28" i="22"/>
  <c r="BU28" i="22"/>
  <c r="P101" i="7" l="1"/>
  <c r="Q101" i="7" s="1"/>
  <c r="AY58" i="22"/>
  <c r="AZ58" i="22" s="1"/>
  <c r="V38" i="25"/>
  <c r="CT11" i="22"/>
  <c r="CU57" i="22"/>
  <c r="CV11" i="22"/>
  <c r="CU11" i="22"/>
  <c r="CT57" i="22"/>
  <c r="CV57" i="22"/>
  <c r="V36" i="25"/>
  <c r="CW57" i="22"/>
  <c r="K3" i="26"/>
  <c r="N20" i="26"/>
  <c r="M20" i="26"/>
  <c r="M18" i="26"/>
  <c r="N22" i="26"/>
  <c r="M22" i="26"/>
  <c r="AY57" i="22"/>
  <c r="AZ57" i="22" s="1"/>
  <c r="BE40" i="23"/>
  <c r="BF40" i="23" s="1"/>
  <c r="BB40" i="23"/>
  <c r="AY11" i="22"/>
  <c r="AZ11" i="22" s="1"/>
  <c r="CN40" i="23"/>
  <c r="CW11" i="22"/>
  <c r="AY17" i="22"/>
  <c r="AZ17" i="22" s="1"/>
  <c r="AY46" i="22"/>
  <c r="AZ46" i="22" s="1"/>
  <c r="F23" i="26"/>
  <c r="F24" i="26" s="1"/>
  <c r="F25" i="26" s="1"/>
  <c r="BE54" i="23"/>
  <c r="BF54" i="23" s="1"/>
  <c r="BE60" i="23"/>
  <c r="BF60" i="23" s="1"/>
  <c r="CT58" i="22"/>
  <c r="CT17" i="22"/>
  <c r="CV58" i="22"/>
  <c r="CU58" i="22"/>
  <c r="CT46" i="22"/>
  <c r="CW58" i="22"/>
  <c r="N67" i="7"/>
  <c r="CU46" i="22"/>
  <c r="CV17" i="22"/>
  <c r="CU17" i="22"/>
  <c r="CV46" i="22"/>
  <c r="CN54" i="23"/>
  <c r="CN60" i="23"/>
  <c r="CW46" i="22"/>
  <c r="CT28" i="22"/>
  <c r="CW17" i="22"/>
  <c r="V37" i="25"/>
  <c r="CU56" i="22"/>
  <c r="CU28" i="22"/>
  <c r="CV56" i="22"/>
  <c r="CT56" i="22"/>
  <c r="AY56" i="22"/>
  <c r="AZ56" i="22" s="1"/>
  <c r="CW56" i="22"/>
  <c r="AY28" i="22"/>
  <c r="AZ28" i="22" s="1"/>
  <c r="P30" i="25"/>
  <c r="U30" i="25"/>
  <c r="S31" i="25" s="1"/>
  <c r="U31" i="25" s="1"/>
  <c r="S32" i="25" s="1"/>
  <c r="U32" i="25" s="1"/>
  <c r="BE37" i="23"/>
  <c r="BF37" i="23" s="1"/>
  <c r="CV28" i="22"/>
  <c r="CN37" i="23"/>
  <c r="CW28" i="22"/>
  <c r="K12" i="26"/>
  <c r="K9" i="26"/>
  <c r="N9" i="26" s="1"/>
  <c r="K4" i="26"/>
  <c r="B21" i="26"/>
  <c r="S24" i="25"/>
  <c r="U24" i="25" s="1"/>
  <c r="S23" i="25"/>
  <c r="U23" i="25" s="1"/>
  <c r="S22" i="25"/>
  <c r="U22" i="25" s="1"/>
  <c r="S21" i="25"/>
  <c r="U21" i="25" s="1"/>
  <c r="S20" i="25"/>
  <c r="U20" i="25" s="1"/>
  <c r="S19" i="25"/>
  <c r="U19" i="25" s="1"/>
  <c r="S18" i="25"/>
  <c r="U18" i="25" s="1"/>
  <c r="S17" i="25"/>
  <c r="U17" i="25" s="1"/>
  <c r="N24" i="25"/>
  <c r="P24" i="25" s="1"/>
  <c r="N23" i="25"/>
  <c r="P23" i="25" s="1"/>
  <c r="N22" i="25"/>
  <c r="P22" i="25" s="1"/>
  <c r="N21" i="25"/>
  <c r="P21" i="25" s="1"/>
  <c r="N20" i="25"/>
  <c r="P20" i="25" s="1"/>
  <c r="N19" i="25"/>
  <c r="P19" i="25" s="1"/>
  <c r="N18" i="25"/>
  <c r="P18" i="25" s="1"/>
  <c r="N17" i="25"/>
  <c r="S5" i="25"/>
  <c r="S6" i="25"/>
  <c r="U6" i="25" s="1"/>
  <c r="S7" i="25"/>
  <c r="U7" i="25" s="1"/>
  <c r="S8" i="25"/>
  <c r="U8" i="25" s="1"/>
  <c r="S9" i="25"/>
  <c r="U9" i="25" s="1"/>
  <c r="S10" i="25"/>
  <c r="U10" i="25" s="1"/>
  <c r="S11" i="25"/>
  <c r="U11" i="25" s="1"/>
  <c r="S4" i="25"/>
  <c r="U4" i="25" s="1"/>
  <c r="N5" i="25"/>
  <c r="P5" i="25" s="1"/>
  <c r="N6" i="25"/>
  <c r="P6" i="25" s="1"/>
  <c r="N7" i="25"/>
  <c r="P7" i="25" s="1"/>
  <c r="N8" i="25"/>
  <c r="P8" i="25" s="1"/>
  <c r="N9" i="25"/>
  <c r="P9" i="25" s="1"/>
  <c r="N10" i="25"/>
  <c r="N11" i="25"/>
  <c r="P11" i="25" s="1"/>
  <c r="N4" i="25"/>
  <c r="P4" i="25" s="1"/>
  <c r="A87" i="26" l="1"/>
  <c r="A88" i="26"/>
  <c r="A91" i="26"/>
  <c r="A92" i="26"/>
  <c r="A95" i="26"/>
  <c r="A96" i="26"/>
  <c r="A89" i="26"/>
  <c r="A90" i="26"/>
  <c r="A93" i="26"/>
  <c r="A94" i="26"/>
  <c r="N3" i="26"/>
  <c r="M3" i="26"/>
  <c r="N31" i="25"/>
  <c r="P31" i="25" s="1"/>
  <c r="F26" i="26"/>
  <c r="F27" i="26"/>
  <c r="CX11" i="22"/>
  <c r="N25" i="25"/>
  <c r="P25" i="25" s="1"/>
  <c r="CX57" i="22"/>
  <c r="P10" i="25"/>
  <c r="N12" i="25" s="1"/>
  <c r="P12" i="25" s="1"/>
  <c r="K10" i="26"/>
  <c r="N23" i="26"/>
  <c r="M23" i="26"/>
  <c r="K6" i="26"/>
  <c r="N21" i="26"/>
  <c r="M21" i="26"/>
  <c r="F36" i="26"/>
  <c r="F38" i="26"/>
  <c r="F40" i="26"/>
  <c r="F42" i="26"/>
  <c r="F44" i="26"/>
  <c r="F46" i="26"/>
  <c r="F48" i="26"/>
  <c r="F50" i="26"/>
  <c r="F52" i="26"/>
  <c r="F54" i="26"/>
  <c r="F56" i="26"/>
  <c r="F58" i="26"/>
  <c r="F60" i="26"/>
  <c r="F62" i="26"/>
  <c r="F64" i="26"/>
  <c r="F66" i="26"/>
  <c r="F68" i="26"/>
  <c r="F70" i="26"/>
  <c r="F72" i="26"/>
  <c r="F74" i="26"/>
  <c r="F76" i="26"/>
  <c r="F78" i="26"/>
  <c r="F80" i="26"/>
  <c r="F82" i="26"/>
  <c r="F84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F35" i="26"/>
  <c r="F37" i="26"/>
  <c r="F39" i="26"/>
  <c r="F41" i="26"/>
  <c r="F43" i="26"/>
  <c r="F45" i="26"/>
  <c r="F47" i="26"/>
  <c r="F49" i="26"/>
  <c r="F51" i="26"/>
  <c r="F53" i="26"/>
  <c r="F55" i="26"/>
  <c r="F57" i="26"/>
  <c r="F59" i="26"/>
  <c r="F61" i="26"/>
  <c r="F63" i="26"/>
  <c r="F65" i="26"/>
  <c r="F67" i="26"/>
  <c r="F69" i="26"/>
  <c r="F71" i="26"/>
  <c r="F73" i="26"/>
  <c r="F75" i="26"/>
  <c r="F77" i="26"/>
  <c r="F79" i="26"/>
  <c r="F81" i="26"/>
  <c r="F83" i="26"/>
  <c r="F85" i="26"/>
  <c r="F34" i="26"/>
  <c r="A123" i="26"/>
  <c r="F123" i="26" s="1"/>
  <c r="A125" i="26"/>
  <c r="F125" i="26" s="1"/>
  <c r="A127" i="26"/>
  <c r="F127" i="26" s="1"/>
  <c r="A119" i="26"/>
  <c r="F119" i="26" s="1"/>
  <c r="A121" i="26"/>
  <c r="F121" i="26" s="1"/>
  <c r="A124" i="26"/>
  <c r="F124" i="26" s="1"/>
  <c r="A126" i="26"/>
  <c r="F126" i="26" s="1"/>
  <c r="A118" i="26"/>
  <c r="F118" i="26" s="1"/>
  <c r="A120" i="26"/>
  <c r="F120" i="26" s="1"/>
  <c r="A122" i="26"/>
  <c r="F122" i="26" s="1"/>
  <c r="A115" i="26"/>
  <c r="F115" i="26" s="1"/>
  <c r="A116" i="26"/>
  <c r="F116" i="26" s="1"/>
  <c r="A117" i="26"/>
  <c r="F117" i="26" s="1"/>
  <c r="A109" i="26"/>
  <c r="F109" i="26" s="1"/>
  <c r="A110" i="26"/>
  <c r="F110" i="26" s="1"/>
  <c r="A111" i="26"/>
  <c r="F111" i="26" s="1"/>
  <c r="A114" i="26"/>
  <c r="F114" i="26" s="1"/>
  <c r="A100" i="26"/>
  <c r="F100" i="26" s="1"/>
  <c r="A101" i="26"/>
  <c r="F101" i="26" s="1"/>
  <c r="A102" i="26"/>
  <c r="F102" i="26" s="1"/>
  <c r="A103" i="26"/>
  <c r="F103" i="26" s="1"/>
  <c r="A104" i="26"/>
  <c r="F104" i="26" s="1"/>
  <c r="A105" i="26"/>
  <c r="F105" i="26" s="1"/>
  <c r="A106" i="26"/>
  <c r="F106" i="26" s="1"/>
  <c r="A107" i="26"/>
  <c r="F107" i="26" s="1"/>
  <c r="A108" i="26"/>
  <c r="F108" i="26" s="1"/>
  <c r="A112" i="26"/>
  <c r="F112" i="26" s="1"/>
  <c r="A113" i="26"/>
  <c r="F113" i="26" s="1"/>
  <c r="A99" i="26"/>
  <c r="F99" i="26" s="1"/>
  <c r="A98" i="26"/>
  <c r="F98" i="26" s="1"/>
  <c r="A97" i="26"/>
  <c r="F97" i="26" s="1"/>
  <c r="B61" i="26"/>
  <c r="B63" i="26"/>
  <c r="B68" i="26"/>
  <c r="B66" i="26"/>
  <c r="B64" i="26"/>
  <c r="B60" i="26"/>
  <c r="B62" i="26"/>
  <c r="B67" i="26"/>
  <c r="B65" i="26"/>
  <c r="CX58" i="22"/>
  <c r="CX17" i="22"/>
  <c r="CX46" i="22"/>
  <c r="O67" i="7"/>
  <c r="V20" i="25"/>
  <c r="V21" i="25"/>
  <c r="V24" i="25"/>
  <c r="V18" i="25"/>
  <c r="V19" i="25"/>
  <c r="V22" i="25"/>
  <c r="V23" i="25"/>
  <c r="CX56" i="22"/>
  <c r="CX28" i="22"/>
  <c r="V30" i="25"/>
  <c r="V8" i="25"/>
  <c r="V4" i="25"/>
  <c r="S25" i="25"/>
  <c r="U25" i="25" s="1"/>
  <c r="V11" i="25"/>
  <c r="V7" i="25"/>
  <c r="V6" i="25"/>
  <c r="P17" i="25"/>
  <c r="V17" i="25" s="1"/>
  <c r="V9" i="25"/>
  <c r="U5" i="25"/>
  <c r="V5" i="25" s="1"/>
  <c r="E93" i="26" l="1"/>
  <c r="F93" i="26"/>
  <c r="E89" i="26"/>
  <c r="F89" i="26"/>
  <c r="E95" i="26"/>
  <c r="F95" i="26"/>
  <c r="E91" i="26"/>
  <c r="F91" i="26"/>
  <c r="E87" i="26"/>
  <c r="F87" i="26"/>
  <c r="E94" i="26"/>
  <c r="F94" i="26"/>
  <c r="E90" i="26"/>
  <c r="F90" i="26"/>
  <c r="F96" i="26"/>
  <c r="E96" i="26"/>
  <c r="F92" i="26"/>
  <c r="E92" i="26"/>
  <c r="F88" i="26"/>
  <c r="E88" i="26"/>
  <c r="N10" i="26"/>
  <c r="M10" i="26"/>
  <c r="N6" i="26"/>
  <c r="M6" i="26"/>
  <c r="V10" i="25"/>
  <c r="V31" i="25"/>
  <c r="N32" i="25"/>
  <c r="P32" i="25" s="1"/>
  <c r="V32" i="25" s="1"/>
  <c r="S12" i="25"/>
  <c r="U12" i="25" s="1"/>
  <c r="V12" i="25" s="1"/>
  <c r="V25" i="25"/>
  <c r="N24" i="26"/>
  <c r="M24" i="26"/>
  <c r="N26" i="26"/>
  <c r="M26" i="26"/>
  <c r="K15" i="26"/>
  <c r="N27" i="26"/>
  <c r="M27" i="26"/>
  <c r="E97" i="26"/>
  <c r="E99" i="26"/>
  <c r="E112" i="26"/>
  <c r="E107" i="26"/>
  <c r="E105" i="26"/>
  <c r="E103" i="26"/>
  <c r="E101" i="26"/>
  <c r="E114" i="26"/>
  <c r="E110" i="26"/>
  <c r="E117" i="26"/>
  <c r="E115" i="26"/>
  <c r="E120" i="26"/>
  <c r="E126" i="26"/>
  <c r="E121" i="26"/>
  <c r="E127" i="26"/>
  <c r="E123" i="26"/>
  <c r="E98" i="26"/>
  <c r="E113" i="26"/>
  <c r="E108" i="26"/>
  <c r="E106" i="26"/>
  <c r="E104" i="26"/>
  <c r="E102" i="26"/>
  <c r="E100" i="26"/>
  <c r="E111" i="26"/>
  <c r="E109" i="26"/>
  <c r="E116" i="26"/>
  <c r="E122" i="26"/>
  <c r="E118" i="26"/>
  <c r="E124" i="26"/>
  <c r="E119" i="26"/>
  <c r="E125" i="26"/>
  <c r="K14" i="26"/>
  <c r="F29" i="26"/>
  <c r="F30" i="26" s="1"/>
  <c r="F28" i="26"/>
  <c r="O9" i="26" l="1"/>
  <c r="K17" i="26"/>
  <c r="M17" i="26" s="1"/>
  <c r="M14" i="26"/>
  <c r="N14" i="26"/>
  <c r="N15" i="26"/>
  <c r="M15" i="26"/>
  <c r="N25" i="26"/>
  <c r="M25" i="26"/>
  <c r="N28" i="26"/>
  <c r="M28" i="26"/>
  <c r="N29" i="26"/>
  <c r="F31" i="26"/>
  <c r="F32" i="26" s="1"/>
  <c r="M29" i="26"/>
  <c r="C54" i="7"/>
  <c r="D54" i="7" s="1"/>
  <c r="E54" i="7" s="1"/>
  <c r="F54" i="7" s="1"/>
  <c r="C58" i="7"/>
  <c r="D58" i="7" s="1"/>
  <c r="E58" i="7" s="1"/>
  <c r="F58" i="7" s="1"/>
  <c r="G58" i="7" s="1"/>
  <c r="H58" i="7" s="1"/>
  <c r="I58" i="7" s="1"/>
  <c r="J58" i="7" s="1"/>
  <c r="K58" i="7" s="1"/>
  <c r="L58" i="7" s="1"/>
  <c r="M58" i="7" s="1"/>
  <c r="N58" i="7" s="1"/>
  <c r="O58" i="7" s="1"/>
  <c r="N17" i="26" l="1"/>
  <c r="G54" i="7"/>
  <c r="F52" i="7"/>
  <c r="N31" i="26"/>
  <c r="M31" i="26"/>
  <c r="M30" i="26"/>
  <c r="N30" i="26"/>
  <c r="F61" i="7" l="1"/>
  <c r="F94" i="7" s="1"/>
  <c r="F62" i="7"/>
  <c r="F68" i="7" s="1"/>
  <c r="H54" i="7"/>
  <c r="G52" i="7"/>
  <c r="G62" i="7" s="1"/>
  <c r="G68" i="7" s="1"/>
  <c r="AV15" i="22"/>
  <c r="AW15" i="22"/>
  <c r="AX15" i="22" s="1"/>
  <c r="BA15" i="22"/>
  <c r="BB15" i="22"/>
  <c r="BC15" i="22"/>
  <c r="BD15" i="22"/>
  <c r="BE15" i="22"/>
  <c r="BF15" i="22"/>
  <c r="BG15" i="22"/>
  <c r="BH15" i="22"/>
  <c r="BI15" i="22"/>
  <c r="BJ15" i="22"/>
  <c r="BK15" i="22"/>
  <c r="BL15" i="22"/>
  <c r="BM15" i="22"/>
  <c r="BN15" i="22"/>
  <c r="BO15" i="22"/>
  <c r="BP15" i="22"/>
  <c r="BQ15" i="22"/>
  <c r="BR15" i="22"/>
  <c r="BS15" i="22"/>
  <c r="BT15" i="22"/>
  <c r="BU15" i="22"/>
  <c r="G61" i="7" l="1"/>
  <c r="G94" i="7" s="1"/>
  <c r="I54" i="7"/>
  <c r="H52" i="7"/>
  <c r="AY15" i="22"/>
  <c r="AZ15" i="22" s="1"/>
  <c r="CT15" i="22"/>
  <c r="CV15" i="22"/>
  <c r="CW15" i="22"/>
  <c r="CU15" i="22"/>
  <c r="J54" i="7" l="1"/>
  <c r="I52" i="7"/>
  <c r="I62" i="7" s="1"/>
  <c r="I68" i="7" s="1"/>
  <c r="CX15" i="22"/>
  <c r="BI56" i="23"/>
  <c r="BH56" i="23"/>
  <c r="BG56" i="23"/>
  <c r="BC56" i="23"/>
  <c r="BD56" i="23" s="1"/>
  <c r="BA56" i="23"/>
  <c r="BB56" i="23" s="1"/>
  <c r="BI58" i="23"/>
  <c r="BH58" i="23"/>
  <c r="BG58" i="23"/>
  <c r="BC58" i="23"/>
  <c r="BD58" i="23" s="1"/>
  <c r="BA58" i="23"/>
  <c r="BB58" i="23" s="1"/>
  <c r="BI52" i="23"/>
  <c r="BH52" i="23"/>
  <c r="BG52" i="23"/>
  <c r="BC52" i="23"/>
  <c r="BD52" i="23" s="1"/>
  <c r="BA52" i="23"/>
  <c r="BB52" i="23" s="1"/>
  <c r="BI53" i="23"/>
  <c r="BH53" i="23"/>
  <c r="BG53" i="23"/>
  <c r="BC53" i="23"/>
  <c r="BD53" i="23" s="1"/>
  <c r="BA53" i="23"/>
  <c r="BB53" i="23" s="1"/>
  <c r="BI21" i="23"/>
  <c r="BH21" i="23"/>
  <c r="BG21" i="23"/>
  <c r="BC21" i="23"/>
  <c r="BD21" i="23" s="1"/>
  <c r="BA21" i="23"/>
  <c r="BB21" i="23" s="1"/>
  <c r="BI64" i="23"/>
  <c r="BH64" i="23"/>
  <c r="BG64" i="23"/>
  <c r="BC64" i="23"/>
  <c r="BD64" i="23" s="1"/>
  <c r="BA64" i="23"/>
  <c r="BB64" i="23" s="1"/>
  <c r="BI48" i="23"/>
  <c r="BH48" i="23"/>
  <c r="BG48" i="23"/>
  <c r="BC48" i="23"/>
  <c r="BD48" i="23" s="1"/>
  <c r="BA48" i="23"/>
  <c r="BB48" i="23" s="1"/>
  <c r="BI67" i="23"/>
  <c r="BH67" i="23"/>
  <c r="BG67" i="23"/>
  <c r="BC67" i="23"/>
  <c r="BD67" i="23" s="1"/>
  <c r="BA67" i="23"/>
  <c r="BB67" i="23" s="1"/>
  <c r="BI51" i="23"/>
  <c r="BH51" i="23"/>
  <c r="BG51" i="23"/>
  <c r="BC51" i="23"/>
  <c r="BD51" i="23" s="1"/>
  <c r="BA51" i="23"/>
  <c r="BB51" i="23" s="1"/>
  <c r="BI11" i="23"/>
  <c r="BH11" i="23"/>
  <c r="BG11" i="23"/>
  <c r="BC11" i="23"/>
  <c r="BD11" i="23" s="1"/>
  <c r="BA11" i="23"/>
  <c r="BB11" i="23" s="1"/>
  <c r="BI31" i="23"/>
  <c r="BH31" i="23"/>
  <c r="BG31" i="23"/>
  <c r="BC31" i="23"/>
  <c r="BD31" i="23" s="1"/>
  <c r="BA31" i="23"/>
  <c r="BB31" i="23" s="1"/>
  <c r="BI26" i="23"/>
  <c r="BH26" i="23"/>
  <c r="BG26" i="23"/>
  <c r="BC26" i="23"/>
  <c r="BD26" i="23" s="1"/>
  <c r="BA26" i="23"/>
  <c r="BB26" i="23" s="1"/>
  <c r="BI61" i="23"/>
  <c r="BH61" i="23"/>
  <c r="BG61" i="23"/>
  <c r="BC61" i="23"/>
  <c r="BD61" i="23" s="1"/>
  <c r="BA61" i="23"/>
  <c r="BB61" i="23" s="1"/>
  <c r="BI70" i="23"/>
  <c r="BH70" i="23"/>
  <c r="BG70" i="23"/>
  <c r="BC70" i="23"/>
  <c r="BD70" i="23" s="1"/>
  <c r="BA70" i="23"/>
  <c r="BB70" i="23" s="1"/>
  <c r="BI32" i="23"/>
  <c r="BH32" i="23"/>
  <c r="BG32" i="23"/>
  <c r="BC32" i="23"/>
  <c r="BD32" i="23" s="1"/>
  <c r="BA32" i="23"/>
  <c r="BB32" i="23" s="1"/>
  <c r="BI43" i="23"/>
  <c r="BH43" i="23"/>
  <c r="BG43" i="23"/>
  <c r="BC43" i="23"/>
  <c r="BD43" i="23" s="1"/>
  <c r="BA43" i="23"/>
  <c r="BB43" i="23" s="1"/>
  <c r="BI20" i="23"/>
  <c r="BH20" i="23"/>
  <c r="BG20" i="23"/>
  <c r="BC20" i="23"/>
  <c r="BD20" i="23" s="1"/>
  <c r="BA20" i="23"/>
  <c r="BB20" i="23" s="1"/>
  <c r="BI35" i="23"/>
  <c r="BH35" i="23"/>
  <c r="BG35" i="23"/>
  <c r="BC35" i="23"/>
  <c r="BD35" i="23" s="1"/>
  <c r="BA35" i="23"/>
  <c r="BB35" i="23" s="1"/>
  <c r="BI63" i="23"/>
  <c r="BH63" i="23"/>
  <c r="BG63" i="23"/>
  <c r="BC63" i="23"/>
  <c r="BD63" i="23" s="1"/>
  <c r="BA63" i="23"/>
  <c r="BB63" i="23" s="1"/>
  <c r="BI39" i="23"/>
  <c r="BH39" i="23"/>
  <c r="BG39" i="23"/>
  <c r="BC39" i="23"/>
  <c r="BD39" i="23" s="1"/>
  <c r="BA39" i="23"/>
  <c r="BB39" i="23" s="1"/>
  <c r="BI30" i="23"/>
  <c r="BH30" i="23"/>
  <c r="BG30" i="23"/>
  <c r="BC30" i="23"/>
  <c r="BD30" i="23" s="1"/>
  <c r="BA30" i="23"/>
  <c r="BB30" i="23" s="1"/>
  <c r="BI69" i="23"/>
  <c r="BH69" i="23"/>
  <c r="BG69" i="23"/>
  <c r="BC69" i="23"/>
  <c r="BD69" i="23" s="1"/>
  <c r="BA69" i="23"/>
  <c r="BB69" i="23" s="1"/>
  <c r="BI59" i="23"/>
  <c r="BH59" i="23"/>
  <c r="BG59" i="23"/>
  <c r="BC59" i="23"/>
  <c r="BD59" i="23" s="1"/>
  <c r="BA59" i="23"/>
  <c r="BB59" i="23" s="1"/>
  <c r="BI46" i="23"/>
  <c r="BH46" i="23"/>
  <c r="BG46" i="23"/>
  <c r="BC46" i="23"/>
  <c r="BD46" i="23" s="1"/>
  <c r="BA46" i="23"/>
  <c r="BB46" i="23" s="1"/>
  <c r="BI25" i="23"/>
  <c r="BH25" i="23"/>
  <c r="BG25" i="23"/>
  <c r="BC25" i="23"/>
  <c r="BD25" i="23" s="1"/>
  <c r="BA25" i="23"/>
  <c r="BB25" i="23" s="1"/>
  <c r="BI38" i="23"/>
  <c r="BH38" i="23"/>
  <c r="BG38" i="23"/>
  <c r="BC38" i="23"/>
  <c r="BD38" i="23" s="1"/>
  <c r="BA38" i="23"/>
  <c r="BB38" i="23" s="1"/>
  <c r="BI57" i="23"/>
  <c r="BH57" i="23"/>
  <c r="BG57" i="23"/>
  <c r="BC57" i="23"/>
  <c r="BD57" i="23" s="1"/>
  <c r="BA57" i="23"/>
  <c r="BB57" i="23" s="1"/>
  <c r="BI41" i="23"/>
  <c r="BH41" i="23"/>
  <c r="BG41" i="23"/>
  <c r="BC41" i="23"/>
  <c r="BD41" i="23" s="1"/>
  <c r="BA41" i="23"/>
  <c r="BB41" i="23" s="1"/>
  <c r="BI55" i="23"/>
  <c r="BH55" i="23"/>
  <c r="BG55" i="23"/>
  <c r="BC55" i="23"/>
  <c r="BD55" i="23" s="1"/>
  <c r="BA55" i="23"/>
  <c r="BB55" i="23" s="1"/>
  <c r="BI66" i="23"/>
  <c r="BH66" i="23"/>
  <c r="BG66" i="23"/>
  <c r="BC66" i="23"/>
  <c r="BD66" i="23" s="1"/>
  <c r="BA66" i="23"/>
  <c r="BB66" i="23" s="1"/>
  <c r="BI42" i="23"/>
  <c r="BH42" i="23"/>
  <c r="BG42" i="23"/>
  <c r="BC42" i="23"/>
  <c r="BD42" i="23" s="1"/>
  <c r="BA42" i="23"/>
  <c r="BB42" i="23" s="1"/>
  <c r="BI44" i="23"/>
  <c r="BH44" i="23"/>
  <c r="BG44" i="23"/>
  <c r="BC44" i="23"/>
  <c r="BD44" i="23" s="1"/>
  <c r="BA44" i="23"/>
  <c r="BB44" i="23" s="1"/>
  <c r="BI29" i="23"/>
  <c r="BH29" i="23"/>
  <c r="BG29" i="23"/>
  <c r="BC29" i="23"/>
  <c r="BD29" i="23" s="1"/>
  <c r="BA29" i="23"/>
  <c r="BB29" i="23" s="1"/>
  <c r="E8" i="23"/>
  <c r="C7" i="23"/>
  <c r="C6" i="23"/>
  <c r="C5" i="23"/>
  <c r="C4" i="23"/>
  <c r="C3" i="23"/>
  <c r="C2" i="23"/>
  <c r="K54" i="7" l="1"/>
  <c r="J52" i="7"/>
  <c r="J62" i="7" s="1"/>
  <c r="J68" i="7" s="1"/>
  <c r="F62" i="9"/>
  <c r="H62" i="9"/>
  <c r="G62" i="9"/>
  <c r="CN29" i="23"/>
  <c r="CN70" i="23"/>
  <c r="CN53" i="23"/>
  <c r="CN43" i="23"/>
  <c r="CN20" i="23"/>
  <c r="CN21" i="23"/>
  <c r="CN48" i="23"/>
  <c r="CN46" i="23"/>
  <c r="CN30" i="23"/>
  <c r="CN63" i="23"/>
  <c r="CN38" i="23"/>
  <c r="CN52" i="23"/>
  <c r="CN25" i="23"/>
  <c r="CN41" i="23"/>
  <c r="CN58" i="23"/>
  <c r="CN61" i="23"/>
  <c r="CN69" i="23"/>
  <c r="CN66" i="23"/>
  <c r="CN56" i="23"/>
  <c r="CN64" i="23"/>
  <c r="CN31" i="23"/>
  <c r="CN35" i="23"/>
  <c r="C8" i="23"/>
  <c r="F8" i="23" s="1"/>
  <c r="CN67" i="23"/>
  <c r="CN44" i="23"/>
  <c r="CN11" i="23"/>
  <c r="CN39" i="23"/>
  <c r="CN59" i="23"/>
  <c r="CN57" i="23"/>
  <c r="CN51" i="23"/>
  <c r="CN26" i="23"/>
  <c r="CN32" i="23"/>
  <c r="CN55" i="23"/>
  <c r="CN42" i="23"/>
  <c r="F6" i="23"/>
  <c r="BE66" i="23"/>
  <c r="BF66" i="23" s="1"/>
  <c r="BE55" i="23"/>
  <c r="BF55" i="23" s="1"/>
  <c r="BE41" i="23"/>
  <c r="BF41" i="23" s="1"/>
  <c r="BE57" i="23"/>
  <c r="BF57" i="23" s="1"/>
  <c r="BE25" i="23"/>
  <c r="BF25" i="23" s="1"/>
  <c r="BE46" i="23"/>
  <c r="BF46" i="23" s="1"/>
  <c r="BE59" i="23"/>
  <c r="BF59" i="23" s="1"/>
  <c r="BE69" i="23"/>
  <c r="BF69" i="23" s="1"/>
  <c r="BE30" i="23"/>
  <c r="BF30" i="23" s="1"/>
  <c r="BE39" i="23"/>
  <c r="BF39" i="23" s="1"/>
  <c r="BE63" i="23"/>
  <c r="BF63" i="23" s="1"/>
  <c r="BE35" i="23"/>
  <c r="BF35" i="23" s="1"/>
  <c r="BE20" i="23"/>
  <c r="BF20" i="23" s="1"/>
  <c r="BE43" i="23"/>
  <c r="BF43" i="23" s="1"/>
  <c r="BE32" i="23"/>
  <c r="BF32" i="23" s="1"/>
  <c r="BE70" i="23"/>
  <c r="BF70" i="23" s="1"/>
  <c r="BE61" i="23"/>
  <c r="BF61" i="23" s="1"/>
  <c r="BE26" i="23"/>
  <c r="BF26" i="23" s="1"/>
  <c r="BE31" i="23"/>
  <c r="BF31" i="23" s="1"/>
  <c r="BE11" i="23"/>
  <c r="BF11" i="23" s="1"/>
  <c r="BE51" i="23"/>
  <c r="BF51" i="23" s="1"/>
  <c r="BE67" i="23"/>
  <c r="BF67" i="23" s="1"/>
  <c r="BE48" i="23"/>
  <c r="BF48" i="23" s="1"/>
  <c r="BE64" i="23"/>
  <c r="BF64" i="23" s="1"/>
  <c r="BE21" i="23"/>
  <c r="BF21" i="23" s="1"/>
  <c r="BE53" i="23"/>
  <c r="BF53" i="23" s="1"/>
  <c r="BE52" i="23"/>
  <c r="BF52" i="23" s="1"/>
  <c r="BE58" i="23"/>
  <c r="BF58" i="23" s="1"/>
  <c r="BE56" i="23"/>
  <c r="BF56" i="23" s="1"/>
  <c r="F2" i="23"/>
  <c r="F4" i="23"/>
  <c r="BE29" i="23"/>
  <c r="BF29" i="23" s="1"/>
  <c r="BE44" i="23"/>
  <c r="BF44" i="23" s="1"/>
  <c r="BE42" i="23"/>
  <c r="BF42" i="23" s="1"/>
  <c r="BE38" i="23"/>
  <c r="BF38" i="23" s="1"/>
  <c r="F3" i="23"/>
  <c r="F5" i="23"/>
  <c r="BU37" i="22"/>
  <c r="BT37" i="22"/>
  <c r="BS37" i="22"/>
  <c r="BR37" i="22"/>
  <c r="BQ37" i="22"/>
  <c r="BP37" i="22"/>
  <c r="BO37" i="22"/>
  <c r="BN37" i="22"/>
  <c r="BM37" i="22"/>
  <c r="BL37" i="22"/>
  <c r="BK37" i="22"/>
  <c r="BJ37" i="22"/>
  <c r="BI37" i="22"/>
  <c r="BH37" i="22"/>
  <c r="BG37" i="22"/>
  <c r="BF37" i="22"/>
  <c r="BE37" i="22"/>
  <c r="BD37" i="22"/>
  <c r="BC37" i="22"/>
  <c r="BB37" i="22"/>
  <c r="BA37" i="22"/>
  <c r="AW37" i="22"/>
  <c r="AX37" i="22" s="1"/>
  <c r="AV37" i="22"/>
  <c r="BU55" i="22"/>
  <c r="BT55" i="22"/>
  <c r="BS55" i="22"/>
  <c r="BR55" i="22"/>
  <c r="BQ55" i="22"/>
  <c r="BP55" i="22"/>
  <c r="BO55" i="22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AW55" i="22"/>
  <c r="AX55" i="22" s="1"/>
  <c r="AV55" i="22"/>
  <c r="BU16" i="22"/>
  <c r="BT16" i="22"/>
  <c r="BS16" i="22"/>
  <c r="BR16" i="22"/>
  <c r="BQ16" i="22"/>
  <c r="BP16" i="22"/>
  <c r="BO16" i="22"/>
  <c r="BN16" i="22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W16" i="22"/>
  <c r="AX16" i="22" s="1"/>
  <c r="AV16" i="22"/>
  <c r="BU62" i="22"/>
  <c r="BT62" i="22"/>
  <c r="BS62" i="22"/>
  <c r="BR62" i="22"/>
  <c r="BQ62" i="22"/>
  <c r="BP62" i="22"/>
  <c r="BO62" i="22"/>
  <c r="BN62" i="22"/>
  <c r="BM62" i="22"/>
  <c r="BL62" i="22"/>
  <c r="BK62" i="22"/>
  <c r="BJ62" i="22"/>
  <c r="BI62" i="22"/>
  <c r="BH62" i="22"/>
  <c r="BG62" i="22"/>
  <c r="BF62" i="22"/>
  <c r="BE62" i="22"/>
  <c r="BD62" i="22"/>
  <c r="BC62" i="22"/>
  <c r="BB62" i="22"/>
  <c r="BA62" i="22"/>
  <c r="AW62" i="22"/>
  <c r="AX62" i="22" s="1"/>
  <c r="AV62" i="22"/>
  <c r="BU38" i="22"/>
  <c r="BT38" i="22"/>
  <c r="BS38" i="22"/>
  <c r="BR38" i="22"/>
  <c r="BQ38" i="22"/>
  <c r="BP38" i="22"/>
  <c r="BO38" i="22"/>
  <c r="BN38" i="22"/>
  <c r="BM38" i="22"/>
  <c r="BL38" i="22"/>
  <c r="BK38" i="22"/>
  <c r="BJ38" i="22"/>
  <c r="BI38" i="22"/>
  <c r="BH38" i="22"/>
  <c r="BG38" i="22"/>
  <c r="BF38" i="22"/>
  <c r="BE38" i="22"/>
  <c r="BD38" i="22"/>
  <c r="BC38" i="22"/>
  <c r="BB38" i="22"/>
  <c r="BA38" i="22"/>
  <c r="AW38" i="22"/>
  <c r="AX38" i="22" s="1"/>
  <c r="AV38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W51" i="22"/>
  <c r="AX51" i="22" s="1"/>
  <c r="AV51" i="22"/>
  <c r="BU26" i="22"/>
  <c r="BT26" i="22"/>
  <c r="BS26" i="22"/>
  <c r="BR26" i="22"/>
  <c r="BQ26" i="22"/>
  <c r="BP26" i="22"/>
  <c r="BO26" i="22"/>
  <c r="BN26" i="22"/>
  <c r="BM26" i="22"/>
  <c r="BL26" i="22"/>
  <c r="BK26" i="22"/>
  <c r="BJ26" i="22"/>
  <c r="BI26" i="22"/>
  <c r="BH26" i="22"/>
  <c r="BG26" i="22"/>
  <c r="BF26" i="22"/>
  <c r="BE26" i="22"/>
  <c r="BD26" i="22"/>
  <c r="BC26" i="22"/>
  <c r="BB26" i="22"/>
  <c r="BA26" i="22"/>
  <c r="AW26" i="22"/>
  <c r="AX26" i="22" s="1"/>
  <c r="AV26" i="22"/>
  <c r="BU20" i="22"/>
  <c r="BT20" i="22"/>
  <c r="BS20" i="22"/>
  <c r="BR20" i="22"/>
  <c r="BQ20" i="22"/>
  <c r="BP20" i="22"/>
  <c r="BO20" i="22"/>
  <c r="BN20" i="22"/>
  <c r="BM20" i="22"/>
  <c r="BL20" i="22"/>
  <c r="BK20" i="22"/>
  <c r="BJ20" i="22"/>
  <c r="BI20" i="22"/>
  <c r="BH20" i="22"/>
  <c r="BG20" i="22"/>
  <c r="BF20" i="22"/>
  <c r="BE20" i="22"/>
  <c r="BD20" i="22"/>
  <c r="BC20" i="22"/>
  <c r="BB20" i="22"/>
  <c r="BA20" i="22"/>
  <c r="AW20" i="22"/>
  <c r="AX20" i="22" s="1"/>
  <c r="AV20" i="22"/>
  <c r="BU63" i="22"/>
  <c r="BT63" i="22"/>
  <c r="BS63" i="22"/>
  <c r="BR63" i="22"/>
  <c r="BQ63" i="22"/>
  <c r="BP63" i="22"/>
  <c r="BO63" i="22"/>
  <c r="BN63" i="22"/>
  <c r="BM63" i="22"/>
  <c r="BL63" i="22"/>
  <c r="BK63" i="22"/>
  <c r="BJ63" i="22"/>
  <c r="BI63" i="22"/>
  <c r="BH63" i="22"/>
  <c r="BG63" i="22"/>
  <c r="BF63" i="22"/>
  <c r="BE63" i="22"/>
  <c r="BD63" i="22"/>
  <c r="BC63" i="22"/>
  <c r="BB63" i="22"/>
  <c r="BA63" i="22"/>
  <c r="AW63" i="22"/>
  <c r="AX63" i="22" s="1"/>
  <c r="AV63" i="22"/>
  <c r="BU53" i="22"/>
  <c r="BT53" i="22"/>
  <c r="BS53" i="22"/>
  <c r="BR53" i="22"/>
  <c r="BQ53" i="22"/>
  <c r="BP53" i="22"/>
  <c r="BO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W53" i="22"/>
  <c r="AX53" i="22" s="1"/>
  <c r="AV53" i="22"/>
  <c r="BU40" i="22"/>
  <c r="BT40" i="22"/>
  <c r="BS40" i="22"/>
  <c r="BR40" i="22"/>
  <c r="BQ40" i="22"/>
  <c r="BP40" i="22"/>
  <c r="BO40" i="22"/>
  <c r="BN40" i="22"/>
  <c r="BM40" i="22"/>
  <c r="BL40" i="22"/>
  <c r="BK40" i="22"/>
  <c r="BJ40" i="22"/>
  <c r="BI40" i="22"/>
  <c r="BH40" i="22"/>
  <c r="BG40" i="22"/>
  <c r="BF40" i="22"/>
  <c r="BE40" i="22"/>
  <c r="BD40" i="22"/>
  <c r="BC40" i="22"/>
  <c r="BB40" i="22"/>
  <c r="BA40" i="22"/>
  <c r="AW40" i="22"/>
  <c r="AX40" i="22" s="1"/>
  <c r="AV40" i="22"/>
  <c r="BU23" i="22"/>
  <c r="BT23" i="22"/>
  <c r="BS23" i="22"/>
  <c r="BR23" i="22"/>
  <c r="BQ23" i="22"/>
  <c r="BP23" i="22"/>
  <c r="BO23" i="22"/>
  <c r="BN23" i="22"/>
  <c r="BM23" i="22"/>
  <c r="BL23" i="22"/>
  <c r="BK23" i="22"/>
  <c r="BJ23" i="22"/>
  <c r="BI23" i="22"/>
  <c r="BH23" i="22"/>
  <c r="BG23" i="22"/>
  <c r="BF23" i="22"/>
  <c r="BE23" i="22"/>
  <c r="BD23" i="22"/>
  <c r="BC23" i="22"/>
  <c r="BB23" i="22"/>
  <c r="BA23" i="22"/>
  <c r="AW23" i="22"/>
  <c r="AX23" i="22" s="1"/>
  <c r="AV23" i="22"/>
  <c r="BU43" i="22"/>
  <c r="BT43" i="22"/>
  <c r="BS43" i="22"/>
  <c r="BR43" i="22"/>
  <c r="BQ43" i="22"/>
  <c r="BP43" i="22"/>
  <c r="BO43" i="22"/>
  <c r="BN43" i="22"/>
  <c r="BM43" i="22"/>
  <c r="BL43" i="22"/>
  <c r="BK43" i="22"/>
  <c r="BJ43" i="22"/>
  <c r="BI43" i="22"/>
  <c r="BH43" i="22"/>
  <c r="BG43" i="22"/>
  <c r="BF43" i="22"/>
  <c r="BE43" i="22"/>
  <c r="BD43" i="22"/>
  <c r="BC43" i="22"/>
  <c r="BB43" i="22"/>
  <c r="BA43" i="22"/>
  <c r="AW43" i="22"/>
  <c r="AX43" i="22" s="1"/>
  <c r="AV43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W50" i="22"/>
  <c r="AX50" i="22" s="1"/>
  <c r="AV50" i="22"/>
  <c r="BU42" i="22"/>
  <c r="BT42" i="22"/>
  <c r="BS42" i="22"/>
  <c r="BR42" i="22"/>
  <c r="BQ42" i="22"/>
  <c r="BP42" i="22"/>
  <c r="BO42" i="22"/>
  <c r="BN42" i="22"/>
  <c r="BM42" i="22"/>
  <c r="BL42" i="22"/>
  <c r="BK42" i="22"/>
  <c r="BJ42" i="22"/>
  <c r="BI42" i="22"/>
  <c r="BH42" i="22"/>
  <c r="BG42" i="22"/>
  <c r="BF42" i="22"/>
  <c r="BE42" i="22"/>
  <c r="BD42" i="22"/>
  <c r="BC42" i="22"/>
  <c r="BB42" i="22"/>
  <c r="BA42" i="22"/>
  <c r="AW42" i="22"/>
  <c r="AX42" i="22" s="1"/>
  <c r="AV42" i="22"/>
  <c r="BU61" i="22"/>
  <c r="BT61" i="22"/>
  <c r="BS61" i="22"/>
  <c r="BR61" i="22"/>
  <c r="BQ61" i="22"/>
  <c r="BP61" i="22"/>
  <c r="BO61" i="22"/>
  <c r="BN61" i="22"/>
  <c r="BM61" i="22"/>
  <c r="BL61" i="22"/>
  <c r="BK61" i="22"/>
  <c r="BJ61" i="22"/>
  <c r="BI61" i="22"/>
  <c r="BH61" i="22"/>
  <c r="BG61" i="22"/>
  <c r="BF61" i="22"/>
  <c r="BE61" i="22"/>
  <c r="BD61" i="22"/>
  <c r="BC61" i="22"/>
  <c r="BB61" i="22"/>
  <c r="BA61" i="22"/>
  <c r="AW61" i="22"/>
  <c r="AX61" i="22" s="1"/>
  <c r="AV61" i="22"/>
  <c r="BU41" i="22"/>
  <c r="BT41" i="22"/>
  <c r="BS41" i="22"/>
  <c r="BR41" i="22"/>
  <c r="BQ41" i="22"/>
  <c r="BP41" i="22"/>
  <c r="BO41" i="22"/>
  <c r="BN41" i="22"/>
  <c r="BM41" i="22"/>
  <c r="BL41" i="22"/>
  <c r="BK41" i="22"/>
  <c r="BJ41" i="22"/>
  <c r="BI41" i="22"/>
  <c r="BH41" i="22"/>
  <c r="BG41" i="22"/>
  <c r="BF41" i="22"/>
  <c r="BE41" i="22"/>
  <c r="BD41" i="22"/>
  <c r="BC41" i="22"/>
  <c r="BB41" i="22"/>
  <c r="BA41" i="22"/>
  <c r="AW41" i="22"/>
  <c r="AX41" i="22" s="1"/>
  <c r="AV41" i="22"/>
  <c r="BU39" i="22"/>
  <c r="BT39" i="22"/>
  <c r="BS39" i="22"/>
  <c r="BR39" i="22"/>
  <c r="BQ39" i="22"/>
  <c r="BP39" i="22"/>
  <c r="BO39" i="22"/>
  <c r="BN39" i="22"/>
  <c r="BM39" i="22"/>
  <c r="BL39" i="22"/>
  <c r="BK39" i="22"/>
  <c r="BJ39" i="22"/>
  <c r="BI39" i="22"/>
  <c r="BH39" i="22"/>
  <c r="BG39" i="22"/>
  <c r="BF39" i="22"/>
  <c r="BE39" i="22"/>
  <c r="BD39" i="22"/>
  <c r="BC39" i="22"/>
  <c r="BB39" i="22"/>
  <c r="BA39" i="22"/>
  <c r="AW39" i="22"/>
  <c r="AX39" i="22" s="1"/>
  <c r="AV3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W29" i="22"/>
  <c r="AX29" i="22" s="1"/>
  <c r="AV29" i="22"/>
  <c r="BU59" i="22"/>
  <c r="BT59" i="22"/>
  <c r="BS59" i="22"/>
  <c r="BR59" i="22"/>
  <c r="BQ59" i="22"/>
  <c r="BP59" i="22"/>
  <c r="BO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W59" i="22"/>
  <c r="AX59" i="22" s="1"/>
  <c r="AV59" i="22"/>
  <c r="BU22" i="22"/>
  <c r="BT22" i="22"/>
  <c r="BS22" i="22"/>
  <c r="BR22" i="22"/>
  <c r="BQ22" i="22"/>
  <c r="BP22" i="22"/>
  <c r="BO22" i="22"/>
  <c r="BN22" i="22"/>
  <c r="BM22" i="22"/>
  <c r="BL22" i="22"/>
  <c r="BK22" i="22"/>
  <c r="BJ22" i="22"/>
  <c r="BI22" i="22"/>
  <c r="BH22" i="22"/>
  <c r="BG22" i="22"/>
  <c r="BF22" i="22"/>
  <c r="BE22" i="22"/>
  <c r="BD22" i="22"/>
  <c r="BC22" i="22"/>
  <c r="BB22" i="22"/>
  <c r="BA22" i="22"/>
  <c r="AW22" i="22"/>
  <c r="AX22" i="22" s="1"/>
  <c r="AV22" i="22"/>
  <c r="BU44" i="22"/>
  <c r="BT44" i="22"/>
  <c r="BS44" i="22"/>
  <c r="BR44" i="22"/>
  <c r="BQ44" i="22"/>
  <c r="BP44" i="22"/>
  <c r="BO44" i="22"/>
  <c r="BN44" i="22"/>
  <c r="BM44" i="22"/>
  <c r="BL44" i="22"/>
  <c r="BK44" i="22"/>
  <c r="BJ44" i="22"/>
  <c r="BI44" i="22"/>
  <c r="BH44" i="22"/>
  <c r="BG44" i="22"/>
  <c r="BF44" i="22"/>
  <c r="BE44" i="22"/>
  <c r="BD44" i="22"/>
  <c r="BC44" i="22"/>
  <c r="BB44" i="22"/>
  <c r="BA44" i="22"/>
  <c r="AW44" i="22"/>
  <c r="AX44" i="22" s="1"/>
  <c r="AV44" i="22"/>
  <c r="BU12" i="22"/>
  <c r="BT12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W12" i="22"/>
  <c r="AX12" i="22" s="1"/>
  <c r="AV12" i="22"/>
  <c r="BU27" i="22"/>
  <c r="BT27" i="22"/>
  <c r="BS27" i="22"/>
  <c r="BR27" i="22"/>
  <c r="BQ27" i="22"/>
  <c r="BP27" i="22"/>
  <c r="BO27" i="22"/>
  <c r="BN27" i="22"/>
  <c r="BM27" i="22"/>
  <c r="BL27" i="22"/>
  <c r="BK27" i="22"/>
  <c r="BJ27" i="22"/>
  <c r="BI27" i="22"/>
  <c r="BH27" i="22"/>
  <c r="BG27" i="22"/>
  <c r="BF27" i="22"/>
  <c r="BE27" i="22"/>
  <c r="BD27" i="22"/>
  <c r="BC27" i="22"/>
  <c r="BB27" i="22"/>
  <c r="BA27" i="22"/>
  <c r="AW27" i="22"/>
  <c r="AX27" i="22" s="1"/>
  <c r="AV27" i="22"/>
  <c r="BU45" i="22"/>
  <c r="BT45" i="22"/>
  <c r="BS45" i="22"/>
  <c r="BR45" i="22"/>
  <c r="BQ45" i="22"/>
  <c r="BP45" i="22"/>
  <c r="BO45" i="22"/>
  <c r="BN45" i="22"/>
  <c r="BM45" i="22"/>
  <c r="BL45" i="22"/>
  <c r="BK45" i="22"/>
  <c r="BJ45" i="22"/>
  <c r="BI45" i="22"/>
  <c r="BH45" i="22"/>
  <c r="BG45" i="22"/>
  <c r="BF45" i="22"/>
  <c r="BE45" i="22"/>
  <c r="BD45" i="22"/>
  <c r="BC45" i="22"/>
  <c r="BB45" i="22"/>
  <c r="BA45" i="22"/>
  <c r="AW45" i="22"/>
  <c r="AX45" i="22" s="1"/>
  <c r="AV45" i="22"/>
  <c r="BU54" i="22"/>
  <c r="BT54" i="22"/>
  <c r="BS54" i="22"/>
  <c r="BR54" i="22"/>
  <c r="BQ54" i="22"/>
  <c r="BP54" i="22"/>
  <c r="BO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W54" i="22"/>
  <c r="AX54" i="22" s="1"/>
  <c r="AV54" i="22"/>
  <c r="BU34" i="22"/>
  <c r="BT34" i="22"/>
  <c r="BS34" i="22"/>
  <c r="BR34" i="22"/>
  <c r="BQ34" i="22"/>
  <c r="BP34" i="22"/>
  <c r="BO34" i="22"/>
  <c r="BN34" i="22"/>
  <c r="BM34" i="22"/>
  <c r="BL34" i="22"/>
  <c r="BK34" i="22"/>
  <c r="BJ34" i="22"/>
  <c r="BI34" i="22"/>
  <c r="BH34" i="22"/>
  <c r="BG34" i="22"/>
  <c r="BF34" i="22"/>
  <c r="BE34" i="22"/>
  <c r="BD34" i="22"/>
  <c r="BC34" i="22"/>
  <c r="BB34" i="22"/>
  <c r="BA34" i="22"/>
  <c r="AW34" i="22"/>
  <c r="AX34" i="22" s="1"/>
  <c r="AV34" i="22"/>
  <c r="BU30" i="22"/>
  <c r="BT30" i="22"/>
  <c r="BS30" i="22"/>
  <c r="BR30" i="22"/>
  <c r="BQ30" i="22"/>
  <c r="BP30" i="22"/>
  <c r="BO30" i="22"/>
  <c r="BN30" i="22"/>
  <c r="BM30" i="22"/>
  <c r="BL30" i="22"/>
  <c r="BK30" i="22"/>
  <c r="BJ30" i="22"/>
  <c r="BI30" i="22"/>
  <c r="BH30" i="22"/>
  <c r="BG30" i="22"/>
  <c r="BF30" i="22"/>
  <c r="BE30" i="22"/>
  <c r="BD30" i="22"/>
  <c r="BC30" i="22"/>
  <c r="BB30" i="22"/>
  <c r="BA30" i="22"/>
  <c r="AW30" i="22"/>
  <c r="AX30" i="22" s="1"/>
  <c r="AV30" i="22"/>
  <c r="BU36" i="22"/>
  <c r="BT36" i="22"/>
  <c r="BS36" i="22"/>
  <c r="BR36" i="22"/>
  <c r="BQ36" i="22"/>
  <c r="BP36" i="22"/>
  <c r="BO36" i="22"/>
  <c r="BN36" i="22"/>
  <c r="BM36" i="22"/>
  <c r="BL36" i="22"/>
  <c r="BK36" i="22"/>
  <c r="BJ36" i="22"/>
  <c r="BI36" i="22"/>
  <c r="BH36" i="22"/>
  <c r="BG36" i="22"/>
  <c r="BF36" i="22"/>
  <c r="BE36" i="22"/>
  <c r="BD36" i="22"/>
  <c r="BC36" i="22"/>
  <c r="BB36" i="22"/>
  <c r="BA36" i="22"/>
  <c r="AW36" i="22"/>
  <c r="AX36" i="22" s="1"/>
  <c r="AV36" i="22"/>
  <c r="BU21" i="22"/>
  <c r="BT21" i="22"/>
  <c r="BS21" i="22"/>
  <c r="BR21" i="22"/>
  <c r="BQ21" i="22"/>
  <c r="BP21" i="22"/>
  <c r="BO21" i="22"/>
  <c r="BN21" i="22"/>
  <c r="BM21" i="22"/>
  <c r="BL21" i="22"/>
  <c r="BK21" i="22"/>
  <c r="BJ21" i="22"/>
  <c r="BI21" i="22"/>
  <c r="BH21" i="22"/>
  <c r="BG21" i="22"/>
  <c r="BF21" i="22"/>
  <c r="BE21" i="22"/>
  <c r="BD21" i="22"/>
  <c r="BC21" i="22"/>
  <c r="BB21" i="22"/>
  <c r="BA21" i="22"/>
  <c r="AW21" i="22"/>
  <c r="AX21" i="22" s="1"/>
  <c r="AV21" i="22"/>
  <c r="BU24" i="22"/>
  <c r="BT24" i="22"/>
  <c r="BS24" i="22"/>
  <c r="BR24" i="22"/>
  <c r="BQ24" i="22"/>
  <c r="BP24" i="22"/>
  <c r="BO24" i="22"/>
  <c r="BN24" i="22"/>
  <c r="BM24" i="22"/>
  <c r="BL24" i="22"/>
  <c r="BK24" i="22"/>
  <c r="BJ24" i="22"/>
  <c r="BI24" i="22"/>
  <c r="BH24" i="22"/>
  <c r="BG24" i="22"/>
  <c r="BF24" i="22"/>
  <c r="BE24" i="22"/>
  <c r="BD24" i="22"/>
  <c r="BC24" i="22"/>
  <c r="BB24" i="22"/>
  <c r="BA24" i="22"/>
  <c r="AW24" i="22"/>
  <c r="AX24" i="22" s="1"/>
  <c r="AV24" i="22"/>
  <c r="E8" i="22"/>
  <c r="C7" i="22"/>
  <c r="C5" i="22"/>
  <c r="C4" i="22"/>
  <c r="C3" i="22"/>
  <c r="C2" i="22"/>
  <c r="I61" i="7"/>
  <c r="I94" i="7" s="1"/>
  <c r="E8" i="5"/>
  <c r="E8" i="6"/>
  <c r="C21" i="9"/>
  <c r="C13" i="9"/>
  <c r="C2" i="9"/>
  <c r="C49" i="9"/>
  <c r="C48" i="9"/>
  <c r="E35" i="25"/>
  <c r="E30" i="25"/>
  <c r="L60" i="7"/>
  <c r="K60" i="7"/>
  <c r="J60" i="7"/>
  <c r="I60" i="7"/>
  <c r="H60" i="7"/>
  <c r="G60" i="7"/>
  <c r="F60" i="7"/>
  <c r="E60" i="7"/>
  <c r="D60" i="7"/>
  <c r="C60" i="7"/>
  <c r="B60" i="7"/>
  <c r="H62" i="7"/>
  <c r="H68" i="7" s="1"/>
  <c r="B27" i="5" l="1"/>
  <c r="BV27" i="5" s="1"/>
  <c r="B31" i="5"/>
  <c r="BV31" i="5" s="1"/>
  <c r="B63" i="5"/>
  <c r="BV63" i="5" s="1"/>
  <c r="B51" i="5"/>
  <c r="BV51" i="5" s="1"/>
  <c r="B28" i="5"/>
  <c r="BV28" i="5" s="1"/>
  <c r="B58" i="5"/>
  <c r="BV58" i="5" s="1"/>
  <c r="B74" i="5"/>
  <c r="BV74" i="5" s="1"/>
  <c r="B50" i="5"/>
  <c r="BV50" i="5" s="1"/>
  <c r="B47" i="5"/>
  <c r="BV47" i="5" s="1"/>
  <c r="B91" i="5"/>
  <c r="BV91" i="5" s="1"/>
  <c r="B62" i="5"/>
  <c r="BV62" i="5" s="1"/>
  <c r="B80" i="5"/>
  <c r="BV80" i="5" s="1"/>
  <c r="B70" i="5"/>
  <c r="BV70" i="5" s="1"/>
  <c r="B75" i="5"/>
  <c r="BV75" i="5" s="1"/>
  <c r="B19" i="5"/>
  <c r="BV19" i="5" s="1"/>
  <c r="B36" i="5"/>
  <c r="BV36" i="5" s="1"/>
  <c r="B39" i="5"/>
  <c r="BV39" i="5" s="1"/>
  <c r="B41" i="5"/>
  <c r="BV41" i="5" s="1"/>
  <c r="B53" i="5"/>
  <c r="BV53" i="5" s="1"/>
  <c r="B60" i="5"/>
  <c r="BV60" i="5" s="1"/>
  <c r="B95" i="5"/>
  <c r="BV95" i="5" s="1"/>
  <c r="B88" i="5"/>
  <c r="BV88" i="5" s="1"/>
  <c r="B64" i="5"/>
  <c r="BV64" i="5" s="1"/>
  <c r="B97" i="5"/>
  <c r="BV97" i="5" s="1"/>
  <c r="B82" i="5"/>
  <c r="BV82" i="5" s="1"/>
  <c r="B76" i="5"/>
  <c r="BV76" i="5" s="1"/>
  <c r="B78" i="5"/>
  <c r="BV78" i="5" s="1"/>
  <c r="B16" i="5"/>
  <c r="BV16" i="5" s="1"/>
  <c r="B65" i="5"/>
  <c r="BV65" i="5" s="1"/>
  <c r="B85" i="5"/>
  <c r="BV85" i="5" s="1"/>
  <c r="B48" i="5"/>
  <c r="BV48" i="5" s="1"/>
  <c r="B102" i="5"/>
  <c r="BV102" i="5" s="1"/>
  <c r="B71" i="5"/>
  <c r="BV71" i="5" s="1"/>
  <c r="B67" i="5"/>
  <c r="BV67" i="5" s="1"/>
  <c r="B87" i="5"/>
  <c r="BV87" i="5" s="1"/>
  <c r="B99" i="5"/>
  <c r="BV99" i="5" s="1"/>
  <c r="B96" i="5"/>
  <c r="BV96" i="5" s="1"/>
  <c r="B90" i="5"/>
  <c r="BV90" i="5" s="1"/>
  <c r="B86" i="5"/>
  <c r="BV86" i="5" s="1"/>
  <c r="B69" i="5"/>
  <c r="BV69" i="5" s="1"/>
  <c r="B84" i="5"/>
  <c r="BV84" i="5" s="1"/>
  <c r="B52" i="5"/>
  <c r="BV52" i="5" s="1"/>
  <c r="B81" i="5"/>
  <c r="BV81" i="5" s="1"/>
  <c r="B100" i="5"/>
  <c r="BV100" i="5" s="1"/>
  <c r="B45" i="5"/>
  <c r="BV45" i="5" s="1"/>
  <c r="B56" i="5"/>
  <c r="BV56" i="5" s="1"/>
  <c r="B38" i="5"/>
  <c r="BV38" i="5" s="1"/>
  <c r="B40" i="5"/>
  <c r="BV40" i="5" s="1"/>
  <c r="B43" i="5"/>
  <c r="BV43" i="5" s="1"/>
  <c r="B72" i="5"/>
  <c r="BV72" i="5" s="1"/>
  <c r="B35" i="5"/>
  <c r="BV35" i="5" s="1"/>
  <c r="B103" i="5"/>
  <c r="BV103" i="5" s="1"/>
  <c r="B79" i="5"/>
  <c r="BV79" i="5" s="1"/>
  <c r="B49" i="5"/>
  <c r="BV49" i="5" s="1"/>
  <c r="B57" i="5"/>
  <c r="BV57" i="5" s="1"/>
  <c r="B101" i="5"/>
  <c r="BV101" i="5" s="1"/>
  <c r="B59" i="5"/>
  <c r="BV59" i="5" s="1"/>
  <c r="B22" i="5"/>
  <c r="BV22" i="5" s="1"/>
  <c r="B54" i="5"/>
  <c r="BV54" i="5" s="1"/>
  <c r="B83" i="5"/>
  <c r="BV83" i="5" s="1"/>
  <c r="B23" i="5"/>
  <c r="BV23" i="5" s="1"/>
  <c r="B92" i="5"/>
  <c r="BV92" i="5" s="1"/>
  <c r="B34" i="5"/>
  <c r="BV34" i="5" s="1"/>
  <c r="B94" i="5"/>
  <c r="BV94" i="5" s="1"/>
  <c r="B68" i="5"/>
  <c r="BV68" i="5" s="1"/>
  <c r="B37" i="5"/>
  <c r="BV37" i="5" s="1"/>
  <c r="B55" i="5"/>
  <c r="BV55" i="5" s="1"/>
  <c r="B61" i="5"/>
  <c r="BV61" i="5" s="1"/>
  <c r="B98" i="5"/>
  <c r="BV98" i="5" s="1"/>
  <c r="B77" i="5"/>
  <c r="BV77" i="5" s="1"/>
  <c r="B21" i="5"/>
  <c r="BV21" i="5" s="1"/>
  <c r="B33" i="5"/>
  <c r="BV33" i="5" s="1"/>
  <c r="B15" i="5"/>
  <c r="BV15" i="5" s="1"/>
  <c r="B93" i="5"/>
  <c r="BV93" i="5" s="1"/>
  <c r="B42" i="5"/>
  <c r="BV42" i="5" s="1"/>
  <c r="B18" i="5"/>
  <c r="BV18" i="5" s="1"/>
  <c r="B24" i="5"/>
  <c r="BV24" i="5" s="1"/>
  <c r="B30" i="5"/>
  <c r="BV30" i="5" s="1"/>
  <c r="B73" i="5"/>
  <c r="BV73" i="5" s="1"/>
  <c r="B89" i="5"/>
  <c r="BV89" i="5" s="1"/>
  <c r="B66" i="5"/>
  <c r="BV66" i="5" s="1"/>
  <c r="B32" i="5"/>
  <c r="BV32" i="5" s="1"/>
  <c r="B46" i="5"/>
  <c r="BV46" i="5" s="1"/>
  <c r="R44" i="9"/>
  <c r="R41" i="9"/>
  <c r="Q42" i="9"/>
  <c r="R38" i="9"/>
  <c r="Q44" i="9"/>
  <c r="R42" i="9"/>
  <c r="R40" i="9"/>
  <c r="Q40" i="9"/>
  <c r="W40" i="9" s="1"/>
  <c r="R46" i="9"/>
  <c r="Q38" i="9"/>
  <c r="Q46" i="9"/>
  <c r="R45" i="9"/>
  <c r="Q45" i="9"/>
  <c r="Q41" i="9"/>
  <c r="Q32" i="9"/>
  <c r="Q30" i="9"/>
  <c r="Q31" i="9"/>
  <c r="B14" i="5"/>
  <c r="BV14" i="5" s="1"/>
  <c r="B17" i="5"/>
  <c r="BV17" i="5" s="1"/>
  <c r="B20" i="5"/>
  <c r="BV20" i="5" s="1"/>
  <c r="B12" i="5"/>
  <c r="BV12" i="5" s="1"/>
  <c r="Q35" i="9"/>
  <c r="Q34" i="9"/>
  <c r="Q33" i="9"/>
  <c r="R43" i="9"/>
  <c r="Q43" i="9"/>
  <c r="B26" i="5"/>
  <c r="BV26" i="5" s="1"/>
  <c r="B11" i="5"/>
  <c r="BV11" i="5" s="1"/>
  <c r="B13" i="5"/>
  <c r="BV13" i="5" s="1"/>
  <c r="B25" i="5"/>
  <c r="BV25" i="5" s="1"/>
  <c r="E27" i="9"/>
  <c r="E35" i="9"/>
  <c r="E31" i="9"/>
  <c r="E34" i="9"/>
  <c r="E33" i="9"/>
  <c r="E32" i="9"/>
  <c r="E28" i="9"/>
  <c r="E30" i="9"/>
  <c r="E29" i="9"/>
  <c r="J61" i="7"/>
  <c r="J94" i="7" s="1"/>
  <c r="E43" i="9"/>
  <c r="E40" i="9"/>
  <c r="E44" i="9"/>
  <c r="E45" i="9"/>
  <c r="E41" i="25"/>
  <c r="E41" i="9"/>
  <c r="E38" i="9"/>
  <c r="E37" i="25"/>
  <c r="E39" i="9"/>
  <c r="E46" i="9"/>
  <c r="E42" i="9"/>
  <c r="G13" i="9"/>
  <c r="I2" i="9"/>
  <c r="F21" i="9"/>
  <c r="E34" i="25"/>
  <c r="E32" i="25"/>
  <c r="E31" i="25"/>
  <c r="E8" i="25"/>
  <c r="E11" i="25"/>
  <c r="E9" i="25"/>
  <c r="Q28" i="9"/>
  <c r="E39" i="25"/>
  <c r="E33" i="25"/>
  <c r="E38" i="25"/>
  <c r="E40" i="25"/>
  <c r="E36" i="25"/>
  <c r="E6" i="25"/>
  <c r="E7" i="25"/>
  <c r="E5" i="25"/>
  <c r="E12" i="25"/>
  <c r="E10" i="25"/>
  <c r="E4" i="25"/>
  <c r="L54" i="7"/>
  <c r="K52" i="7"/>
  <c r="Q29" i="9"/>
  <c r="Q27" i="9"/>
  <c r="R28" i="9"/>
  <c r="R34" i="9"/>
  <c r="H61" i="7"/>
  <c r="H94" i="7" s="1"/>
  <c r="R32" i="9"/>
  <c r="R30" i="9"/>
  <c r="R35" i="9"/>
  <c r="R33" i="9"/>
  <c r="R31" i="9"/>
  <c r="R29" i="9"/>
  <c r="R27" i="9"/>
  <c r="C8" i="22"/>
  <c r="F8" i="22" s="1"/>
  <c r="CU24" i="22"/>
  <c r="D6" i="23"/>
  <c r="CT24" i="22"/>
  <c r="CV24" i="22"/>
  <c r="CW24" i="22"/>
  <c r="CW37" i="22"/>
  <c r="CU37" i="22"/>
  <c r="CW55" i="22"/>
  <c r="CU55" i="22"/>
  <c r="CW16" i="22"/>
  <c r="CU16" i="22"/>
  <c r="CW62" i="22"/>
  <c r="CU62" i="22"/>
  <c r="CW38" i="22"/>
  <c r="CU38" i="22"/>
  <c r="CW51" i="22"/>
  <c r="CU51" i="22"/>
  <c r="CW26" i="22"/>
  <c r="CU26" i="22"/>
  <c r="CW20" i="22"/>
  <c r="CU20" i="22"/>
  <c r="CW63" i="22"/>
  <c r="CU63" i="22"/>
  <c r="CW53" i="22"/>
  <c r="CU53" i="22"/>
  <c r="CW40" i="22"/>
  <c r="CU40" i="22"/>
  <c r="CW23" i="22"/>
  <c r="CU23" i="22"/>
  <c r="CW43" i="22"/>
  <c r="CU43" i="22"/>
  <c r="CW50" i="22"/>
  <c r="CU50" i="22"/>
  <c r="CW42" i="22"/>
  <c r="CU42" i="22"/>
  <c r="CW61" i="22"/>
  <c r="CU61" i="22"/>
  <c r="CW41" i="22"/>
  <c r="CU41" i="22"/>
  <c r="CW39" i="22"/>
  <c r="CU39" i="22"/>
  <c r="CW29" i="22"/>
  <c r="CU29" i="22"/>
  <c r="CW59" i="22"/>
  <c r="CU59" i="22"/>
  <c r="CW22" i="22"/>
  <c r="CU22" i="22"/>
  <c r="CW44" i="22"/>
  <c r="CU44" i="22"/>
  <c r="CW12" i="22"/>
  <c r="CU12" i="22"/>
  <c r="CW27" i="22"/>
  <c r="CU27" i="22"/>
  <c r="CW45" i="22"/>
  <c r="CU45" i="22"/>
  <c r="CW54" i="22"/>
  <c r="CU54" i="22"/>
  <c r="CW34" i="22"/>
  <c r="CU34" i="22"/>
  <c r="CW30" i="22"/>
  <c r="CU30" i="22"/>
  <c r="CW36" i="22"/>
  <c r="CU36" i="22"/>
  <c r="CW21" i="22"/>
  <c r="CU21" i="22"/>
  <c r="CV37" i="22"/>
  <c r="CT37" i="22"/>
  <c r="CV55" i="22"/>
  <c r="CT55" i="22"/>
  <c r="CV16" i="22"/>
  <c r="CT16" i="22"/>
  <c r="CV62" i="22"/>
  <c r="CT62" i="22"/>
  <c r="CV38" i="22"/>
  <c r="CT38" i="22"/>
  <c r="CV51" i="22"/>
  <c r="CT51" i="22"/>
  <c r="CV26" i="22"/>
  <c r="CT26" i="22"/>
  <c r="CV20" i="22"/>
  <c r="CT20" i="22"/>
  <c r="CV63" i="22"/>
  <c r="CT63" i="22"/>
  <c r="CV53" i="22"/>
  <c r="CT53" i="22"/>
  <c r="CV40" i="22"/>
  <c r="CT40" i="22"/>
  <c r="CV23" i="22"/>
  <c r="CT23" i="22"/>
  <c r="CV43" i="22"/>
  <c r="CT43" i="22"/>
  <c r="CV50" i="22"/>
  <c r="CT50" i="22"/>
  <c r="CV42" i="22"/>
  <c r="CT42" i="22"/>
  <c r="CV61" i="22"/>
  <c r="CT61" i="22"/>
  <c r="CV41" i="22"/>
  <c r="CT41" i="22"/>
  <c r="CV39" i="22"/>
  <c r="CT39" i="22"/>
  <c r="CV29" i="22"/>
  <c r="CT29" i="22"/>
  <c r="CV59" i="22"/>
  <c r="CT59" i="22"/>
  <c r="CV22" i="22"/>
  <c r="CT22" i="22"/>
  <c r="CV44" i="22"/>
  <c r="CT44" i="22"/>
  <c r="CV12" i="22"/>
  <c r="CT12" i="22"/>
  <c r="CV27" i="22"/>
  <c r="CT27" i="22"/>
  <c r="CV45" i="22"/>
  <c r="CT45" i="22"/>
  <c r="CV54" i="22"/>
  <c r="CT54" i="22"/>
  <c r="CV34" i="22"/>
  <c r="CT34" i="22"/>
  <c r="CV30" i="22"/>
  <c r="CT30" i="22"/>
  <c r="CV36" i="22"/>
  <c r="CT36" i="22"/>
  <c r="CV21" i="22"/>
  <c r="CT21" i="22"/>
  <c r="D6" i="22"/>
  <c r="G6" i="22" s="1"/>
  <c r="F4" i="22"/>
  <c r="AY30" i="22"/>
  <c r="AZ30" i="22" s="1"/>
  <c r="AY34" i="22"/>
  <c r="AZ34" i="22" s="1"/>
  <c r="F2" i="22"/>
  <c r="F6" i="22"/>
  <c r="AY24" i="22"/>
  <c r="AZ24" i="22" s="1"/>
  <c r="AY21" i="22"/>
  <c r="AZ21" i="22" s="1"/>
  <c r="AY36" i="22"/>
  <c r="AZ36" i="22" s="1"/>
  <c r="F3" i="22"/>
  <c r="F5" i="22"/>
  <c r="AY54" i="22"/>
  <c r="AZ54" i="22" s="1"/>
  <c r="AY45" i="22"/>
  <c r="AZ45" i="22" s="1"/>
  <c r="AY27" i="22"/>
  <c r="AZ27" i="22" s="1"/>
  <c r="AY12" i="22"/>
  <c r="AZ12" i="22" s="1"/>
  <c r="AY44" i="22"/>
  <c r="AZ44" i="22" s="1"/>
  <c r="AY22" i="22"/>
  <c r="AZ22" i="22" s="1"/>
  <c r="AY59" i="22"/>
  <c r="AZ59" i="22" s="1"/>
  <c r="AY29" i="22"/>
  <c r="AZ29" i="22" s="1"/>
  <c r="AY39" i="22"/>
  <c r="AZ39" i="22" s="1"/>
  <c r="AY41" i="22"/>
  <c r="AZ41" i="22" s="1"/>
  <c r="AY61" i="22"/>
  <c r="AZ61" i="22" s="1"/>
  <c r="AY42" i="22"/>
  <c r="AZ42" i="22" s="1"/>
  <c r="AY50" i="22"/>
  <c r="AZ50" i="22" s="1"/>
  <c r="AY43" i="22"/>
  <c r="AZ43" i="22" s="1"/>
  <c r="AY23" i="22"/>
  <c r="AZ23" i="22" s="1"/>
  <c r="AY40" i="22"/>
  <c r="AZ40" i="22" s="1"/>
  <c r="AY53" i="22"/>
  <c r="AZ53" i="22" s="1"/>
  <c r="AY63" i="22"/>
  <c r="AZ63" i="22" s="1"/>
  <c r="AY20" i="22"/>
  <c r="AZ20" i="22" s="1"/>
  <c r="AY26" i="22"/>
  <c r="AZ26" i="22" s="1"/>
  <c r="AY51" i="22"/>
  <c r="AZ51" i="22" s="1"/>
  <c r="AY38" i="22"/>
  <c r="AZ38" i="22" s="1"/>
  <c r="AY62" i="22"/>
  <c r="AZ62" i="22" s="1"/>
  <c r="AY16" i="22"/>
  <c r="AZ16" i="22" s="1"/>
  <c r="AY55" i="22"/>
  <c r="AZ55" i="22" s="1"/>
  <c r="AY37" i="22"/>
  <c r="AZ37" i="22" s="1"/>
  <c r="C50" i="9"/>
  <c r="D49" i="9" s="1"/>
  <c r="F42" i="9"/>
  <c r="H42" i="9"/>
  <c r="H39" i="9"/>
  <c r="A9" i="7" l="1"/>
  <c r="A14" i="7"/>
  <c r="A19" i="7"/>
  <c r="A23" i="7"/>
  <c r="A5" i="7"/>
  <c r="A8" i="7"/>
  <c r="A11" i="7"/>
  <c r="A4" i="7"/>
  <c r="W44" i="9"/>
  <c r="X42" i="9"/>
  <c r="W38" i="9"/>
  <c r="F30" i="9"/>
  <c r="X44" i="9"/>
  <c r="X40" i="9"/>
  <c r="F43" i="9"/>
  <c r="X43" i="9"/>
  <c r="G39" i="9"/>
  <c r="H38" i="9"/>
  <c r="F39" i="9"/>
  <c r="W42" i="9"/>
  <c r="W43" i="9"/>
  <c r="F45" i="9"/>
  <c r="X41" i="9"/>
  <c r="X39" i="9"/>
  <c r="W41" i="9"/>
  <c r="W39" i="9"/>
  <c r="X38" i="9"/>
  <c r="W45" i="9"/>
  <c r="X45" i="9"/>
  <c r="H2" i="9"/>
  <c r="G43" i="9"/>
  <c r="F38" i="9"/>
  <c r="H43" i="9"/>
  <c r="H44" i="9"/>
  <c r="F44" i="9"/>
  <c r="C3" i="5"/>
  <c r="C5" i="5"/>
  <c r="C6" i="5"/>
  <c r="C2" i="5"/>
  <c r="C4" i="5"/>
  <c r="C7" i="5"/>
  <c r="H40" i="9"/>
  <c r="D48" i="9"/>
  <c r="H46" i="9"/>
  <c r="F46" i="9"/>
  <c r="F41" i="9"/>
  <c r="H45" i="9"/>
  <c r="H41" i="9"/>
  <c r="G45" i="9"/>
  <c r="G38" i="9"/>
  <c r="G46" i="9"/>
  <c r="G44" i="9"/>
  <c r="G42" i="9"/>
  <c r="F40" i="9"/>
  <c r="G40" i="9"/>
  <c r="G41" i="9"/>
  <c r="W30" i="9"/>
  <c r="F28" i="9"/>
  <c r="K61" i="7"/>
  <c r="K94" i="7" s="1"/>
  <c r="K62" i="7"/>
  <c r="K68" i="7" s="1"/>
  <c r="G28" i="9"/>
  <c r="G30" i="9"/>
  <c r="F27" i="9"/>
  <c r="X32" i="9"/>
  <c r="X27" i="9"/>
  <c r="W32" i="9"/>
  <c r="X31" i="9"/>
  <c r="W31" i="9"/>
  <c r="X30" i="9"/>
  <c r="M54" i="7"/>
  <c r="L52" i="7"/>
  <c r="G27" i="9"/>
  <c r="W28" i="9"/>
  <c r="W34" i="9"/>
  <c r="F34" i="9"/>
  <c r="X28" i="9"/>
  <c r="X33" i="9"/>
  <c r="W33" i="9"/>
  <c r="F35" i="9"/>
  <c r="X29" i="9"/>
  <c r="F31" i="9"/>
  <c r="F33" i="9"/>
  <c r="W29" i="9"/>
  <c r="W27" i="9"/>
  <c r="X34" i="9"/>
  <c r="F32" i="9"/>
  <c r="G32" i="9"/>
  <c r="G33" i="9"/>
  <c r="G31" i="9"/>
  <c r="G35" i="9"/>
  <c r="C8" i="25"/>
  <c r="C10" i="25"/>
  <c r="C7" i="25"/>
  <c r="C11" i="25"/>
  <c r="G29" i="9"/>
  <c r="F29" i="9"/>
  <c r="C6" i="25"/>
  <c r="C12" i="25"/>
  <c r="C4" i="25"/>
  <c r="C9" i="25"/>
  <c r="C5" i="25"/>
  <c r="G34" i="9"/>
  <c r="H6" i="22"/>
  <c r="CX21" i="22"/>
  <c r="CX34" i="22"/>
  <c r="CX54" i="22"/>
  <c r="CX45" i="22"/>
  <c r="CX12" i="22"/>
  <c r="CX44" i="22"/>
  <c r="CX22" i="22"/>
  <c r="CX59" i="22"/>
  <c r="CX39" i="22"/>
  <c r="CX41" i="22"/>
  <c r="CX42" i="22"/>
  <c r="CX23" i="22"/>
  <c r="CX63" i="22"/>
  <c r="CX26" i="22"/>
  <c r="CX38" i="22"/>
  <c r="CX62" i="22"/>
  <c r="CX16" i="22"/>
  <c r="CX55" i="22"/>
  <c r="CX37" i="22"/>
  <c r="G6" i="23"/>
  <c r="H6" i="23"/>
  <c r="CX36" i="22"/>
  <c r="CX27" i="22"/>
  <c r="CX29" i="22"/>
  <c r="CX61" i="22"/>
  <c r="CX50" i="22"/>
  <c r="CX43" i="22"/>
  <c r="CX40" i="22"/>
  <c r="CX53" i="22"/>
  <c r="CX20" i="22"/>
  <c r="CX51" i="22"/>
  <c r="CX24" i="22"/>
  <c r="CX30" i="22"/>
  <c r="H13" i="9"/>
  <c r="F13" i="9"/>
  <c r="F2" i="9"/>
  <c r="G2" i="9"/>
  <c r="D2" i="23" l="1"/>
  <c r="F2" i="5"/>
  <c r="D2" i="6"/>
  <c r="C8" i="5"/>
  <c r="F8" i="5" s="1"/>
  <c r="D5" i="6"/>
  <c r="D5" i="23"/>
  <c r="F5" i="5"/>
  <c r="D7" i="6"/>
  <c r="D7" i="23"/>
  <c r="D4" i="23"/>
  <c r="F4" i="5"/>
  <c r="D4" i="6"/>
  <c r="D6" i="6"/>
  <c r="F6" i="5"/>
  <c r="D3" i="6"/>
  <c r="F3" i="5"/>
  <c r="D3" i="23"/>
  <c r="D7" i="25"/>
  <c r="D9" i="25"/>
  <c r="D4" i="25"/>
  <c r="L61" i="7"/>
  <c r="L94" i="7" s="1"/>
  <c r="L62" i="7"/>
  <c r="L68" i="7" s="1"/>
  <c r="D8" i="25"/>
  <c r="D5" i="25"/>
  <c r="N54" i="7"/>
  <c r="M52" i="7"/>
  <c r="D6" i="25"/>
  <c r="D10" i="25"/>
  <c r="D11" i="25"/>
  <c r="G4" i="6" l="1"/>
  <c r="G4" i="23"/>
  <c r="H4" i="23"/>
  <c r="H5" i="23"/>
  <c r="G5" i="23"/>
  <c r="G2" i="23"/>
  <c r="H2" i="23"/>
  <c r="D8" i="23"/>
  <c r="G3" i="23"/>
  <c r="H3" i="23"/>
  <c r="G3" i="6"/>
  <c r="G6" i="6"/>
  <c r="G5" i="6"/>
  <c r="D8" i="6"/>
  <c r="G2" i="6"/>
  <c r="M61" i="7"/>
  <c r="M62" i="7"/>
  <c r="M68" i="7" s="1"/>
  <c r="O54" i="7"/>
  <c r="O52" i="7" s="1"/>
  <c r="N52" i="7"/>
  <c r="G8" i="6" l="1"/>
  <c r="H8" i="23"/>
  <c r="G8" i="23"/>
  <c r="N61" i="7"/>
  <c r="N62" i="7"/>
  <c r="N68" i="7" s="1"/>
  <c r="O61" i="7"/>
  <c r="O62" i="7"/>
  <c r="O68" i="7" s="1"/>
  <c r="J62" i="9" l="1"/>
  <c r="AE66" i="37"/>
  <c r="O66" i="37"/>
  <c r="V66" i="37"/>
  <c r="AA66" i="37"/>
  <c r="K66" i="37"/>
  <c r="R66" i="37"/>
  <c r="M66" i="37"/>
  <c r="T66" i="37"/>
  <c r="L66" i="37"/>
  <c r="W66" i="37"/>
  <c r="AD66" i="37"/>
  <c r="N66" i="37"/>
  <c r="Y66" i="37"/>
  <c r="AF66" i="37"/>
  <c r="D66" i="37"/>
  <c r="S66" i="37"/>
  <c r="Z66" i="37"/>
  <c r="I66" i="37"/>
  <c r="U66" i="37"/>
  <c r="AB66" i="37"/>
  <c r="P66" i="37"/>
  <c r="AG66" i="37"/>
  <c r="Q66" i="37"/>
  <c r="X66" i="37"/>
  <c r="E66" i="37"/>
  <c r="AC66" i="37"/>
  <c r="C49" i="37"/>
  <c r="AH66" i="37" l="1"/>
  <c r="G66" i="37"/>
  <c r="H66" i="37"/>
  <c r="J66" i="37"/>
  <c r="F66" i="37"/>
  <c r="S6" i="37"/>
  <c r="AV6" i="37"/>
  <c r="AE6" i="37"/>
  <c r="AJ6" i="37"/>
  <c r="N6" i="37"/>
  <c r="R6" i="37"/>
  <c r="H35" i="37"/>
  <c r="F35" i="37"/>
  <c r="P6" i="37"/>
  <c r="M6" i="37"/>
  <c r="L6" i="37"/>
  <c r="K6" i="37"/>
  <c r="AD6" i="37"/>
  <c r="E6" i="37"/>
  <c r="O35" i="37"/>
  <c r="AW6" i="37"/>
  <c r="AX6" i="37"/>
  <c r="AI6" i="37"/>
  <c r="AU6" i="37"/>
  <c r="Q6" i="37"/>
  <c r="G6" i="37" s="1"/>
  <c r="G2" i="37" s="1"/>
  <c r="T6" i="37"/>
  <c r="O6" i="37"/>
  <c r="AH6" i="37"/>
  <c r="AY6" i="37"/>
  <c r="D6" i="37"/>
  <c r="E35" i="37"/>
  <c r="G35" i="37"/>
  <c r="AG6" i="37"/>
  <c r="AF6" i="37"/>
  <c r="P35" i="37"/>
  <c r="I6" i="37"/>
  <c r="I2" i="37" s="1"/>
  <c r="C48" i="37"/>
  <c r="J6" i="37"/>
  <c r="C2" i="37"/>
  <c r="R35" i="37" s="1"/>
  <c r="X29" i="37" s="1"/>
  <c r="AS6" i="37" l="1"/>
  <c r="Z6" i="37"/>
  <c r="AB6" i="37"/>
  <c r="H6" i="37"/>
  <c r="H2" i="37" s="1"/>
  <c r="AO6" i="37"/>
  <c r="Q35" i="37"/>
  <c r="W29" i="37" s="1"/>
  <c r="F6" i="37"/>
  <c r="F2" i="37" s="1"/>
  <c r="AT6" i="37"/>
  <c r="V6" i="37"/>
  <c r="AZ6" i="37"/>
  <c r="AP6" i="37"/>
  <c r="U6" i="37"/>
  <c r="AQ6" i="37"/>
  <c r="AA6" i="37"/>
  <c r="AR6" i="37"/>
  <c r="X6" i="37"/>
  <c r="C50" i="37"/>
  <c r="D49" i="37" s="1"/>
  <c r="AC6" i="37"/>
  <c r="AL6" i="37"/>
  <c r="AK6" i="37"/>
  <c r="Y6" i="37"/>
  <c r="AN6" i="37"/>
  <c r="AM6" i="37"/>
  <c r="W6" i="37"/>
  <c r="BA6" i="37" l="1"/>
  <c r="D48" i="37"/>
  <c r="V57" i="33"/>
  <c r="AF57" i="33"/>
  <c r="K57" i="33"/>
  <c r="U57" i="33"/>
  <c r="AB57" i="33"/>
  <c r="AE57" i="33"/>
  <c r="R57" i="33"/>
  <c r="T57" i="33"/>
  <c r="AG57" i="33"/>
  <c r="Q57" i="33"/>
  <c r="X57" i="33"/>
  <c r="W57" i="33"/>
  <c r="Z57" i="33"/>
  <c r="I57" i="33"/>
  <c r="AA57" i="33"/>
  <c r="Y57" i="33"/>
  <c r="L57" i="33"/>
  <c r="O57" i="33"/>
  <c r="AD57" i="33"/>
  <c r="M57" i="33"/>
  <c r="N57" i="33"/>
  <c r="P57" i="33"/>
  <c r="D57" i="33"/>
  <c r="S57" i="33"/>
  <c r="AC57" i="33"/>
  <c r="C52" i="33"/>
  <c r="A12" i="7" l="1"/>
  <c r="A10" i="7"/>
  <c r="A22" i="7"/>
  <c r="F57" i="33"/>
  <c r="J57" i="33"/>
  <c r="H57" i="33"/>
  <c r="G57" i="33"/>
  <c r="D52" i="33"/>
  <c r="C53" i="33"/>
  <c r="B25" i="6" s="1"/>
  <c r="BJ25" i="6" s="1"/>
  <c r="A27" i="7" l="1"/>
  <c r="B11" i="6"/>
  <c r="BJ11" i="6" s="1"/>
  <c r="B60" i="6"/>
  <c r="BJ60" i="6" s="1"/>
  <c r="B93" i="6"/>
  <c r="BJ93" i="6" s="1"/>
  <c r="B38" i="6"/>
  <c r="BJ38" i="6" s="1"/>
  <c r="B39" i="6"/>
  <c r="BJ39" i="6" s="1"/>
  <c r="B79" i="6"/>
  <c r="BJ79" i="6" s="1"/>
  <c r="B37" i="6"/>
  <c r="BJ37" i="6" s="1"/>
  <c r="B40" i="6"/>
  <c r="BJ40" i="6" s="1"/>
  <c r="B20" i="6"/>
  <c r="BJ20" i="6" s="1"/>
  <c r="B80" i="6"/>
  <c r="BJ80" i="6" s="1"/>
  <c r="B23" i="6"/>
  <c r="BJ23" i="6" s="1"/>
  <c r="A30" i="7"/>
  <c r="B74" i="6"/>
  <c r="BJ74" i="6" s="1"/>
  <c r="B86" i="6"/>
  <c r="BJ86" i="6" s="1"/>
  <c r="B28" i="6"/>
  <c r="BJ28" i="6" s="1"/>
  <c r="B44" i="6"/>
  <c r="BJ44" i="6" s="1"/>
  <c r="B62" i="6"/>
  <c r="BJ62" i="6" s="1"/>
  <c r="B77" i="6"/>
  <c r="BJ77" i="6" s="1"/>
  <c r="B75" i="6"/>
  <c r="BJ75" i="6" s="1"/>
  <c r="B41" i="6"/>
  <c r="BJ41" i="6" s="1"/>
  <c r="B31" i="6"/>
  <c r="BJ31" i="6" s="1"/>
  <c r="B68" i="6"/>
  <c r="BJ68" i="6" s="1"/>
  <c r="B56" i="6"/>
  <c r="BJ56" i="6" s="1"/>
  <c r="B48" i="6"/>
  <c r="BJ48" i="6" s="1"/>
  <c r="B33" i="6"/>
  <c r="BJ33" i="6" s="1"/>
  <c r="B51" i="6"/>
  <c r="BJ51" i="6" s="1"/>
  <c r="B32" i="6"/>
  <c r="BJ32" i="6" s="1"/>
  <c r="B45" i="6"/>
  <c r="BJ45" i="6" s="1"/>
  <c r="B53" i="6"/>
  <c r="BJ53" i="6" s="1"/>
  <c r="B91" i="6"/>
  <c r="BJ91" i="6" s="1"/>
  <c r="B96" i="6"/>
  <c r="BJ96" i="6" s="1"/>
  <c r="B90" i="6"/>
  <c r="BJ90" i="6" s="1"/>
  <c r="B71" i="6"/>
  <c r="BJ71" i="6" s="1"/>
  <c r="B58" i="6"/>
  <c r="BJ58" i="6" s="1"/>
  <c r="B82" i="6"/>
  <c r="BJ82" i="6" s="1"/>
  <c r="B42" i="6"/>
  <c r="BJ42" i="6" s="1"/>
  <c r="B29" i="6"/>
  <c r="BJ29" i="6" s="1"/>
  <c r="B83" i="6"/>
  <c r="BJ83" i="6" s="1"/>
  <c r="B47" i="6"/>
  <c r="BJ47" i="6" s="1"/>
  <c r="B66" i="6"/>
  <c r="BJ66" i="6" s="1"/>
  <c r="B84" i="6"/>
  <c r="BJ84" i="6" s="1"/>
  <c r="B55" i="6"/>
  <c r="BJ55" i="6" s="1"/>
  <c r="B73" i="6"/>
  <c r="BJ73" i="6" s="1"/>
  <c r="B52" i="6"/>
  <c r="BJ52" i="6" s="1"/>
  <c r="B94" i="6"/>
  <c r="BJ94" i="6" s="1"/>
  <c r="B87" i="6"/>
  <c r="BJ87" i="6" s="1"/>
  <c r="B34" i="6"/>
  <c r="BJ34" i="6" s="1"/>
  <c r="B88" i="6"/>
  <c r="BJ88" i="6" s="1"/>
  <c r="B59" i="6"/>
  <c r="BJ59" i="6" s="1"/>
  <c r="B49" i="6"/>
  <c r="BJ49" i="6" s="1"/>
  <c r="B61" i="6"/>
  <c r="BJ61" i="6" s="1"/>
  <c r="B70" i="6"/>
  <c r="BJ70" i="6" s="1"/>
  <c r="B54" i="6"/>
  <c r="BJ54" i="6" s="1"/>
  <c r="B27" i="6"/>
  <c r="BJ27" i="6" s="1"/>
  <c r="B81" i="6"/>
  <c r="BJ81" i="6" s="1"/>
  <c r="B85" i="6"/>
  <c r="BJ85" i="6" s="1"/>
  <c r="B26" i="6"/>
  <c r="BJ26" i="6" s="1"/>
  <c r="B35" i="6"/>
  <c r="BJ35" i="6" s="1"/>
  <c r="B46" i="6"/>
  <c r="BJ46" i="6" s="1"/>
  <c r="B30" i="6"/>
  <c r="BJ30" i="6" s="1"/>
  <c r="B78" i="6"/>
  <c r="BJ78" i="6" s="1"/>
  <c r="B72" i="6"/>
  <c r="BJ72" i="6" s="1"/>
  <c r="B43" i="6"/>
  <c r="BJ43" i="6" s="1"/>
  <c r="B92" i="6"/>
  <c r="BJ92" i="6" s="1"/>
  <c r="B76" i="6"/>
  <c r="BJ76" i="6" s="1"/>
  <c r="B57" i="6"/>
  <c r="BJ57" i="6" s="1"/>
  <c r="B95" i="6"/>
  <c r="BJ95" i="6" s="1"/>
  <c r="A25" i="7"/>
  <c r="B50" i="6"/>
  <c r="BJ50" i="6" s="1"/>
  <c r="B36" i="6"/>
  <c r="BJ36" i="6" s="1"/>
  <c r="A34" i="7"/>
  <c r="B64" i="6"/>
  <c r="BJ64" i="6" s="1"/>
  <c r="B89" i="6"/>
  <c r="BJ89" i="6" s="1"/>
  <c r="B69" i="6"/>
  <c r="BJ69" i="6" s="1"/>
  <c r="B63" i="6"/>
  <c r="BJ63" i="6" s="1"/>
  <c r="B67" i="6"/>
  <c r="BJ67" i="6" s="1"/>
  <c r="B65" i="6"/>
  <c r="BJ65" i="6" s="1"/>
  <c r="A20" i="7"/>
  <c r="A15" i="7"/>
  <c r="A21" i="7"/>
  <c r="A26" i="7"/>
  <c r="A24" i="7"/>
  <c r="A6" i="7"/>
  <c r="A18" i="7"/>
  <c r="A33" i="7"/>
  <c r="A31" i="7"/>
  <c r="A29" i="7"/>
  <c r="A32" i="7"/>
  <c r="A16" i="7"/>
  <c r="A13" i="7"/>
  <c r="A17" i="7"/>
  <c r="A3" i="7"/>
  <c r="A28" i="7"/>
  <c r="A1" i="7" l="1"/>
  <c r="C2" i="6"/>
  <c r="C4" i="6"/>
  <c r="C5" i="6"/>
  <c r="C3" i="6"/>
  <c r="C6" i="6"/>
  <c r="C7" i="6"/>
  <c r="D3" i="5" l="1"/>
  <c r="F3" i="6"/>
  <c r="D3" i="22"/>
  <c r="H3" i="6"/>
  <c r="D7" i="22"/>
  <c r="D7" i="5"/>
  <c r="H4" i="6"/>
  <c r="F4" i="6"/>
  <c r="D4" i="5"/>
  <c r="D4" i="22"/>
  <c r="F5" i="6"/>
  <c r="H5" i="6"/>
  <c r="D5" i="5"/>
  <c r="D5" i="22"/>
  <c r="F6" i="6"/>
  <c r="H6" i="6"/>
  <c r="D6" i="5"/>
  <c r="C8" i="6"/>
  <c r="F2" i="6"/>
  <c r="D2" i="22"/>
  <c r="D2" i="5"/>
  <c r="H2" i="6"/>
  <c r="G3" i="22" l="1"/>
  <c r="H3" i="22"/>
  <c r="H8" i="6"/>
  <c r="F8" i="6"/>
  <c r="H5" i="22"/>
  <c r="G5" i="22"/>
  <c r="H4" i="22"/>
  <c r="G4" i="22"/>
  <c r="D8" i="5"/>
  <c r="H2" i="5"/>
  <c r="G2" i="5"/>
  <c r="G6" i="5"/>
  <c r="H6" i="5"/>
  <c r="H5" i="5"/>
  <c r="G5" i="5"/>
  <c r="G4" i="5"/>
  <c r="H4" i="5"/>
  <c r="G3" i="5"/>
  <c r="H3" i="5"/>
  <c r="D8" i="22"/>
  <c r="G2" i="22"/>
  <c r="H2" i="22"/>
  <c r="H8" i="22" l="1"/>
  <c r="G8" i="22"/>
  <c r="G8" i="5"/>
  <c r="H8" i="5"/>
</calcChain>
</file>

<file path=xl/sharedStrings.xml><?xml version="1.0" encoding="utf-8"?>
<sst xmlns="http://schemas.openxmlformats.org/spreadsheetml/2006/main" count="16309" uniqueCount="1291">
  <si>
    <t>87-89 Mph</t>
  </si>
  <si>
    <t>90-92 Mph</t>
  </si>
  <si>
    <t>92-94 Mph</t>
  </si>
  <si>
    <t>Carlos Rivera</t>
  </si>
  <si>
    <t>95-97 Mph</t>
  </si>
  <si>
    <t>91-93 Mph</t>
  </si>
  <si>
    <t>93-95 Mph</t>
  </si>
  <si>
    <t>97-99 Mph</t>
  </si>
  <si>
    <t>94-96 Mph</t>
  </si>
  <si>
    <t>Conrad Shelton</t>
  </si>
  <si>
    <t>DH</t>
  </si>
  <si>
    <t>RP</t>
  </si>
  <si>
    <t>Name</t>
  </si>
  <si>
    <t>OVR</t>
  </si>
  <si>
    <t>POT</t>
  </si>
  <si>
    <t>WE</t>
  </si>
  <si>
    <t>INT</t>
  </si>
  <si>
    <t>CON</t>
  </si>
  <si>
    <t>GAP</t>
  </si>
  <si>
    <t>POW</t>
  </si>
  <si>
    <t>EYE</t>
  </si>
  <si>
    <t>K's</t>
  </si>
  <si>
    <t>CON P</t>
  </si>
  <si>
    <t>GAP P</t>
  </si>
  <si>
    <t>POW P</t>
  </si>
  <si>
    <t>EYE P</t>
  </si>
  <si>
    <t>K P</t>
  </si>
  <si>
    <t>SPE</t>
  </si>
  <si>
    <t>STE</t>
  </si>
  <si>
    <t>RUN</t>
  </si>
  <si>
    <t>SLR</t>
  </si>
  <si>
    <t>YL</t>
  </si>
  <si>
    <t>-</t>
  </si>
  <si>
    <t>1 (auto.)</t>
  </si>
  <si>
    <t>1 (arbitr.)</t>
  </si>
  <si>
    <t>RL</t>
  </si>
  <si>
    <t>STU</t>
  </si>
  <si>
    <t>MOV</t>
  </si>
  <si>
    <t>STU P</t>
  </si>
  <si>
    <t>MOV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</si>
  <si>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</si>
  <si>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</si>
  <si>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</si>
  <si>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</si>
  <si>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</si>
  <si>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</si>
  <si>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</si>
  <si>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</si>
  <si>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</si>
  <si>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</si>
  <si>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</si>
  <si>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</si>
  <si>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</si>
  <si>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</si>
  <si>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</si>
  <si>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</si>
  <si>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</si>
  <si>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</si>
  <si>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</si>
  <si>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</si>
  <si>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</si>
  <si>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</si>
  <si>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</si>
  <si>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</si>
  <si>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</si>
  <si>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</si>
  <si>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Exp</t>
  </si>
  <si>
    <t>At Now</t>
  </si>
  <si>
    <t>At Pot</t>
  </si>
  <si>
    <t>At Exp</t>
  </si>
  <si>
    <t>Age</t>
  </si>
  <si>
    <t>C</t>
  </si>
  <si>
    <t>K</t>
  </si>
  <si>
    <t>1B</t>
  </si>
  <si>
    <t>2B</t>
  </si>
  <si>
    <t>3B</t>
  </si>
  <si>
    <t>SS</t>
  </si>
  <si>
    <t>LF</t>
  </si>
  <si>
    <t>CF</t>
  </si>
  <si>
    <t>RF</t>
  </si>
  <si>
    <t>B</t>
  </si>
  <si>
    <t>T</t>
  </si>
  <si>
    <t>L</t>
  </si>
  <si>
    <t>R</t>
  </si>
  <si>
    <t>BR</t>
  </si>
  <si>
    <t>S</t>
  </si>
  <si>
    <t>MR</t>
  </si>
  <si>
    <t>SP</t>
  </si>
  <si>
    <t>CL</t>
  </si>
  <si>
    <t>Def</t>
  </si>
  <si>
    <t>OVR SMC</t>
  </si>
  <si>
    <t>POT SMC</t>
  </si>
  <si>
    <t>Act</t>
  </si>
  <si>
    <t>FA?</t>
  </si>
  <si>
    <t>nCPE Avg</t>
  </si>
  <si>
    <t>fCPE Avg</t>
  </si>
  <si>
    <t>Player</t>
  </si>
  <si>
    <t>Pos</t>
  </si>
  <si>
    <t>ML Service</t>
  </si>
  <si>
    <t>Arbitration</t>
  </si>
  <si>
    <t>Options</t>
  </si>
  <si>
    <t>Additions</t>
  </si>
  <si>
    <t>Bat Pool</t>
  </si>
  <si>
    <t>Glove Pool</t>
  </si>
  <si>
    <t>SP Pool</t>
  </si>
  <si>
    <t>Swing</t>
  </si>
  <si>
    <t>CL Pool</t>
  </si>
  <si>
    <t>SU</t>
  </si>
  <si>
    <t>RP Pool</t>
  </si>
  <si>
    <t>LHP</t>
  </si>
  <si>
    <t>RHP</t>
  </si>
  <si>
    <t>C Pool</t>
  </si>
  <si>
    <t>IF Arm</t>
  </si>
  <si>
    <t>OF Arm</t>
  </si>
  <si>
    <t>C Arm</t>
  </si>
  <si>
    <t>#1 Hitter (High OBP, Speed)</t>
  </si>
  <si>
    <t>#3 Hitter (High Avg, Power, Eye)</t>
  </si>
  <si>
    <t>#4 Hitter (High Power, One of AVG/EYE)</t>
  </si>
  <si>
    <t>#5 Hitter (High Power)</t>
  </si>
  <si>
    <t>#6 Hitter (Two of High Avg, Power, Eye)</t>
  </si>
  <si>
    <t>#7 Hitter (One of High Avg, Power, Eye)</t>
  </si>
  <si>
    <t>#9 Hitter (One of High Avg, Power, Eye)</t>
  </si>
  <si>
    <t>#8 Hitter (One of High Avg, Power, Eye)</t>
  </si>
  <si>
    <t>G</t>
  </si>
  <si>
    <t>P</t>
  </si>
  <si>
    <t>Contact</t>
  </si>
  <si>
    <t>Gap</t>
  </si>
  <si>
    <t>Power</t>
  </si>
  <si>
    <t>Eye</t>
  </si>
  <si>
    <t>Speed</t>
  </si>
  <si>
    <t>Stealing</t>
  </si>
  <si>
    <t>#5 Hitter (Med Power, One of AVG/Eye)</t>
  </si>
  <si>
    <t>#4 Hitter (High Power, One of AVG/Eye)</t>
  </si>
  <si>
    <t>Ok?</t>
  </si>
  <si>
    <t>Bat Score</t>
  </si>
  <si>
    <t>BS</t>
  </si>
  <si>
    <t>#8 Hitter (One of High Avg, Gap, Power, Eye)</t>
  </si>
  <si>
    <t>Idl</t>
  </si>
  <si>
    <t>n#1</t>
  </si>
  <si>
    <t>n#2</t>
  </si>
  <si>
    <t>n#3</t>
  </si>
  <si>
    <t>n#4</t>
  </si>
  <si>
    <t>n#5</t>
  </si>
  <si>
    <t>n#6</t>
  </si>
  <si>
    <t>n#7</t>
  </si>
  <si>
    <t>n#8</t>
  </si>
  <si>
    <t>n#9</t>
  </si>
  <si>
    <t>f#1</t>
  </si>
  <si>
    <t>f#2</t>
  </si>
  <si>
    <t>f#3</t>
  </si>
  <si>
    <t>f#4</t>
  </si>
  <si>
    <t>f#5</t>
  </si>
  <si>
    <t>f#6</t>
  </si>
  <si>
    <t>f#7</t>
  </si>
  <si>
    <t>f#8</t>
  </si>
  <si>
    <t>f#9</t>
  </si>
  <si>
    <t>fLin</t>
  </si>
  <si>
    <t>pLin</t>
  </si>
  <si>
    <t>#2 Hitter (High Avg, Low K's or High OBP)</t>
  </si>
  <si>
    <t>Rnk</t>
  </si>
  <si>
    <t>At Least 2 Aces</t>
  </si>
  <si>
    <t>At Least 3 #2's</t>
  </si>
  <si>
    <t>At Least 4 #3's</t>
  </si>
  <si>
    <t>Stuff</t>
  </si>
  <si>
    <t>Movement</t>
  </si>
  <si>
    <t>Control</t>
  </si>
  <si>
    <t>Pitches</t>
  </si>
  <si>
    <t>Ace</t>
  </si>
  <si>
    <t>Stud</t>
  </si>
  <si>
    <t>Solid</t>
  </si>
  <si>
    <t>#</t>
  </si>
  <si>
    <t>Batters</t>
  </si>
  <si>
    <t>Pitchers</t>
  </si>
  <si>
    <t>Roster Size</t>
  </si>
  <si>
    <t>Pot Score</t>
  </si>
  <si>
    <t>Stam</t>
  </si>
  <si>
    <t>Velo</t>
  </si>
  <si>
    <t>GB%</t>
  </si>
  <si>
    <t>IF ARM</t>
  </si>
  <si>
    <t>QP</t>
  </si>
  <si>
    <t>E</t>
  </si>
  <si>
    <t>Sp</t>
  </si>
  <si>
    <t>St</t>
  </si>
  <si>
    <t>Lvl</t>
  </si>
  <si>
    <t>ML</t>
  </si>
  <si>
    <t>AAA</t>
  </si>
  <si>
    <t>AA</t>
  </si>
  <si>
    <t>A</t>
  </si>
  <si>
    <t>Role</t>
  </si>
  <si>
    <t>Throws</t>
  </si>
  <si>
    <t>Rng</t>
  </si>
  <si>
    <t>ID</t>
  </si>
  <si>
    <t>Rem</t>
  </si>
  <si>
    <t>Tot</t>
  </si>
  <si>
    <t>B%</t>
  </si>
  <si>
    <t>P%</t>
  </si>
  <si>
    <t>T%</t>
  </si>
  <si>
    <t>Subtractions</t>
  </si>
  <si>
    <t>Net +/-</t>
  </si>
  <si>
    <t>High</t>
  </si>
  <si>
    <t>Normal</t>
  </si>
  <si>
    <t>Low</t>
  </si>
  <si>
    <t>Rat</t>
  </si>
  <si>
    <t>Arm</t>
  </si>
  <si>
    <t>Aid</t>
  </si>
  <si>
    <t>Now</t>
  </si>
  <si>
    <t>ML Chance</t>
  </si>
  <si>
    <t>Plan</t>
  </si>
  <si>
    <t>Off</t>
  </si>
  <si>
    <t>96-98 Mph</t>
  </si>
  <si>
    <t>Players</t>
  </si>
  <si>
    <t>Have</t>
  </si>
  <si>
    <t>Want</t>
  </si>
  <si>
    <t>Short</t>
  </si>
  <si>
    <t>Net</t>
  </si>
  <si>
    <t>Def Req</t>
  </si>
  <si>
    <t>Arm&gt;7</t>
  </si>
  <si>
    <t>Rng&gt;7</t>
  </si>
  <si>
    <t>Arm&gt;5, Rng&gt;5</t>
  </si>
  <si>
    <t>Rng&gt;5</t>
  </si>
  <si>
    <t>Rng&gt;3</t>
  </si>
  <si>
    <t>Arm&gt;5</t>
  </si>
  <si>
    <t>Total</t>
  </si>
  <si>
    <t>Rng&gt;6</t>
  </si>
  <si>
    <t>Arm&gt;7, Rng&gt;5</t>
  </si>
  <si>
    <t>Arm&gt;6, Rng&gt;5</t>
  </si>
  <si>
    <t>Future</t>
  </si>
  <si>
    <t>Team Focus</t>
  </si>
  <si>
    <t>Staff Payroll</t>
  </si>
  <si>
    <t>Player Payroll</t>
  </si>
  <si>
    <t>Current Budget</t>
  </si>
  <si>
    <t>Projected Balance</t>
  </si>
  <si>
    <t>Average Player Salary</t>
  </si>
  <si>
    <t>League Average Salary</t>
  </si>
  <si>
    <t>Highest Paid Players:</t>
  </si>
  <si>
    <t>Attendance</t>
  </si>
  <si>
    <t>Attendance per Game</t>
  </si>
  <si>
    <t>Gate Revenue</t>
  </si>
  <si>
    <t>Playoff Revenue</t>
  </si>
  <si>
    <t>Media Revenue</t>
  </si>
  <si>
    <t>Merchandising Revenue</t>
  </si>
  <si>
    <t>Revenue Sharing</t>
  </si>
  <si>
    <t>CASH</t>
  </si>
  <si>
    <t>Player Expenses</t>
  </si>
  <si>
    <t>Staff Expenses</t>
  </si>
  <si>
    <t>BALANCE</t>
  </si>
  <si>
    <t>Wins</t>
  </si>
  <si>
    <t>Losses</t>
  </si>
  <si>
    <t>Pct</t>
  </si>
  <si>
    <t>Home Wins</t>
  </si>
  <si>
    <t>Home Losses</t>
  </si>
  <si>
    <t>Home Pct</t>
  </si>
  <si>
    <t>Away Wins</t>
  </si>
  <si>
    <t>Away Losses</t>
  </si>
  <si>
    <t>Away Pct</t>
  </si>
  <si>
    <t>Remaining Games</t>
  </si>
  <si>
    <t>Remaining Home Games</t>
  </si>
  <si>
    <t>Remaining Away Games</t>
  </si>
  <si>
    <t>Projected</t>
  </si>
  <si>
    <t>Budget</t>
  </si>
  <si>
    <t>Budget Space</t>
  </si>
  <si>
    <t>Stm</t>
  </si>
  <si>
    <t>CLvl</t>
  </si>
  <si>
    <t>Avg Ticket Income</t>
  </si>
  <si>
    <t>Est. Attendance</t>
  </si>
  <si>
    <t>Proj. Gate Rev</t>
  </si>
  <si>
    <t>Merch Per Att.</t>
  </si>
  <si>
    <t>Proj. Merch</t>
  </si>
  <si>
    <t>Proj. Rev.</t>
  </si>
  <si>
    <t>Home GR</t>
  </si>
  <si>
    <t>+/- Improvement</t>
  </si>
  <si>
    <t>Extension Calculator</t>
  </si>
  <si>
    <t>$/Yr</t>
  </si>
  <si>
    <t>eAge</t>
  </si>
  <si>
    <t>Lev</t>
  </si>
  <si>
    <t>OF ARM</t>
  </si>
  <si>
    <t>C ARM</t>
  </si>
  <si>
    <t>S A</t>
  </si>
  <si>
    <t>A S</t>
  </si>
  <si>
    <t>Est. Player Exp</t>
  </si>
  <si>
    <t>Est. Staff Exp</t>
  </si>
  <si>
    <t>Est. Income</t>
  </si>
  <si>
    <t>Est. Loss</t>
  </si>
  <si>
    <t>Est. Profit</t>
  </si>
  <si>
    <t>Record Needed for X Wins</t>
  </si>
  <si>
    <t>Updated</t>
  </si>
  <si>
    <t>Need Pct</t>
  </si>
  <si>
    <t>Final Pct</t>
  </si>
  <si>
    <t>Resulting Wins</t>
  </si>
  <si>
    <t>If We Played</t>
  </si>
  <si>
    <t>Change</t>
  </si>
  <si>
    <t>Raw</t>
  </si>
  <si>
    <t>Luis Gusmán</t>
  </si>
  <si>
    <t>Top Under 26</t>
  </si>
  <si>
    <t>Rem W-L</t>
  </si>
  <si>
    <t>Est. Budget Diff</t>
  </si>
  <si>
    <t>Ace SP</t>
  </si>
  <si>
    <t>Rng/Arm</t>
  </si>
  <si>
    <t>Current Starters (Con&gt;6, Pow+Eye+DefDiff&gt;12)</t>
  </si>
  <si>
    <t>Current Backups (Con&gt;5, Pow+Eye+DefDiff&gt;8)</t>
  </si>
  <si>
    <t>Potential Starters (Con&gt;6, Pow+Eye+DefDiff&gt;12)</t>
  </si>
  <si>
    <t>Potential Backups (Con&gt;5, Pow+Eye+DefDiff&gt;8)</t>
  </si>
  <si>
    <t>Current Starters (Stuff+Mvmt+Con&gt;18)</t>
  </si>
  <si>
    <t>Sta Req</t>
  </si>
  <si>
    <t>Rng&gt;4</t>
  </si>
  <si>
    <t>S+M+C</t>
  </si>
  <si>
    <t>pS+M+C</t>
  </si>
  <si>
    <t>Potential Starters (Stuff+Mvmt+Con&gt;18)</t>
  </si>
  <si>
    <t>Current Backups (Stuff+Mvmt+Con&gt;15)</t>
  </si>
  <si>
    <t>Potential Backups (Stuff+Mvmt+Con&gt;15)</t>
  </si>
  <si>
    <t>C rat/pot</t>
  </si>
  <si>
    <t>G rat/pot</t>
  </si>
  <si>
    <t>P rat-pot</t>
  </si>
  <si>
    <t>E rat/pot</t>
  </si>
  <si>
    <t>K rat/pot</t>
  </si>
  <si>
    <t>Diff</t>
  </si>
  <si>
    <t>S rat/pot</t>
  </si>
  <si>
    <t>M rat/pot</t>
  </si>
  <si>
    <t>Tm</t>
  </si>
  <si>
    <t>pCPE</t>
  </si>
  <si>
    <t>pCP</t>
  </si>
  <si>
    <t>pCE</t>
  </si>
  <si>
    <t>% Home Games Played</t>
  </si>
  <si>
    <t>John Martin</t>
  </si>
  <si>
    <t>Eric Jacobs</t>
  </si>
  <si>
    <t>Cash Remaining</t>
  </si>
  <si>
    <t>99-101 Mph</t>
  </si>
  <si>
    <t>Resulting Player Payroll</t>
  </si>
  <si>
    <t>Committed Payroll</t>
  </si>
  <si>
    <t>Randolph Teague</t>
  </si>
  <si>
    <t>Off the Books</t>
  </si>
  <si>
    <t>Net Totals</t>
  </si>
  <si>
    <t>Guaranteed</t>
  </si>
  <si>
    <t>98-100 Mph</t>
  </si>
  <si>
    <t>Est Arr</t>
  </si>
  <si>
    <t>Starting Base</t>
  </si>
  <si>
    <t>Slot Priority</t>
  </si>
  <si>
    <t>High OBP, Low SLG</t>
  </si>
  <si>
    <t>Best All Around Hitter</t>
  </si>
  <si>
    <t>Next best hitter OBP, GAP</t>
  </si>
  <si>
    <t>Best hitter with HR power</t>
  </si>
  <si>
    <t>Best hitter after other 4</t>
  </si>
  <si>
    <t>Worst Hitter</t>
  </si>
  <si>
    <t>Next best hitter with SB</t>
  </si>
  <si>
    <t>Next best hitter</t>
  </si>
  <si>
    <t>2nd Worst Hitter</t>
  </si>
  <si>
    <t>2018 Shopping List</t>
  </si>
  <si>
    <t>vs. RHP</t>
  </si>
  <si>
    <t>vs. LHP</t>
  </si>
  <si>
    <t>John Martin, Ray Gilbert</t>
  </si>
  <si>
    <t>Martinez</t>
  </si>
  <si>
    <t>Watson</t>
  </si>
  <si>
    <t>Scouting Budget</t>
  </si>
  <si>
    <t>Draft Budget</t>
  </si>
  <si>
    <t>Rat Score</t>
  </si>
  <si>
    <t>Up</t>
  </si>
  <si>
    <t>Dn</t>
  </si>
  <si>
    <t>Batter:</t>
  </si>
  <si>
    <t>Pitcher:</t>
  </si>
  <si>
    <t>Keep</t>
  </si>
  <si>
    <t>Upg</t>
  </si>
  <si>
    <t>Upgrade at SP</t>
  </si>
  <si>
    <t>Slugger 1B/DH</t>
  </si>
  <si>
    <t>Slugger for COF</t>
  </si>
  <si>
    <t>Bullpen Arm</t>
  </si>
  <si>
    <t>Upgrade 3B</t>
  </si>
  <si>
    <t>Harmon!</t>
  </si>
  <si>
    <t>Edwards!</t>
  </si>
  <si>
    <t>Center Fielder</t>
  </si>
  <si>
    <t>Catcher</t>
  </si>
  <si>
    <t>Allen, Longoria, Murphy?</t>
  </si>
  <si>
    <t>Development Budget</t>
  </si>
  <si>
    <t>MLC!</t>
  </si>
  <si>
    <t>Guao!</t>
  </si>
  <si>
    <t>Upgrade 2B</t>
  </si>
  <si>
    <t>Suarez, Rose?</t>
  </si>
  <si>
    <t>Geldert?</t>
  </si>
  <si>
    <t>John Martin, Pepe Rios</t>
  </si>
  <si>
    <t>Mike Harris, Brandon Childers, Sherwood Alldritt</t>
  </si>
  <si>
    <t>Esquivel</t>
  </si>
  <si>
    <t>Rivera, Gusman, Soto, Arcimboldo, Becker</t>
  </si>
  <si>
    <t>Young, Mays, Marsh, Nielsen</t>
  </si>
  <si>
    <t>Burke</t>
  </si>
  <si>
    <t>Corbett!</t>
  </si>
  <si>
    <t>2019 Draft Priorities</t>
  </si>
  <si>
    <t>Clayton Lewis</t>
  </si>
  <si>
    <t>GENERAL INFORMATION</t>
  </si>
  <si>
    <t>CURRENT FINANCIAL OVERVIEW</t>
  </si>
  <si>
    <t>LAST SEASON OVERVIEW</t>
  </si>
  <si>
    <t>Jesús Carmargo</t>
  </si>
  <si>
    <t>Manny Montoya</t>
  </si>
  <si>
    <t>Sojuro Nishimura</t>
  </si>
  <si>
    <t>Brad Kemp</t>
  </si>
  <si>
    <t>NEU</t>
  </si>
  <si>
    <t>GB</t>
  </si>
  <si>
    <t>EX FB</t>
  </si>
  <si>
    <t>88-90 Mph</t>
  </si>
  <si>
    <t>89-91 Mph</t>
  </si>
  <si>
    <t>First</t>
  </si>
  <si>
    <t>Last</t>
  </si>
  <si>
    <t>Juan</t>
  </si>
  <si>
    <t>Hernández</t>
  </si>
  <si>
    <t>MLB</t>
  </si>
  <si>
    <t>Rubén</t>
  </si>
  <si>
    <t>Lorenzo</t>
  </si>
  <si>
    <t>Pak</t>
  </si>
  <si>
    <t>Bob</t>
  </si>
  <si>
    <t>Tomás</t>
  </si>
  <si>
    <t>Park</t>
  </si>
  <si>
    <t>Pedro</t>
  </si>
  <si>
    <t>Rodríguez</t>
  </si>
  <si>
    <t>George</t>
  </si>
  <si>
    <t>José</t>
  </si>
  <si>
    <t>Valentín</t>
  </si>
  <si>
    <t>Dave</t>
  </si>
  <si>
    <t>Héctor</t>
  </si>
  <si>
    <t>Vito</t>
  </si>
  <si>
    <t>Alfredo</t>
  </si>
  <si>
    <t>Camacho</t>
  </si>
  <si>
    <t>Bernardo</t>
  </si>
  <si>
    <t>Cruz</t>
  </si>
  <si>
    <t>Carlos</t>
  </si>
  <si>
    <t>Gómez</t>
  </si>
  <si>
    <t>Tom</t>
  </si>
  <si>
    <t>Armando</t>
  </si>
  <si>
    <t>Paul</t>
  </si>
  <si>
    <t>Kim</t>
  </si>
  <si>
    <t>López</t>
  </si>
  <si>
    <t>Luna</t>
  </si>
  <si>
    <t>Manuel</t>
  </si>
  <si>
    <t>Martínez</t>
  </si>
  <si>
    <t>Gary</t>
  </si>
  <si>
    <t>Miranda</t>
  </si>
  <si>
    <t>Ortíz</t>
  </si>
  <si>
    <t>Roberto</t>
  </si>
  <si>
    <t>Claudio</t>
  </si>
  <si>
    <t>Pérez</t>
  </si>
  <si>
    <t>Reyes</t>
  </si>
  <si>
    <t>Mauro</t>
  </si>
  <si>
    <t>Sato</t>
  </si>
  <si>
    <t>Chia-kang</t>
  </si>
  <si>
    <t>Sheng</t>
  </si>
  <si>
    <t>Sugimoto</t>
  </si>
  <si>
    <t>Alberto</t>
  </si>
  <si>
    <t>Ricardo</t>
  </si>
  <si>
    <t>Jorge</t>
  </si>
  <si>
    <t>$510,000+</t>
  </si>
  <si>
    <t>Juan Hernández</t>
  </si>
  <si>
    <t>Rubén Jiménez</t>
  </si>
  <si>
    <t>Lorenzo Amador</t>
  </si>
  <si>
    <t>Yakamochi Kobayashi</t>
  </si>
  <si>
    <t>Jake Owens</t>
  </si>
  <si>
    <t>Wayne Bell</t>
  </si>
  <si>
    <t>Bob Campbell</t>
  </si>
  <si>
    <t>Jesús Rodríguez</t>
  </si>
  <si>
    <t>Wilson Mercado</t>
  </si>
  <si>
    <t>Javier Jiménez</t>
  </si>
  <si>
    <t>Sang-hyuk Pak</t>
  </si>
  <si>
    <t>Frederick Cotton</t>
  </si>
  <si>
    <t>Dave Provencher</t>
  </si>
  <si>
    <t>Tomás Cisneros</t>
  </si>
  <si>
    <t>Nelson</t>
  </si>
  <si>
    <t>Muñíz</t>
  </si>
  <si>
    <t>Domingo</t>
  </si>
  <si>
    <t>Jeremiah Henderson</t>
  </si>
  <si>
    <t>Wayne Keller</t>
  </si>
  <si>
    <t>Moreno</t>
  </si>
  <si>
    <t>García</t>
  </si>
  <si>
    <t>Mejía</t>
  </si>
  <si>
    <t>Flores</t>
  </si>
  <si>
    <t>Robinson</t>
  </si>
  <si>
    <t>Will</t>
  </si>
  <si>
    <t>Green</t>
  </si>
  <si>
    <t>Jou</t>
  </si>
  <si>
    <t>Nishi</t>
  </si>
  <si>
    <t>Augusto</t>
  </si>
  <si>
    <t>Padilla</t>
  </si>
  <si>
    <t>Valdéz</t>
  </si>
  <si>
    <t>Juan Carlos Ornelza</t>
  </si>
  <si>
    <t>Alfonso Villalobos</t>
  </si>
  <si>
    <t>Vito Valkenburg</t>
  </si>
  <si>
    <t>Rebuilding</t>
  </si>
  <si>
    <t>Season Ticket Revenue</t>
  </si>
  <si>
    <t> 1) Juan Hernández</t>
  </si>
  <si>
    <t> 2) Lorenzo Amador</t>
  </si>
  <si>
    <t> 3) Rubén Jiménez</t>
  </si>
  <si>
    <t> 4) Simon Jones</t>
  </si>
  <si>
    <t> 5) Yakamochi Kobayashi</t>
  </si>
  <si>
    <t>Claudio Pérez</t>
  </si>
  <si>
    <t>Hill</t>
  </si>
  <si>
    <t>EX GB</t>
  </si>
  <si>
    <t>Aguilar</t>
  </si>
  <si>
    <t>Jim</t>
  </si>
  <si>
    <t>Díaz</t>
  </si>
  <si>
    <t>Kyoichi</t>
  </si>
  <si>
    <t>Gato</t>
  </si>
  <si>
    <t>Suzuki</t>
  </si>
  <si>
    <t>Ramón</t>
  </si>
  <si>
    <t>Ron</t>
  </si>
  <si>
    <t>Dan</t>
  </si>
  <si>
    <t>Gabriel</t>
  </si>
  <si>
    <t>Kensaku</t>
  </si>
  <si>
    <t>Felipe</t>
  </si>
  <si>
    <t>Aaron</t>
  </si>
  <si>
    <t>Thomas Woods</t>
  </si>
  <si>
    <t>Ron Myers</t>
  </si>
  <si>
    <t>José Moreno</t>
  </si>
  <si>
    <t>He Ling</t>
  </si>
  <si>
    <t>Miguel Vega</t>
  </si>
  <si>
    <t>Ken Hill</t>
  </si>
  <si>
    <t>Jin-hyun Park</t>
  </si>
  <si>
    <t>Robby Wiggins</t>
  </si>
  <si>
    <t>José Orozco</t>
  </si>
  <si>
    <t>Shortstop</t>
  </si>
  <si>
    <t>Peter MacLeish</t>
  </si>
  <si>
    <t>Paul Keating</t>
  </si>
  <si>
    <t>Arlen Badger</t>
  </si>
  <si>
    <t>Valentín Dávila</t>
  </si>
  <si>
    <t>Jorge López</t>
  </si>
  <si>
    <t>Giomar Matteotti</t>
  </si>
  <si>
    <t>Gabriel Martínez</t>
  </si>
  <si>
    <t>Luis</t>
  </si>
  <si>
    <t>Herrera</t>
  </si>
  <si>
    <t>Rich</t>
  </si>
  <si>
    <t>Ryan</t>
  </si>
  <si>
    <t>85-87 Mph</t>
  </si>
  <si>
    <t>Ogai Ono</t>
  </si>
  <si>
    <t>John Ross</t>
  </si>
  <si>
    <t>John</t>
  </si>
  <si>
    <t>Very High</t>
  </si>
  <si>
    <t>Anthony</t>
  </si>
  <si>
    <t>Tatsuya Kajitani</t>
  </si>
  <si>
    <t>Anthony Lee</t>
  </si>
  <si>
    <t>Pablo Flores</t>
  </si>
  <si>
    <t/>
  </si>
  <si>
    <t>Greg Davidson</t>
  </si>
  <si>
    <t>James MacQuistan</t>
  </si>
  <si>
    <t>George Schultz</t>
  </si>
  <si>
    <t>Yrs Away</t>
  </si>
  <si>
    <t>Iwao</t>
  </si>
  <si>
    <t>Maruyama</t>
  </si>
  <si>
    <t>Iwao Maruyama</t>
  </si>
  <si>
    <t>7 yrs, 100 days</t>
  </si>
  <si>
    <t>Kyoichi Gato*~</t>
  </si>
  <si>
    <t>Orlando Trujillo</t>
  </si>
  <si>
    <t>Jeffrey Mendoza</t>
  </si>
  <si>
    <t>Júlio Díaz</t>
  </si>
  <si>
    <t>Luis Reyes</t>
  </si>
  <si>
    <t>Robinson Herrera</t>
  </si>
  <si>
    <t>Éric Huot</t>
  </si>
  <si>
    <t>Kyoichi Gato</t>
  </si>
  <si>
    <t>Jim Fish</t>
  </si>
  <si>
    <t>Jim Ball</t>
  </si>
  <si>
    <t>Atílio Gaivo</t>
  </si>
  <si>
    <t>Augusto Padilla</t>
  </si>
  <si>
    <t>Will Douglas</t>
  </si>
  <si>
    <t>Yoichibei Suzuki</t>
  </si>
  <si>
    <t>Hyeon-cheong Yong</t>
  </si>
  <si>
    <t>Jake Murray</t>
  </si>
  <si>
    <t>Miguel Mercado</t>
  </si>
  <si>
    <t>Matt Allison</t>
  </si>
  <si>
    <t>Justin Bracey</t>
  </si>
  <si>
    <t>Jack Bourdages</t>
  </si>
  <si>
    <t>Steve Struck</t>
  </si>
  <si>
    <t>Jude Hollington</t>
  </si>
  <si>
    <t>Dave Peters</t>
  </si>
  <si>
    <t>Pedro Novaro</t>
  </si>
  <si>
    <t>Rubén Martínez</t>
  </si>
  <si>
    <t>Ralph Walsh</t>
  </si>
  <si>
    <t>Vito Aquino</t>
  </si>
  <si>
    <t>José Aguilar</t>
  </si>
  <si>
    <t>Mauro Sánchez</t>
  </si>
  <si>
    <t>Andreas Álvarez</t>
  </si>
  <si>
    <t>Orlando Pérez</t>
  </si>
  <si>
    <t>Albert Soto</t>
  </si>
  <si>
    <t>Hyo-cheong Pak</t>
  </si>
  <si>
    <t>Joseph Beaulieu</t>
  </si>
  <si>
    <t>Al O'Neill</t>
  </si>
  <si>
    <t>Will Green</t>
  </si>
  <si>
    <t>Douglas Gilbert</t>
  </si>
  <si>
    <t>Masayuki Sato</t>
  </si>
  <si>
    <t>Armando Hinojosa</t>
  </si>
  <si>
    <t>Vincente Rodríguez</t>
  </si>
  <si>
    <t>Juan Fernández</t>
  </si>
  <si>
    <t>Fernando Pérez</t>
  </si>
  <si>
    <t>José Liriano</t>
  </si>
  <si>
    <t>José Rivas</t>
  </si>
  <si>
    <t>Tetsunori Ueno</t>
  </si>
  <si>
    <t>Tsurayuki Sakamoto</t>
  </si>
  <si>
    <t>Greg Bennett</t>
  </si>
  <si>
    <t>Wayne Sterling</t>
  </si>
  <si>
    <t>Ed Woodward</t>
  </si>
  <si>
    <t>Szeto Tze</t>
  </si>
  <si>
    <t>Mitsuharu Suto</t>
  </si>
  <si>
    <t>Tasuku Sugimoto</t>
  </si>
  <si>
    <t>Larry Hendricks</t>
  </si>
  <si>
    <t>Diego Mendoza</t>
  </si>
  <si>
    <t>Evan van der Kamp</t>
  </si>
  <si>
    <t>Pepe Martínez</t>
  </si>
  <si>
    <t>Andrew Wight</t>
  </si>
  <si>
    <t>Toshikazu Sakata</t>
  </si>
  <si>
    <t>Marty Lawman</t>
  </si>
  <si>
    <t>Tom Alford</t>
  </si>
  <si>
    <t>Glenn Cooper</t>
  </si>
  <si>
    <t>José Valdéz</t>
  </si>
  <si>
    <t>Lauren Dickens</t>
  </si>
  <si>
    <t>Vicente Negrete</t>
  </si>
  <si>
    <t>Ryan Hunter</t>
  </si>
  <si>
    <t>Pedro Méndez</t>
  </si>
  <si>
    <t>Ricardo Trujillo</t>
  </si>
  <si>
    <t>Jou Nishi</t>
  </si>
  <si>
    <t>Terry López</t>
  </si>
  <si>
    <t>Joey Angus</t>
  </si>
  <si>
    <t>Leonard Martin</t>
  </si>
  <si>
    <t>Ron Murphy</t>
  </si>
  <si>
    <t>José Gómez</t>
  </si>
  <si>
    <t>Arturo Chapa</t>
  </si>
  <si>
    <t>José Martínez</t>
  </si>
  <si>
    <t>Miguel Rabelo</t>
  </si>
  <si>
    <t>Ramón Féliz</t>
  </si>
  <si>
    <t>Akira Goto</t>
  </si>
  <si>
    <t>Raul Ortega</t>
  </si>
  <si>
    <t>Tony Gutiérrez</t>
  </si>
  <si>
    <t>Dan Frazier</t>
  </si>
  <si>
    <t>Bob Grimes</t>
  </si>
  <si>
    <t>Alex Payne</t>
  </si>
  <si>
    <t>Luis Bautista</t>
  </si>
  <si>
    <t>Andrew Sterling</t>
  </si>
  <si>
    <t>Tim Hamilton</t>
  </si>
  <si>
    <t>Jesus Vasquez</t>
  </si>
  <si>
    <t>Jorge Mejía</t>
  </si>
  <si>
    <t>Bastiaan Jansen</t>
  </si>
  <si>
    <t>Iván García</t>
  </si>
  <si>
    <t>Darius Freeman</t>
  </si>
  <si>
    <t>Alec Stenis</t>
  </si>
  <si>
    <t>Natsu Ohashi</t>
  </si>
  <si>
    <t>Bernardo Castro</t>
  </si>
  <si>
    <t>José Barajas</t>
  </si>
  <si>
    <t>Takayuki Ikeda</t>
  </si>
  <si>
    <t>Tom Wills</t>
  </si>
  <si>
    <t>Paullo Keil</t>
  </si>
  <si>
    <t>Mitch Dwyer</t>
  </si>
  <si>
    <t>Francisco Hernández</t>
  </si>
  <si>
    <t>Jake Wallace</t>
  </si>
  <si>
    <t>Ludovico Borcellino</t>
  </si>
  <si>
    <t>Troy Washington</t>
  </si>
  <si>
    <t>Ryosei Ojima</t>
  </si>
  <si>
    <t>Roberto Ybarra</t>
  </si>
  <si>
    <t>Ricardo Ramírez</t>
  </si>
  <si>
    <t>Guastão Vilhena</t>
  </si>
  <si>
    <t>Raúl Reyes</t>
  </si>
  <si>
    <t>Yoshimatsu Yoshida</t>
  </si>
  <si>
    <t>Tommy Parker</t>
  </si>
  <si>
    <t>Byung-hee Kim</t>
  </si>
  <si>
    <t>Michael Bacon</t>
  </si>
  <si>
    <t>Rich Moran</t>
  </si>
  <si>
    <t>Júlio Gonzáles</t>
  </si>
  <si>
    <t>Sam Olson</t>
  </si>
  <si>
    <t>Oscar Bishop</t>
  </si>
  <si>
    <t>Shimpei Takahashi</t>
  </si>
  <si>
    <t>Robinson Martínez</t>
  </si>
  <si>
    <t>Umberto Abresch</t>
  </si>
  <si>
    <t>Héctor Álvarez</t>
  </si>
  <si>
    <t>Carlos Luna</t>
  </si>
  <si>
    <t>Fraser Collins</t>
  </si>
  <si>
    <t>Ross MacBradden</t>
  </si>
  <si>
    <t>Ray Morris</t>
  </si>
  <si>
    <t>Jorge Torres</t>
  </si>
  <si>
    <t>Matthew Walsh</t>
  </si>
  <si>
    <t>Víctor Rodríguez</t>
  </si>
  <si>
    <t>Thiago Tierno</t>
  </si>
  <si>
    <t>Júlio Rangel</t>
  </si>
  <si>
    <t>Jason Coleman</t>
  </si>
  <si>
    <t>Pedro Cruz</t>
  </si>
  <si>
    <t>Chong-chin Chong</t>
  </si>
  <si>
    <t>Aaron Thompson</t>
  </si>
  <si>
    <t>Pascal Runggaldier</t>
  </si>
  <si>
    <t>Juan Manuel</t>
  </si>
  <si>
    <t>Francis Farmer</t>
  </si>
  <si>
    <t>Pepe Ruíz</t>
  </si>
  <si>
    <t>Elias Simmons</t>
  </si>
  <si>
    <t>Marcello Tillett</t>
  </si>
  <si>
    <t>Gary McCarthy</t>
  </si>
  <si>
    <t>Jonathan Bell</t>
  </si>
  <si>
    <t>Jason Keith</t>
  </si>
  <si>
    <t>Alfredo Camacho</t>
  </si>
  <si>
    <t>Albert Infante</t>
  </si>
  <si>
    <t>Dani López</t>
  </si>
  <si>
    <t>Kensaku Kuhabara</t>
  </si>
  <si>
    <t>Troy Alexander</t>
  </si>
  <si>
    <t>Joswa Namdi</t>
  </si>
  <si>
    <t>Juan Ortíz</t>
  </si>
  <si>
    <t>Fernando Flores</t>
  </si>
  <si>
    <t>Enrique Murillo</t>
  </si>
  <si>
    <t>Roberto Ortíz</t>
  </si>
  <si>
    <t>Lenya Mehatiev</t>
  </si>
  <si>
    <t>Tomomi Hayashi</t>
  </si>
  <si>
    <t>Clint Thompson</t>
  </si>
  <si>
    <t>Mitchell Shave</t>
  </si>
  <si>
    <t>Alastair Clewes</t>
  </si>
  <si>
    <t>Lowik van Bodegraven</t>
  </si>
  <si>
    <t>Je-myung So</t>
  </si>
  <si>
    <t>Domingo Vargas</t>
  </si>
  <si>
    <t>Nelson Muñíz</t>
  </si>
  <si>
    <t>Júlio Berrios</t>
  </si>
  <si>
    <t>Hassiem Mwangi</t>
  </si>
  <si>
    <t>Harold Pearce</t>
  </si>
  <si>
    <t>Adrián Vallejo</t>
  </si>
  <si>
    <t>Jorge Gómez</t>
  </si>
  <si>
    <t>Felipe Rodríguez</t>
  </si>
  <si>
    <t>Miguel Carrión</t>
  </si>
  <si>
    <t>Canales</t>
  </si>
  <si>
    <t>Jeremy</t>
  </si>
  <si>
    <t>86-88 Mph</t>
  </si>
  <si>
    <t>Adams</t>
  </si>
  <si>
    <t>Norberto</t>
  </si>
  <si>
    <t>Jesús</t>
  </si>
  <si>
    <t>António</t>
  </si>
  <si>
    <t>Rafael</t>
  </si>
  <si>
    <t>Román</t>
  </si>
  <si>
    <t>Galván</t>
  </si>
  <si>
    <t>Cabrera</t>
  </si>
  <si>
    <t>Márquez</t>
  </si>
  <si>
    <t>Ernesto</t>
  </si>
  <si>
    <t>Benjamin</t>
  </si>
  <si>
    <t>González</t>
  </si>
  <si>
    <t>Harris</t>
  </si>
  <si>
    <t>Jimmy</t>
  </si>
  <si>
    <t>Carl</t>
  </si>
  <si>
    <t>Kevin Ramírez</t>
  </si>
  <si>
    <t>Manuel Cerda</t>
  </si>
  <si>
    <t>Dave Nash</t>
  </si>
  <si>
    <t>Felipe García</t>
  </si>
  <si>
    <t>Ernesto Villalobos</t>
  </si>
  <si>
    <t>Jesús Vásquez</t>
  </si>
  <si>
    <t>Yin-zhen Kan</t>
  </si>
  <si>
    <t>Shihei Matsubara</t>
  </si>
  <si>
    <t>Norberto Espinoza</t>
  </si>
  <si>
    <t>Keith Martin</t>
  </si>
  <si>
    <t>Xavier Mota</t>
  </si>
  <si>
    <t>John Neville</t>
  </si>
  <si>
    <t>Cheong-sang Yun</t>
  </si>
  <si>
    <t>Manuel Canales</t>
  </si>
  <si>
    <t>Louis Sunter</t>
  </si>
  <si>
    <t>Izumo Kondo</t>
  </si>
  <si>
    <t>Ton Takano</t>
  </si>
  <si>
    <t>Iwane Wada</t>
  </si>
  <si>
    <t>Riley Bozarth</t>
  </si>
  <si>
    <t>Aurelio Martínez</t>
  </si>
  <si>
    <t>Jessie Kimball</t>
  </si>
  <si>
    <t>Phil Mills</t>
  </si>
  <si>
    <t>Claudio Andrés</t>
  </si>
  <si>
    <t>Roger Ellison</t>
  </si>
  <si>
    <t>Aaron Harris</t>
  </si>
  <si>
    <t>Loren Hayes</t>
  </si>
  <si>
    <t>Jorge Pérez</t>
  </si>
  <si>
    <t>Shiro Sakai</t>
  </si>
  <si>
    <t>Gustavo Barajas</t>
  </si>
  <si>
    <t>Tony Báez</t>
  </si>
  <si>
    <t>C ABI</t>
  </si>
  <si>
    <t>Sct Acc</t>
  </si>
  <si>
    <t>Sandor</t>
  </si>
  <si>
    <t>Vis</t>
  </si>
  <si>
    <t>AMA</t>
  </si>
  <si>
    <t>2.5 Stars</t>
  </si>
  <si>
    <t>4.0 Stars</t>
  </si>
  <si>
    <t>DAVE</t>
  </si>
  <si>
    <t>PETERSEN</t>
  </si>
  <si>
    <t>3.0 Stars</t>
  </si>
  <si>
    <t>DB</t>
  </si>
  <si>
    <t>Ríos</t>
  </si>
  <si>
    <t>Edgardo</t>
  </si>
  <si>
    <t>Acarcon</t>
  </si>
  <si>
    <t>2.0 Stars</t>
  </si>
  <si>
    <t>Brown</t>
  </si>
  <si>
    <t>Ewan</t>
  </si>
  <si>
    <t>Carne</t>
  </si>
  <si>
    <t>Lindsay</t>
  </si>
  <si>
    <t>Durrington</t>
  </si>
  <si>
    <t>Average</t>
  </si>
  <si>
    <t>Mike</t>
  </si>
  <si>
    <t>Ichiro</t>
  </si>
  <si>
    <t>Kanno</t>
  </si>
  <si>
    <t>END</t>
  </si>
  <si>
    <t>Charles</t>
  </si>
  <si>
    <t>Lynch</t>
  </si>
  <si>
    <t>Pancho</t>
  </si>
  <si>
    <t>Jo</t>
  </si>
  <si>
    <t>Lonnie</t>
  </si>
  <si>
    <t>Paradise</t>
  </si>
  <si>
    <t>Rico</t>
  </si>
  <si>
    <t>Eduardo</t>
  </si>
  <si>
    <t>Rivera</t>
  </si>
  <si>
    <t>Romero</t>
  </si>
  <si>
    <t>Nikolay</t>
  </si>
  <si>
    <t>Rusanovsky</t>
  </si>
  <si>
    <t>Horiuchi</t>
  </si>
  <si>
    <t>Nicholas</t>
  </si>
  <si>
    <t>Carr</t>
  </si>
  <si>
    <t>Cartina</t>
  </si>
  <si>
    <t>Amdre</t>
  </si>
  <si>
    <t>Chandelier</t>
  </si>
  <si>
    <t>FAI</t>
  </si>
  <si>
    <t>1.0 Stars</t>
  </si>
  <si>
    <t>Bronson</t>
  </si>
  <si>
    <t>Coles</t>
  </si>
  <si>
    <t>Correa</t>
  </si>
  <si>
    <t>Doig</t>
  </si>
  <si>
    <t>1.5 Stars</t>
  </si>
  <si>
    <t>Domínguez</t>
  </si>
  <si>
    <t>PUE</t>
  </si>
  <si>
    <t>Evans</t>
  </si>
  <si>
    <t>Burt</t>
  </si>
  <si>
    <t>Fontenot</t>
  </si>
  <si>
    <t>UTR</t>
  </si>
  <si>
    <t>Gallegos</t>
  </si>
  <si>
    <t>0.5 Stars</t>
  </si>
  <si>
    <t>Gardner</t>
  </si>
  <si>
    <t>Bum-kyoo</t>
  </si>
  <si>
    <t>Jung-soo</t>
  </si>
  <si>
    <t>Leclair</t>
  </si>
  <si>
    <t>Miller</t>
  </si>
  <si>
    <t>Tokimasa</t>
  </si>
  <si>
    <t>Nan</t>
  </si>
  <si>
    <t>Valdespino</t>
  </si>
  <si>
    <t>Valverde</t>
  </si>
  <si>
    <t>Nathaniel</t>
  </si>
  <si>
    <t>Vanrenen</t>
  </si>
  <si>
    <t>Takeo</t>
  </si>
  <si>
    <t>Yamada</t>
  </si>
  <si>
    <t>Ichizo</t>
  </si>
  <si>
    <t>Yamashita</t>
  </si>
  <si>
    <t>Zocmaroa</t>
  </si>
  <si>
    <t>Cisco</t>
  </si>
  <si>
    <t>Alonzo</t>
  </si>
  <si>
    <t>Benigno</t>
  </si>
  <si>
    <t>Canseco</t>
  </si>
  <si>
    <t>Mario</t>
  </si>
  <si>
    <t>Carandini</t>
  </si>
  <si>
    <t>Alejandro</t>
  </si>
  <si>
    <t>Cardona</t>
  </si>
  <si>
    <t>Chae-ho</t>
  </si>
  <si>
    <t>Chang</t>
  </si>
  <si>
    <t>Cole</t>
  </si>
  <si>
    <t>Reginald</t>
  </si>
  <si>
    <t>Findlay</t>
  </si>
  <si>
    <t>Tai hoi</t>
  </si>
  <si>
    <t>Hsiao</t>
  </si>
  <si>
    <t>Ibarra</t>
  </si>
  <si>
    <t>Kefer</t>
  </si>
  <si>
    <t>Dennie</t>
  </si>
  <si>
    <t>Kruit</t>
  </si>
  <si>
    <t>Toribio</t>
  </si>
  <si>
    <t>Maggessi</t>
  </si>
  <si>
    <t>Medina</t>
  </si>
  <si>
    <t>Morales</t>
  </si>
  <si>
    <t>Mu-sang</t>
  </si>
  <si>
    <t>Owen</t>
  </si>
  <si>
    <t>Roosemont</t>
  </si>
  <si>
    <t>Masaki</t>
  </si>
  <si>
    <t>Micah</t>
  </si>
  <si>
    <t>Tattam</t>
  </si>
  <si>
    <t>Cory</t>
  </si>
  <si>
    <t>Taylor</t>
  </si>
  <si>
    <t>Yamamoto</t>
  </si>
  <si>
    <t>3.5 Stars</t>
  </si>
  <si>
    <t>Fa-hsien</t>
  </si>
  <si>
    <t>Zhang</t>
  </si>
  <si>
    <t>Alonso</t>
  </si>
  <si>
    <t>Ghidewon</t>
  </si>
  <si>
    <t>Boudiaf</t>
  </si>
  <si>
    <t>Chávez</t>
  </si>
  <si>
    <t>Johnny</t>
  </si>
  <si>
    <t>Clark</t>
  </si>
  <si>
    <t>Enrico</t>
  </si>
  <si>
    <t>Kazuyoshi</t>
  </si>
  <si>
    <t>Kamida</t>
  </si>
  <si>
    <t>Connor</t>
  </si>
  <si>
    <t>MacMarquis</t>
  </si>
  <si>
    <t>Magana</t>
  </si>
  <si>
    <t>César</t>
  </si>
  <si>
    <t>Shiba</t>
  </si>
  <si>
    <t>Omori</t>
  </si>
  <si>
    <t>Rosas</t>
  </si>
  <si>
    <t>Jerry</t>
  </si>
  <si>
    <t>Atkins</t>
  </si>
  <si>
    <t>Bettini</t>
  </si>
  <si>
    <t>Carranza</t>
  </si>
  <si>
    <t>Dennis</t>
  </si>
  <si>
    <t>Chew</t>
  </si>
  <si>
    <t>Ánibal</t>
  </si>
  <si>
    <t>Félix</t>
  </si>
  <si>
    <t>Duarte</t>
  </si>
  <si>
    <t>Azhar</t>
  </si>
  <si>
    <t>Gandapur</t>
  </si>
  <si>
    <t>Pete</t>
  </si>
  <si>
    <t>Yunes</t>
  </si>
  <si>
    <t>Kirimi</t>
  </si>
  <si>
    <t>Lehman</t>
  </si>
  <si>
    <t>Macías</t>
  </si>
  <si>
    <t>Lemma</t>
  </si>
  <si>
    <t>Maina</t>
  </si>
  <si>
    <t>Yaichiro</t>
  </si>
  <si>
    <t>Matsumoto</t>
  </si>
  <si>
    <t>Emílio</t>
  </si>
  <si>
    <t>Pacheco</t>
  </si>
  <si>
    <t>Yong-hoon</t>
  </si>
  <si>
    <t>Velásquez</t>
  </si>
  <si>
    <t>Wan-ling</t>
  </si>
  <si>
    <t>Zhou</t>
  </si>
  <si>
    <t>Zhang-sung</t>
  </si>
  <si>
    <t>POS2</t>
  </si>
  <si>
    <t>C3</t>
  </si>
  <si>
    <t>1B4</t>
  </si>
  <si>
    <t>2B5</t>
  </si>
  <si>
    <t>3B6</t>
  </si>
  <si>
    <t>SS7</t>
  </si>
  <si>
    <t>LF8</t>
  </si>
  <si>
    <t>CF9</t>
  </si>
  <si>
    <t>RF10</t>
  </si>
  <si>
    <t>Kelsey</t>
  </si>
  <si>
    <t>Buck</t>
  </si>
  <si>
    <t>4.5 Stars</t>
  </si>
  <si>
    <t>Ju-hyung</t>
  </si>
  <si>
    <t>JOHN</t>
  </si>
  <si>
    <t>TURNER</t>
  </si>
  <si>
    <t>Ford</t>
  </si>
  <si>
    <t>Moya</t>
  </si>
  <si>
    <t>Bang-xao</t>
  </si>
  <si>
    <t>Niu</t>
  </si>
  <si>
    <t>Shane</t>
  </si>
  <si>
    <t>Perales</t>
  </si>
  <si>
    <t>William</t>
  </si>
  <si>
    <t>Pollock</t>
  </si>
  <si>
    <t>Arroyo</t>
  </si>
  <si>
    <t>Edgar</t>
  </si>
  <si>
    <t>Calderón</t>
  </si>
  <si>
    <t>Pat</t>
  </si>
  <si>
    <t>Condon</t>
  </si>
  <si>
    <t>Bao-tian</t>
  </si>
  <si>
    <t>Dee</t>
  </si>
  <si>
    <t>DeNegri</t>
  </si>
  <si>
    <t>Hann</t>
  </si>
  <si>
    <t>Isamu</t>
  </si>
  <si>
    <t>Ohayashi</t>
  </si>
  <si>
    <t>Torcall</t>
  </si>
  <si>
    <t>Penrose</t>
  </si>
  <si>
    <t>Yukinaga</t>
  </si>
  <si>
    <t>Ando</t>
  </si>
  <si>
    <t>Bobby</t>
  </si>
  <si>
    <t>Hebert</t>
  </si>
  <si>
    <t>Ángelo</t>
  </si>
  <si>
    <t>Alvarado</t>
  </si>
  <si>
    <t>Stanley</t>
  </si>
  <si>
    <t>Anderson</t>
  </si>
  <si>
    <t>Jon</t>
  </si>
  <si>
    <t>Bunch</t>
  </si>
  <si>
    <t>Javier</t>
  </si>
  <si>
    <t>Carmona</t>
  </si>
  <si>
    <t>Harry</t>
  </si>
  <si>
    <t>Castillo</t>
  </si>
  <si>
    <t>Mark</t>
  </si>
  <si>
    <t>de Vries</t>
  </si>
  <si>
    <t>Juan Jose</t>
  </si>
  <si>
    <t>Deleón</t>
  </si>
  <si>
    <t>Durango</t>
  </si>
  <si>
    <t>Harrison</t>
  </si>
  <si>
    <t>Eggins</t>
  </si>
  <si>
    <t>Elizarraraz</t>
  </si>
  <si>
    <t>Roy</t>
  </si>
  <si>
    <t>Elliott</t>
  </si>
  <si>
    <t>Escobedo</t>
  </si>
  <si>
    <t>Winston</t>
  </si>
  <si>
    <t>Freake</t>
  </si>
  <si>
    <t>Fuentes</t>
  </si>
  <si>
    <t>Jeroen</t>
  </si>
  <si>
    <t>Heerland</t>
  </si>
  <si>
    <t>Eiske</t>
  </si>
  <si>
    <t>Hinkamp</t>
  </si>
  <si>
    <t>Jin-guo</t>
  </si>
  <si>
    <t>Joe</t>
  </si>
  <si>
    <t>Choon-mo</t>
  </si>
  <si>
    <t>Kick</t>
  </si>
  <si>
    <t>Kools</t>
  </si>
  <si>
    <t>Lewis</t>
  </si>
  <si>
    <t>Liu</t>
  </si>
  <si>
    <t>Daniel</t>
  </si>
  <si>
    <t>Esteban</t>
  </si>
  <si>
    <t>Tekle-Mariam</t>
  </si>
  <si>
    <t>Louahla</t>
  </si>
  <si>
    <t>Maldonado</t>
  </si>
  <si>
    <t>Tadataka</t>
  </si>
  <si>
    <t>Matsushita</t>
  </si>
  <si>
    <t>McNeal</t>
  </si>
  <si>
    <t>Celio</t>
  </si>
  <si>
    <t>Miguis</t>
  </si>
  <si>
    <t>Marcos</t>
  </si>
  <si>
    <t>Montaño</t>
  </si>
  <si>
    <t>Zack</t>
  </si>
  <si>
    <t>Musson</t>
  </si>
  <si>
    <t>Núñez</t>
  </si>
  <si>
    <t>Ryo</t>
  </si>
  <si>
    <t>Ota</t>
  </si>
  <si>
    <t>Sang-your</t>
  </si>
  <si>
    <t>Maaik</t>
  </si>
  <si>
    <t>Pott</t>
  </si>
  <si>
    <t>Rod</t>
  </si>
  <si>
    <t>Brian</t>
  </si>
  <si>
    <t>Rouhan</t>
  </si>
  <si>
    <t>Salcido</t>
  </si>
  <si>
    <t>Santos</t>
  </si>
  <si>
    <t>Shohei</t>
  </si>
  <si>
    <t>Whit</t>
  </si>
  <si>
    <t>Scott</t>
  </si>
  <si>
    <t>Seinosuke</t>
  </si>
  <si>
    <t>Shimizu</t>
  </si>
  <si>
    <t>Shini</t>
  </si>
  <si>
    <t>Mang</t>
  </si>
  <si>
    <t>Sun</t>
  </si>
  <si>
    <t>Naizen</t>
  </si>
  <si>
    <t>Sergio</t>
  </si>
  <si>
    <t>Valdés</t>
  </si>
  <si>
    <t>Rien</t>
  </si>
  <si>
    <t>Verberk</t>
  </si>
  <si>
    <t>Rhys</t>
  </si>
  <si>
    <t>Vivian</t>
  </si>
  <si>
    <t>Dan-zu</t>
  </si>
  <si>
    <t>Won</t>
  </si>
  <si>
    <t>Hong-bin</t>
  </si>
  <si>
    <t>Qui-li</t>
  </si>
  <si>
    <t>Lvl2</t>
  </si>
  <si>
    <t>At Now3</t>
  </si>
  <si>
    <t>Dave Petersen</t>
  </si>
  <si>
    <t>Sandor Vis</t>
  </si>
  <si>
    <t>Ryan Brown</t>
  </si>
  <si>
    <t>Nikolay Rusanovsky</t>
  </si>
  <si>
    <t>Lindsay Durrington</t>
  </si>
  <si>
    <t>Ewan Carne</t>
  </si>
  <si>
    <t>Kelsey Buck</t>
  </si>
  <si>
    <t>Carl Ford</t>
  </si>
  <si>
    <t>John Turner*~</t>
  </si>
  <si>
    <t>Dave Petersen*~</t>
  </si>
  <si>
    <t>Bernardo Rios*~</t>
  </si>
  <si>
    <t>Mike Ryan*~</t>
  </si>
  <si>
    <t>Edgardo Acarcon*~</t>
  </si>
  <si>
    <t>$1,000,000+</t>
  </si>
  <si>
    <t>Tomas Moya*~</t>
  </si>
  <si>
    <t>Kelsey Buck*~</t>
  </si>
  <si>
    <t>3 yrs, 0 days</t>
  </si>
  <si>
    <t>Ju-hyung Park*~</t>
  </si>
  <si>
    <t>Ryan Brown*~</t>
  </si>
  <si>
    <t>Nikolay Rusanovsky*~</t>
  </si>
  <si>
    <t>Ewan Carne*~</t>
  </si>
  <si>
    <t>Nathaniel Vanrenen*~</t>
  </si>
  <si>
    <t>0 yrs, 29 days</t>
  </si>
  <si>
    <t>Bang-xao Niu*~</t>
  </si>
  <si>
    <t>Lindsay Durrington*~</t>
  </si>
  <si>
    <t>Lonnie Paradise*~</t>
  </si>
  <si>
    <t>0 yrs, 106 days</t>
  </si>
  <si>
    <t>Rich Kefer*~</t>
  </si>
  <si>
    <t>1 yrs, 0 days</t>
  </si>
  <si>
    <t>Carl Ford*~</t>
  </si>
  <si>
    <t>Carlos Muniz*~</t>
  </si>
  <si>
    <t>Horiuchi Sugimoto*~</t>
  </si>
  <si>
    <t>Sandor Vis*~</t>
  </si>
  <si>
    <t>Enrique Vazquez</t>
  </si>
  <si>
    <t>Mike Ryan</t>
  </si>
  <si>
    <t>Ju-hyung Park</t>
  </si>
  <si>
    <t>Tomás Moya</t>
  </si>
  <si>
    <t>Nathaniel Vanrenen</t>
  </si>
  <si>
    <t>Lonnie Paradise</t>
  </si>
  <si>
    <t>Bang-xao Niu</t>
  </si>
  <si>
    <t>Third Baseman</t>
  </si>
  <si>
    <t>CON2</t>
  </si>
  <si>
    <t>GAP3</t>
  </si>
  <si>
    <t>POW4</t>
  </si>
  <si>
    <t>EYE5</t>
  </si>
  <si>
    <t>K's6</t>
  </si>
  <si>
    <t>CON P7</t>
  </si>
  <si>
    <t>GAP P8</t>
  </si>
  <si>
    <t>POW P9</t>
  </si>
  <si>
    <t>EYE P10</t>
  </si>
  <si>
    <t>K P11</t>
  </si>
  <si>
    <t>IF ARM12</t>
  </si>
  <si>
    <t>OF ARM13</t>
  </si>
  <si>
    <t>C ARM14</t>
  </si>
  <si>
    <t>C15</t>
  </si>
  <si>
    <t>1B16</t>
  </si>
  <si>
    <t>2B17</t>
  </si>
  <si>
    <t>3B18</t>
  </si>
  <si>
    <t>SS19</t>
  </si>
  <si>
    <t>LF20</t>
  </si>
  <si>
    <t>CF21</t>
  </si>
  <si>
    <t>RF22</t>
  </si>
  <si>
    <t>SPE23</t>
  </si>
  <si>
    <t>STE24</t>
  </si>
  <si>
    <t>RUN25</t>
  </si>
  <si>
    <t>Pot26</t>
  </si>
  <si>
    <t>Def27</t>
  </si>
  <si>
    <t>Run28</t>
  </si>
  <si>
    <t>At Now2</t>
  </si>
  <si>
    <t>STU3</t>
  </si>
  <si>
    <t>MOV4</t>
  </si>
  <si>
    <t>CON5</t>
  </si>
  <si>
    <t>STU P6</t>
  </si>
  <si>
    <t>MOV P7</t>
  </si>
  <si>
    <t>CON P8</t>
  </si>
  <si>
    <t>FB9</t>
  </si>
  <si>
    <t>FBP10</t>
  </si>
  <si>
    <t>CH11</t>
  </si>
  <si>
    <t>CHP12</t>
  </si>
  <si>
    <t>CB13</t>
  </si>
  <si>
    <t>CBP14</t>
  </si>
  <si>
    <t>SL15</t>
  </si>
  <si>
    <t>SLP16</t>
  </si>
  <si>
    <t>SI17</t>
  </si>
  <si>
    <t>SIP18</t>
  </si>
  <si>
    <t>SP19</t>
  </si>
  <si>
    <t>SPP20</t>
  </si>
  <si>
    <t>CT21</t>
  </si>
  <si>
    <t>CTP22</t>
  </si>
  <si>
    <t>FO23</t>
  </si>
  <si>
    <t>FOP24</t>
  </si>
  <si>
    <t>CC25</t>
  </si>
  <si>
    <t>CCP26</t>
  </si>
  <si>
    <t>SC27</t>
  </si>
  <si>
    <t>SCP28</t>
  </si>
  <si>
    <t>KC29</t>
  </si>
  <si>
    <t>KCP30</t>
  </si>
  <si>
    <t>KN31</t>
  </si>
  <si>
    <t>KNP32</t>
  </si>
  <si>
    <t>Escamilla</t>
  </si>
  <si>
    <t>Dmitri</t>
  </si>
  <si>
    <t>Eric</t>
  </si>
  <si>
    <t>Constable</t>
  </si>
  <si>
    <t>Esmonde</t>
  </si>
  <si>
    <t>Aidan</t>
  </si>
  <si>
    <t>Parra</t>
  </si>
  <si>
    <t>Han-seung</t>
  </si>
  <si>
    <t>Micheal</t>
  </si>
  <si>
    <t>Vázquez</t>
  </si>
  <si>
    <t>ENRIQUE</t>
  </si>
  <si>
    <t>Carmelo</t>
  </si>
  <si>
    <t>Lamberti</t>
  </si>
  <si>
    <t>PAT</t>
  </si>
  <si>
    <t>CONDON</t>
  </si>
  <si>
    <t>Forrest</t>
  </si>
  <si>
    <t>Carrillo</t>
  </si>
  <si>
    <t>De Los Santos</t>
  </si>
  <si>
    <t>Nobuhiko</t>
  </si>
  <si>
    <t>Endo</t>
  </si>
  <si>
    <t>Reggie</t>
  </si>
  <si>
    <t>Fleming</t>
  </si>
  <si>
    <t>BOB</t>
  </si>
  <si>
    <t>QUINN</t>
  </si>
  <si>
    <t>Kieran</t>
  </si>
  <si>
    <t>Robertson</t>
  </si>
  <si>
    <t>Lorenzo López</t>
  </si>
  <si>
    <t>Carmelo Lamberti</t>
  </si>
  <si>
    <t>Norberto Escamilla</t>
  </si>
  <si>
    <t>Dmitri Hill</t>
  </si>
  <si>
    <t>Norberto Escamilla*~</t>
  </si>
  <si>
    <t>Iwao Yamamoto</t>
  </si>
  <si>
    <t>António Domínguez</t>
  </si>
  <si>
    <t>Tai Hoi Hsiao</t>
  </si>
  <si>
    <t>Tomás Rivera</t>
  </si>
  <si>
    <t>Benigno Canseco</t>
  </si>
  <si>
    <t>Jorge Rosas</t>
  </si>
  <si>
    <t>Pat Condon</t>
  </si>
  <si>
    <t>Brian Rouhan</t>
  </si>
  <si>
    <t>Ron Medina</t>
  </si>
  <si>
    <t>2032 Shopping List</t>
  </si>
  <si>
    <t>2033 Draft Priorities</t>
  </si>
  <si>
    <t>Hitters - anywhere</t>
  </si>
  <si>
    <t>Roberto Martinez</t>
  </si>
  <si>
    <t>Fernando</t>
  </si>
  <si>
    <t>Botinho</t>
  </si>
  <si>
    <t>Jordan</t>
  </si>
  <si>
    <t>Broadhead</t>
  </si>
  <si>
    <t>Tristão</t>
  </si>
  <si>
    <t>Capa</t>
  </si>
  <si>
    <t>Torres</t>
  </si>
  <si>
    <t>Quintanilla</t>
  </si>
  <si>
    <t>Jared</t>
  </si>
  <si>
    <t>Hopkins</t>
  </si>
  <si>
    <t>Willie</t>
  </si>
  <si>
    <t>McCoy</t>
  </si>
  <si>
    <t>Waller</t>
  </si>
  <si>
    <t>Brandon</t>
  </si>
  <si>
    <t>Fell</t>
  </si>
  <si>
    <t>Peter</t>
  </si>
  <si>
    <t>Streets</t>
  </si>
  <si>
    <t>Valéncia</t>
  </si>
  <si>
    <t>Billy</t>
  </si>
  <si>
    <t>Allen</t>
  </si>
  <si>
    <t>Jake</t>
  </si>
  <si>
    <t>Cunningham</t>
  </si>
  <si>
    <t>Takahashi</t>
  </si>
  <si>
    <t>Shi-kai</t>
  </si>
  <si>
    <t>Tong</t>
  </si>
  <si>
    <t>Chang-wei</t>
  </si>
  <si>
    <t>Xú</t>
  </si>
  <si>
    <t>Júlio</t>
  </si>
  <si>
    <t>Yánez</t>
  </si>
  <si>
    <t>Cesar</t>
  </si>
  <si>
    <t>Salgado</t>
  </si>
  <si>
    <t>Michael</t>
  </si>
  <si>
    <t>Barber</t>
  </si>
  <si>
    <t>Hachemon</t>
  </si>
  <si>
    <t>Rios</t>
  </si>
  <si>
    <t>VAZQUEZ</t>
  </si>
  <si>
    <t>Lopez</t>
  </si>
  <si>
    <t>Gomez</t>
  </si>
  <si>
    <t>Cesar Salgado</t>
  </si>
  <si>
    <t>Horiuchi Sugimoto</t>
  </si>
  <si>
    <t>Bernardo Rios</t>
  </si>
  <si>
    <t>António Correa</t>
  </si>
  <si>
    <t>AAA: SS, Corner OF</t>
  </si>
  <si>
    <t>Enrique Vazquez*~</t>
  </si>
  <si>
    <t>9 yrs, 15 days</t>
  </si>
  <si>
    <r>
      <t>$44,980,000</t>
    </r>
    <r>
      <rPr>
        <vertAlign val="superscript"/>
        <sz val="8"/>
        <color rgb="FF000000"/>
        <rFont val="Verdana"/>
        <family val="2"/>
      </rPr>
      <t>to</t>
    </r>
  </si>
  <si>
    <t>12 yrs, 119 days</t>
  </si>
  <si>
    <t>Luis Cruz*~</t>
  </si>
  <si>
    <t>0 yrs, 40 days</t>
  </si>
  <si>
    <r>
      <t>$17,610,000+</t>
    </r>
    <r>
      <rPr>
        <vertAlign val="superscript"/>
        <sz val="8"/>
        <color rgb="FF000000"/>
        <rFont val="Verdana"/>
        <family val="2"/>
      </rPr>
      <t>to</t>
    </r>
  </si>
  <si>
    <t>12 yrs, 62 days</t>
  </si>
  <si>
    <t>Roberto Martinez*~</t>
  </si>
  <si>
    <t>7 yrs, 3 days</t>
  </si>
  <si>
    <r>
      <t>$9,000,000</t>
    </r>
    <r>
      <rPr>
        <vertAlign val="superscript"/>
        <sz val="8"/>
        <color rgb="FF000000"/>
        <rFont val="Verdana"/>
        <family val="2"/>
      </rPr>
      <t>to</t>
    </r>
  </si>
  <si>
    <t>4 yrs, 0 days</t>
  </si>
  <si>
    <t>6 yrs, 15 days</t>
  </si>
  <si>
    <r>
      <t>$2,800,000</t>
    </r>
    <r>
      <rPr>
        <vertAlign val="superscript"/>
        <sz val="8"/>
        <color rgb="FF000000"/>
        <rFont val="Verdana"/>
        <family val="2"/>
      </rPr>
      <t>to</t>
    </r>
  </si>
  <si>
    <t>3 yrs, 91 days</t>
  </si>
  <si>
    <t>1 yrs, 36 days</t>
  </si>
  <si>
    <t>5 yrs, 77 days</t>
  </si>
  <si>
    <t>Juan Gomez*~</t>
  </si>
  <si>
    <t>3 yrs, 161 days</t>
  </si>
  <si>
    <t>$930,000+</t>
  </si>
  <si>
    <t>6 yrs, 143 days</t>
  </si>
  <si>
    <r>
      <t>$930,000</t>
    </r>
    <r>
      <rPr>
        <vertAlign val="superscript"/>
        <sz val="8"/>
        <color rgb="FF000000"/>
        <rFont val="Verdana"/>
        <family val="2"/>
      </rPr>
      <t>to</t>
    </r>
  </si>
  <si>
    <t>4 yrs, 27 days</t>
  </si>
  <si>
    <t>Elvis Mason</t>
  </si>
  <si>
    <t>1 yrs, 50 days</t>
  </si>
  <si>
    <t>$850,000+</t>
  </si>
  <si>
    <t>2 yrs, 161 days</t>
  </si>
  <si>
    <t>$800,000+</t>
  </si>
  <si>
    <t>Carmelo Lamberti*~</t>
  </si>
  <si>
    <t>$560,000+</t>
  </si>
  <si>
    <t>Lorenzo Lopez*~</t>
  </si>
  <si>
    <t>0 yrs, 7 days</t>
  </si>
  <si>
    <t>Manuel Canales*~</t>
  </si>
  <si>
    <t>1 yrs, 29 days</t>
  </si>
  <si>
    <t>2 yrs, 21 days</t>
  </si>
  <si>
    <t>2 yrs, 99 days</t>
  </si>
  <si>
    <t>2 yrs, 49 days</t>
  </si>
  <si>
    <t>1 yrs, 106 days</t>
  </si>
  <si>
    <t>Cesar Salgado*~</t>
  </si>
  <si>
    <t>3 yrs, 76 days</t>
  </si>
  <si>
    <t>Anthony Green</t>
  </si>
  <si>
    <t>Torcall Penrose</t>
  </si>
  <si>
    <t>2 yrs, 30 days</t>
  </si>
  <si>
    <t>Vito DeNegri~</t>
  </si>
  <si>
    <t>Iwao Maruyama~!</t>
  </si>
  <si>
    <t>6 yrs, 117 days</t>
  </si>
  <si>
    <t>4 yrs, 130 days</t>
  </si>
  <si>
    <t>5 yrs, 21 days</t>
  </si>
  <si>
    <t>VÁZQUEZ</t>
  </si>
  <si>
    <t>Very Low</t>
  </si>
  <si>
    <t>Núñes</t>
  </si>
  <si>
    <t>Foster</t>
  </si>
  <si>
    <t>Beatty</t>
  </si>
  <si>
    <t>Stephen</t>
  </si>
  <si>
    <t>Urbina</t>
  </si>
  <si>
    <t>Kevin</t>
  </si>
  <si>
    <t>Ramírez</t>
  </si>
  <si>
    <t>MICHAEL</t>
  </si>
  <si>
    <t>BARBER</t>
  </si>
  <si>
    <t>Elvis</t>
  </si>
  <si>
    <t>Mason</t>
  </si>
  <si>
    <t>Bradford</t>
  </si>
  <si>
    <t>Frank</t>
  </si>
  <si>
    <t>Smith</t>
  </si>
  <si>
    <t>R.J.</t>
  </si>
  <si>
    <t>Rogers</t>
  </si>
  <si>
    <t>Larry</t>
  </si>
  <si>
    <t>Willis</t>
  </si>
  <si>
    <t>Cedric</t>
  </si>
  <si>
    <t>Wilson</t>
  </si>
  <si>
    <t>Rob</t>
  </si>
  <si>
    <t>ENRIQUE VÁZQUEZ</t>
  </si>
  <si>
    <t>Juan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</si>
</sst>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0.000"/>
    <numFmt numFmtId="167" formatCode="0.0%"/>
    <numFmt numFmtId="168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02CC49"/>
      <name val="Verdana"/>
      <family val="2"/>
    </font>
    <font>
      <strike/>
      <sz val="11"/>
      <color theme="1"/>
      <name val="Calibri"/>
      <family val="2"/>
      <scheme val="minor"/>
    </font>
    <font>
      <sz val="10"/>
      <color rgb="FF1B1B1B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2CC4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7"/>
      <color rgb="FF000000"/>
      <name val="Verdana"/>
      <family val="2"/>
    </font>
    <font>
      <vertAlign val="superscript"/>
      <sz val="8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EDEDED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/>
      <top style="medium">
        <color rgb="FF999999"/>
      </top>
      <bottom/>
      <diagonal/>
    </border>
    <border>
      <left/>
      <right/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/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A0A09E"/>
      </bottom>
      <diagonal/>
    </border>
    <border>
      <left/>
      <right/>
      <top/>
      <bottom style="medium">
        <color rgb="FFEBE9E9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2" fontId="0" fillId="0" borderId="0" xfId="0" applyNumberFormat="1"/>
    <xf numFmtId="1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6" fontId="0" fillId="0" borderId="0" xfId="0" applyNumberFormat="1"/>
    <xf numFmtId="9" fontId="0" fillId="0" borderId="1" xfId="0" applyNumberFormat="1" applyBorder="1"/>
    <xf numFmtId="0" fontId="3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1" fillId="0" borderId="3" xfId="0" applyFont="1" applyBorder="1"/>
    <xf numFmtId="0" fontId="0" fillId="0" borderId="3" xfId="0" applyBorder="1"/>
    <xf numFmtId="6" fontId="0" fillId="0" borderId="3" xfId="0" applyNumberFormat="1" applyBorder="1"/>
    <xf numFmtId="0" fontId="1" fillId="0" borderId="0" xfId="0" applyFont="1" applyAlignment="1">
      <alignment textRotation="90"/>
    </xf>
    <xf numFmtId="0" fontId="1" fillId="0" borderId="0" xfId="0" applyFont="1" applyAlignment="1"/>
    <xf numFmtId="0" fontId="0" fillId="0" borderId="0" xfId="0" applyAlignment="1"/>
    <xf numFmtId="0" fontId="10" fillId="0" borderId="0" xfId="0" applyFont="1"/>
    <xf numFmtId="0" fontId="10" fillId="0" borderId="1" xfId="0" applyFont="1" applyBorder="1"/>
    <xf numFmtId="2" fontId="10" fillId="0" borderId="0" xfId="0" applyNumberFormat="1" applyFont="1"/>
    <xf numFmtId="2" fontId="10" fillId="0" borderId="0" xfId="0" applyNumberFormat="1" applyFont="1" applyBorder="1"/>
    <xf numFmtId="1" fontId="10" fillId="0" borderId="0" xfId="0" applyNumberFormat="1" applyFont="1"/>
    <xf numFmtId="0" fontId="1" fillId="0" borderId="5" xfId="0" applyFont="1" applyBorder="1"/>
    <xf numFmtId="0" fontId="0" fillId="0" borderId="6" xfId="0" applyBorder="1" applyAlignment="1"/>
    <xf numFmtId="0" fontId="0" fillId="0" borderId="6" xfId="0" applyBorder="1"/>
    <xf numFmtId="0" fontId="0" fillId="0" borderId="7" xfId="0" applyBorder="1" applyAlignment="1"/>
    <xf numFmtId="0" fontId="1" fillId="0" borderId="8" xfId="0" applyFont="1" applyBorder="1"/>
    <xf numFmtId="0" fontId="0" fillId="0" borderId="0" xfId="0" applyBorder="1" applyAlignment="1"/>
    <xf numFmtId="0" fontId="0" fillId="0" borderId="1" xfId="0" applyBorder="1" applyAlignment="1"/>
    <xf numFmtId="0" fontId="1" fillId="0" borderId="9" xfId="0" applyFont="1" applyBorder="1"/>
    <xf numFmtId="0" fontId="0" fillId="0" borderId="10" xfId="0" applyBorder="1" applyAlignment="1"/>
    <xf numFmtId="0" fontId="0" fillId="0" borderId="10" xfId="0" applyBorder="1"/>
    <xf numFmtId="0" fontId="0" fillId="0" borderId="11" xfId="0" applyBorder="1" applyAlignment="1"/>
    <xf numFmtId="0" fontId="1" fillId="0" borderId="12" xfId="0" applyFont="1" applyBorder="1"/>
    <xf numFmtId="0" fontId="1" fillId="0" borderId="3" xfId="0" applyFont="1" applyBorder="1" applyAlignment="1"/>
    <xf numFmtId="0" fontId="9" fillId="0" borderId="3" xfId="0" applyFont="1" applyBorder="1" applyAlignment="1">
      <alignment textRotation="90"/>
    </xf>
    <xf numFmtId="0" fontId="8" fillId="0" borderId="3" xfId="0" applyFont="1" applyBorder="1" applyAlignment="1">
      <alignment textRotation="90"/>
    </xf>
    <xf numFmtId="0" fontId="11" fillId="0" borderId="3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0" borderId="13" xfId="0" applyFont="1" applyBorder="1" applyAlignment="1">
      <alignment textRotation="90"/>
    </xf>
    <xf numFmtId="0" fontId="1" fillId="0" borderId="13" xfId="0" applyFont="1" applyBorder="1" applyAlignment="1"/>
    <xf numFmtId="0" fontId="9" fillId="0" borderId="12" xfId="0" applyFont="1" applyBorder="1" applyAlignment="1">
      <alignment textRotation="9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11" fillId="0" borderId="12" xfId="0" applyFont="1" applyBorder="1" applyAlignment="1">
      <alignment textRotation="90"/>
    </xf>
    <xf numFmtId="0" fontId="11" fillId="0" borderId="13" xfId="0" applyFont="1" applyBorder="1" applyAlignment="1">
      <alignment textRotation="90"/>
    </xf>
    <xf numFmtId="0" fontId="0" fillId="0" borderId="5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9" fillId="0" borderId="13" xfId="0" applyFont="1" applyBorder="1" applyAlignment="1">
      <alignment textRotation="90"/>
    </xf>
    <xf numFmtId="0" fontId="0" fillId="0" borderId="7" xfId="0" applyBorder="1"/>
    <xf numFmtId="0" fontId="0" fillId="0" borderId="11" xfId="0" applyBorder="1"/>
    <xf numFmtId="0" fontId="1" fillId="0" borderId="12" xfId="0" applyFont="1" applyBorder="1" applyAlignment="1">
      <alignment textRotation="90"/>
    </xf>
    <xf numFmtId="0" fontId="8" fillId="0" borderId="12" xfId="0" applyFont="1" applyBorder="1" applyAlignment="1">
      <alignment textRotation="90"/>
    </xf>
    <xf numFmtId="0" fontId="0" fillId="0" borderId="0" xfId="0" applyFill="1" applyBorder="1" applyAlignment="1"/>
    <xf numFmtId="0" fontId="1" fillId="0" borderId="4" xfId="0" applyFont="1" applyBorder="1" applyAlignment="1">
      <alignment textRotation="90"/>
    </xf>
    <xf numFmtId="2" fontId="0" fillId="0" borderId="14" xfId="0" applyNumberFormat="1" applyBorder="1"/>
    <xf numFmtId="2" fontId="0" fillId="0" borderId="15" xfId="0" applyNumberFormat="1" applyBorder="1"/>
    <xf numFmtId="2" fontId="0" fillId="0" borderId="11" xfId="0" applyNumberFormat="1" applyBorder="1"/>
    <xf numFmtId="0" fontId="1" fillId="0" borderId="13" xfId="0" applyFont="1" applyBorder="1"/>
    <xf numFmtId="0" fontId="10" fillId="0" borderId="8" xfId="0" applyFont="1" applyBorder="1"/>
    <xf numFmtId="0" fontId="10" fillId="0" borderId="0" xfId="0" applyFont="1" applyBorder="1"/>
    <xf numFmtId="0" fontId="1" fillId="0" borderId="0" xfId="0" applyFont="1" applyBorder="1" applyAlignment="1"/>
    <xf numFmtId="0" fontId="11" fillId="0" borderId="3" xfId="0" applyFont="1" applyFill="1" applyBorder="1" applyAlignment="1">
      <alignment textRotation="90"/>
    </xf>
    <xf numFmtId="0" fontId="11" fillId="0" borderId="13" xfId="0" applyFont="1" applyFill="1" applyBorder="1" applyAlignment="1">
      <alignment textRotation="90"/>
    </xf>
    <xf numFmtId="0" fontId="11" fillId="0" borderId="4" xfId="0" applyFont="1" applyBorder="1" applyAlignment="1">
      <alignment textRotation="90"/>
    </xf>
    <xf numFmtId="0" fontId="0" fillId="0" borderId="14" xfId="0" applyBorder="1"/>
    <xf numFmtId="0" fontId="0" fillId="0" borderId="15" xfId="0" applyBorder="1"/>
    <xf numFmtId="0" fontId="11" fillId="0" borderId="12" xfId="0" applyFont="1" applyFill="1" applyBorder="1" applyAlignment="1">
      <alignment textRotation="90"/>
    </xf>
    <xf numFmtId="9" fontId="0" fillId="0" borderId="1" xfId="3" applyFont="1" applyBorder="1"/>
    <xf numFmtId="9" fontId="0" fillId="0" borderId="11" xfId="3" applyFont="1" applyBorder="1"/>
    <xf numFmtId="9" fontId="10" fillId="0" borderId="1" xfId="0" applyNumberFormat="1" applyFont="1" applyBorder="1"/>
    <xf numFmtId="164" fontId="0" fillId="0" borderId="0" xfId="0" applyNumberFormat="1" applyBorder="1"/>
    <xf numFmtId="1" fontId="0" fillId="0" borderId="0" xfId="0" applyNumberFormat="1" applyBorder="1"/>
    <xf numFmtId="165" fontId="0" fillId="0" borderId="0" xfId="2" applyNumberFormat="1" applyFont="1"/>
    <xf numFmtId="165" fontId="10" fillId="0" borderId="0" xfId="2" applyNumberFormat="1" applyFont="1"/>
    <xf numFmtId="0" fontId="1" fillId="0" borderId="4" xfId="0" applyFont="1" applyBorder="1"/>
    <xf numFmtId="0" fontId="1" fillId="5" borderId="4" xfId="0" applyFont="1" applyFill="1" applyBorder="1"/>
    <xf numFmtId="0" fontId="0" fillId="5" borderId="14" xfId="0" applyFill="1" applyBorder="1"/>
    <xf numFmtId="0" fontId="0" fillId="5" borderId="15" xfId="0" applyFill="1" applyBorder="1"/>
    <xf numFmtId="0" fontId="0" fillId="0" borderId="0" xfId="0" applyFill="1"/>
    <xf numFmtId="165" fontId="0" fillId="0" borderId="0" xfId="2" applyNumberFormat="1" applyFont="1" applyFill="1"/>
    <xf numFmtId="2" fontId="0" fillId="0" borderId="0" xfId="0" applyNumberFormat="1" applyFill="1"/>
    <xf numFmtId="2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/>
    <xf numFmtId="9" fontId="0" fillId="0" borderId="0" xfId="3" applyFon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7" fillId="0" borderId="0" xfId="0" applyFont="1" applyFill="1"/>
    <xf numFmtId="0" fontId="1" fillId="0" borderId="0" xfId="0" applyFont="1" applyFill="1" applyBorder="1"/>
    <xf numFmtId="0" fontId="10" fillId="0" borderId="0" xfId="0" applyFont="1" applyFill="1"/>
    <xf numFmtId="9" fontId="0" fillId="0" borderId="0" xfId="3" applyFont="1" applyAlignment="1">
      <alignment horizontal="left"/>
    </xf>
    <xf numFmtId="0" fontId="10" fillId="0" borderId="0" xfId="0" applyFont="1" applyFill="1" applyBorder="1"/>
    <xf numFmtId="0" fontId="0" fillId="0" borderId="0" xfId="0" applyFont="1"/>
    <xf numFmtId="165" fontId="0" fillId="0" borderId="0" xfId="0" applyNumberFormat="1"/>
    <xf numFmtId="6" fontId="0" fillId="0" borderId="3" xfId="0" applyNumberFormat="1" applyFont="1" applyBorder="1"/>
    <xf numFmtId="0" fontId="11" fillId="0" borderId="0" xfId="0" applyFont="1" applyFill="1" applyBorder="1"/>
    <xf numFmtId="9" fontId="0" fillId="0" borderId="0" xfId="3" applyFont="1" applyBorder="1" applyAlignment="1">
      <alignment horizontal="left"/>
    </xf>
    <xf numFmtId="9" fontId="0" fillId="0" borderId="0" xfId="3" applyFont="1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left" wrapText="1"/>
    </xf>
    <xf numFmtId="6" fontId="3" fillId="4" borderId="20" xfId="0" applyNumberFormat="1" applyFont="1" applyFill="1" applyBorder="1" applyAlignment="1">
      <alignment horizontal="right" wrapText="1"/>
    </xf>
    <xf numFmtId="6" fontId="3" fillId="2" borderId="20" xfId="0" applyNumberFormat="1" applyFont="1" applyFill="1" applyBorder="1" applyAlignment="1">
      <alignment horizontal="right" wrapText="1"/>
    </xf>
    <xf numFmtId="0" fontId="3" fillId="4" borderId="20" xfId="0" applyFont="1" applyFill="1" applyBorder="1" applyAlignment="1">
      <alignment horizontal="right" wrapText="1"/>
    </xf>
    <xf numFmtId="3" fontId="3" fillId="4" borderId="20" xfId="0" applyNumberFormat="1" applyFont="1" applyFill="1" applyBorder="1" applyAlignment="1">
      <alignment horizontal="right" wrapText="1"/>
    </xf>
    <xf numFmtId="3" fontId="3" fillId="2" borderId="20" xfId="0" applyNumberFormat="1" applyFont="1" applyFill="1" applyBorder="1" applyAlignment="1">
      <alignment horizontal="right" wrapText="1"/>
    </xf>
    <xf numFmtId="6" fontId="13" fillId="4" borderId="20" xfId="0" applyNumberFormat="1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left" wrapText="1"/>
    </xf>
    <xf numFmtId="6" fontId="13" fillId="2" borderId="22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4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quotePrefix="1" applyFont="1" applyFill="1" applyBorder="1" applyAlignment="1">
      <alignment horizontal="left" wrapText="1"/>
    </xf>
    <xf numFmtId="0" fontId="0" fillId="0" borderId="23" xfId="0" applyBorder="1"/>
    <xf numFmtId="0" fontId="0" fillId="0" borderId="24" xfId="0" applyBorder="1"/>
    <xf numFmtId="166" fontId="0" fillId="0" borderId="24" xfId="0" applyNumberFormat="1" applyBorder="1"/>
    <xf numFmtId="0" fontId="0" fillId="0" borderId="19" xfId="0" applyBorder="1"/>
    <xf numFmtId="0" fontId="3" fillId="4" borderId="17" xfId="0" applyFont="1" applyFill="1" applyBorder="1" applyAlignment="1">
      <alignment horizontal="left" wrapText="1"/>
    </xf>
    <xf numFmtId="166" fontId="0" fillId="0" borderId="0" xfId="0" applyNumberFormat="1"/>
    <xf numFmtId="14" fontId="0" fillId="0" borderId="0" xfId="0" applyNumberFormat="1"/>
    <xf numFmtId="0" fontId="12" fillId="6" borderId="17" xfId="0" applyFont="1" applyFill="1" applyBorder="1" applyAlignment="1">
      <alignment wrapText="1"/>
    </xf>
    <xf numFmtId="0" fontId="12" fillId="6" borderId="0" xfId="0" applyFont="1" applyFill="1" applyBorder="1" applyAlignment="1">
      <alignment wrapText="1"/>
    </xf>
    <xf numFmtId="3" fontId="3" fillId="4" borderId="0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right" wrapText="1"/>
    </xf>
    <xf numFmtId="6" fontId="3" fillId="2" borderId="0" xfId="0" applyNumberFormat="1" applyFont="1" applyFill="1" applyBorder="1" applyAlignment="1">
      <alignment horizontal="right" wrapText="1"/>
    </xf>
    <xf numFmtId="6" fontId="3" fillId="4" borderId="0" xfId="0" applyNumberFormat="1" applyFont="1" applyFill="1" applyBorder="1" applyAlignment="1">
      <alignment horizontal="right" wrapText="1"/>
    </xf>
    <xf numFmtId="6" fontId="13" fillId="4" borderId="0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6" fontId="13" fillId="2" borderId="27" xfId="0" applyNumberFormat="1" applyFont="1" applyFill="1" applyBorder="1" applyAlignment="1">
      <alignment horizontal="right" wrapText="1"/>
    </xf>
    <xf numFmtId="167" fontId="3" fillId="4" borderId="20" xfId="3" applyNumberFormat="1" applyFont="1" applyFill="1" applyBorder="1" applyAlignment="1">
      <alignment horizontal="right" wrapText="1"/>
    </xf>
    <xf numFmtId="167" fontId="3" fillId="2" borderId="20" xfId="3" applyNumberFormat="1" applyFont="1" applyFill="1" applyBorder="1" applyAlignment="1">
      <alignment horizontal="right" wrapText="1"/>
    </xf>
    <xf numFmtId="167" fontId="13" fillId="4" borderId="20" xfId="3" applyNumberFormat="1" applyFont="1" applyFill="1" applyBorder="1" applyAlignment="1">
      <alignment horizontal="right" wrapText="1"/>
    </xf>
    <xf numFmtId="167" fontId="13" fillId="2" borderId="22" xfId="3" applyNumberFormat="1" applyFont="1" applyFill="1" applyBorder="1" applyAlignment="1">
      <alignment horizontal="right" wrapText="1"/>
    </xf>
    <xf numFmtId="0" fontId="12" fillId="6" borderId="26" xfId="0" applyFont="1" applyFill="1" applyBorder="1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8" fontId="0" fillId="0" borderId="0" xfId="4" applyNumberFormat="1" applyFont="1"/>
    <xf numFmtId="0" fontId="0" fillId="0" borderId="17" xfId="0" applyBorder="1"/>
    <xf numFmtId="0" fontId="0" fillId="0" borderId="21" xfId="0" applyBorder="1"/>
    <xf numFmtId="0" fontId="3" fillId="4" borderId="26" xfId="0" applyFont="1" applyFill="1" applyBorder="1" applyAlignment="1">
      <alignment horizontal="left" wrapText="1"/>
    </xf>
    <xf numFmtId="44" fontId="0" fillId="0" borderId="18" xfId="2" applyFont="1" applyBorder="1"/>
    <xf numFmtId="0" fontId="0" fillId="0" borderId="20" xfId="0" applyBorder="1"/>
    <xf numFmtId="168" fontId="0" fillId="0" borderId="20" xfId="4" applyNumberFormat="1" applyFont="1" applyBorder="1"/>
    <xf numFmtId="165" fontId="0" fillId="0" borderId="20" xfId="2" applyNumberFormat="1" applyFont="1" applyBorder="1"/>
    <xf numFmtId="44" fontId="0" fillId="0" borderId="20" xfId="2" applyFont="1" applyBorder="1"/>
    <xf numFmtId="0" fontId="3" fillId="2" borderId="19" xfId="0" quotePrefix="1" applyFont="1" applyFill="1" applyBorder="1" applyAlignment="1">
      <alignment horizontal="left" wrapText="1"/>
    </xf>
    <xf numFmtId="165" fontId="0" fillId="0" borderId="22" xfId="2" applyNumberFormat="1" applyFont="1" applyBorder="1"/>
    <xf numFmtId="0" fontId="0" fillId="0" borderId="28" xfId="0" applyBorder="1"/>
    <xf numFmtId="0" fontId="0" fillId="0" borderId="29" xfId="0" applyBorder="1"/>
    <xf numFmtId="0" fontId="3" fillId="2" borderId="27" xfId="0" applyFont="1" applyFill="1" applyBorder="1" applyAlignment="1">
      <alignment horizontal="left" wrapText="1"/>
    </xf>
    <xf numFmtId="168" fontId="3" fillId="4" borderId="0" xfId="0" applyNumberFormat="1" applyFont="1" applyFill="1" applyBorder="1" applyAlignment="1">
      <alignment horizontal="right" wrapText="1"/>
    </xf>
    <xf numFmtId="8" fontId="3" fillId="4" borderId="0" xfId="0" applyNumberFormat="1" applyFont="1" applyFill="1" applyBorder="1" applyAlignment="1">
      <alignment horizontal="right" wrapText="1"/>
    </xf>
    <xf numFmtId="6" fontId="3" fillId="2" borderId="27" xfId="0" applyNumberFormat="1" applyFont="1" applyFill="1" applyBorder="1" applyAlignment="1">
      <alignment horizontal="right" wrapText="1"/>
    </xf>
    <xf numFmtId="167" fontId="3" fillId="2" borderId="22" xfId="3" applyNumberFormat="1" applyFont="1" applyFill="1" applyBorder="1" applyAlignment="1">
      <alignment horizontal="right" wrapText="1"/>
    </xf>
    <xf numFmtId="0" fontId="0" fillId="0" borderId="16" xfId="0" applyBorder="1"/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25" xfId="3" applyNumberFormat="1" applyFont="1" applyBorder="1"/>
    <xf numFmtId="0" fontId="0" fillId="0" borderId="1" xfId="0" applyBorder="1"/>
    <xf numFmtId="0" fontId="1" fillId="0" borderId="3" xfId="0" applyFont="1" applyBorder="1"/>
    <xf numFmtId="0" fontId="0" fillId="0" borderId="1" xfId="0" applyBorder="1"/>
    <xf numFmtId="0" fontId="4" fillId="0" borderId="0" xfId="0" applyFont="1" applyBorder="1" applyAlignment="1">
      <alignment horizontal="left" wrapText="1"/>
    </xf>
    <xf numFmtId="6" fontId="4" fillId="0" borderId="0" xfId="0" applyNumberFormat="1" applyFont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/>
    <xf numFmtId="6" fontId="0" fillId="8" borderId="0" xfId="0" applyNumberFormat="1" applyFill="1"/>
    <xf numFmtId="0" fontId="0" fillId="7" borderId="0" xfId="0" applyFill="1"/>
    <xf numFmtId="6" fontId="0" fillId="7" borderId="0" xfId="0" applyNumberFormat="1" applyFill="1"/>
    <xf numFmtId="165" fontId="0" fillId="7" borderId="0" xfId="2" applyNumberFormat="1" applyFont="1" applyFill="1"/>
    <xf numFmtId="0" fontId="4" fillId="0" borderId="10" xfId="0" applyFont="1" applyBorder="1" applyAlignment="1">
      <alignment horizontal="left" wrapText="1"/>
    </xf>
    <xf numFmtId="6" fontId="4" fillId="0" borderId="10" xfId="0" applyNumberFormat="1" applyFont="1" applyBorder="1" applyAlignment="1">
      <alignment horizontal="right" wrapText="1"/>
    </xf>
    <xf numFmtId="0" fontId="0" fillId="0" borderId="0" xfId="0" applyBorder="1"/>
    <xf numFmtId="0" fontId="0" fillId="0" borderId="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10" fillId="5" borderId="0" xfId="0" applyFont="1" applyFill="1" applyBorder="1"/>
    <xf numFmtId="0" fontId="10" fillId="5" borderId="0" xfId="0" applyFont="1" applyFill="1"/>
    <xf numFmtId="0" fontId="0" fillId="5" borderId="0" xfId="0" applyFill="1"/>
    <xf numFmtId="0" fontId="0" fillId="5" borderId="1" xfId="0" applyFill="1" applyBorder="1"/>
    <xf numFmtId="165" fontId="0" fillId="5" borderId="0" xfId="2" applyNumberFormat="1" applyFont="1" applyFill="1"/>
    <xf numFmtId="2" fontId="0" fillId="5" borderId="0" xfId="0" applyNumberFormat="1" applyFill="1"/>
    <xf numFmtId="2" fontId="0" fillId="5" borderId="0" xfId="0" applyNumberFormat="1" applyFill="1" applyBorder="1"/>
    <xf numFmtId="0" fontId="0" fillId="5" borderId="8" xfId="0" applyFill="1" applyBorder="1"/>
    <xf numFmtId="0" fontId="0" fillId="5" borderId="0" xfId="0" applyFill="1" applyBorder="1"/>
    <xf numFmtId="1" fontId="0" fillId="5" borderId="0" xfId="0" applyNumberFormat="1" applyFill="1"/>
    <xf numFmtId="9" fontId="0" fillId="0" borderId="0" xfId="3" applyFont="1" applyBorder="1" applyAlignment="1"/>
    <xf numFmtId="0" fontId="11" fillId="0" borderId="4" xfId="0" applyFont="1" applyFill="1" applyBorder="1" applyAlignment="1">
      <alignment textRotation="90"/>
    </xf>
    <xf numFmtId="2" fontId="0" fillId="0" borderId="16" xfId="0" applyNumberFormat="1" applyBorder="1"/>
    <xf numFmtId="0" fontId="1" fillId="0" borderId="0" xfId="0" applyFont="1" applyAlignment="1">
      <alignment horizontal="right"/>
    </xf>
    <xf numFmtId="2" fontId="0" fillId="0" borderId="0" xfId="0" applyNumberFormat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Fill="1" applyBorder="1" applyAlignment="1"/>
    <xf numFmtId="0" fontId="0" fillId="0" borderId="0" xfId="0" applyBorder="1"/>
    <xf numFmtId="0" fontId="0" fillId="0" borderId="10" xfId="0" applyBorder="1"/>
    <xf numFmtId="0" fontId="1" fillId="0" borderId="6" xfId="0" applyFont="1" applyBorder="1"/>
    <xf numFmtId="6" fontId="0" fillId="0" borderId="6" xfId="0" applyNumberFormat="1" applyBorder="1"/>
    <xf numFmtId="6" fontId="0" fillId="0" borderId="0" xfId="0" applyNumberFormat="1" applyBorder="1"/>
    <xf numFmtId="0" fontId="1" fillId="0" borderId="10" xfId="0" applyFont="1" applyBorder="1"/>
    <xf numFmtId="6" fontId="0" fillId="0" borderId="10" xfId="0" applyNumberFormat="1" applyBorder="1"/>
    <xf numFmtId="0" fontId="0" fillId="0" borderId="8" xfId="0" applyBorder="1"/>
    <xf numFmtId="0" fontId="0" fillId="0" borderId="0" xfId="0" applyBorder="1"/>
    <xf numFmtId="0" fontId="0" fillId="0" borderId="1" xfId="0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/>
    <xf numFmtId="0" fontId="10" fillId="8" borderId="0" xfId="0" applyFont="1" applyFill="1"/>
    <xf numFmtId="0" fontId="0" fillId="0" borderId="8" xfId="0" applyBorder="1"/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10" xfId="0" applyFill="1" applyBorder="1"/>
    <xf numFmtId="0" fontId="0" fillId="0" borderId="0" xfId="0" applyFill="1" applyAlignment="1"/>
    <xf numFmtId="0" fontId="1" fillId="0" borderId="3" xfId="0" applyFont="1" applyFill="1" applyBorder="1" applyAlignment="1"/>
    <xf numFmtId="0" fontId="0" fillId="0" borderId="10" xfId="0" applyFill="1" applyBorder="1" applyAlignment="1"/>
    <xf numFmtId="0" fontId="0" fillId="0" borderId="0" xfId="0" applyBorder="1"/>
    <xf numFmtId="0" fontId="4" fillId="4" borderId="0" xfId="0" applyFont="1" applyFill="1" applyAlignment="1">
      <alignment horizontal="right" wrapText="1"/>
    </xf>
    <xf numFmtId="166" fontId="0" fillId="0" borderId="19" xfId="0" applyNumberFormat="1" applyBorder="1"/>
    <xf numFmtId="167" fontId="0" fillId="0" borderId="21" xfId="3" applyNumberFormat="1" applyFont="1" applyBorder="1"/>
    <xf numFmtId="44" fontId="0" fillId="0" borderId="26" xfId="2" applyFont="1" applyBorder="1"/>
    <xf numFmtId="168" fontId="0" fillId="0" borderId="0" xfId="4" applyNumberFormat="1" applyFont="1" applyBorder="1"/>
    <xf numFmtId="165" fontId="0" fillId="0" borderId="0" xfId="2" applyNumberFormat="1" applyFont="1" applyBorder="1"/>
    <xf numFmtId="44" fontId="0" fillId="0" borderId="0" xfId="2" applyFont="1" applyBorder="1"/>
    <xf numFmtId="165" fontId="0" fillId="0" borderId="27" xfId="2" applyNumberFormat="1" applyFont="1" applyBorder="1"/>
    <xf numFmtId="0" fontId="0" fillId="0" borderId="0" xfId="0" applyBorder="1"/>
    <xf numFmtId="0" fontId="0" fillId="0" borderId="1" xfId="0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8" xfId="0" applyBorder="1"/>
    <xf numFmtId="0" fontId="10" fillId="5" borderId="1" xfId="0" applyFont="1" applyFill="1" applyBorder="1"/>
    <xf numFmtId="9" fontId="10" fillId="5" borderId="1" xfId="0" applyNumberFormat="1" applyFont="1" applyFill="1" applyBorder="1"/>
    <xf numFmtId="165" fontId="10" fillId="5" borderId="0" xfId="2" applyNumberFormat="1" applyFont="1" applyFill="1"/>
    <xf numFmtId="2" fontId="10" fillId="5" borderId="0" xfId="0" applyNumberFormat="1" applyFont="1" applyFill="1"/>
    <xf numFmtId="2" fontId="10" fillId="5" borderId="0" xfId="0" applyNumberFormat="1" applyFont="1" applyFill="1" applyBorder="1"/>
    <xf numFmtId="1" fontId="10" fillId="5" borderId="0" xfId="0" applyNumberFormat="1" applyFont="1" applyFill="1" applyBorder="1"/>
    <xf numFmtId="164" fontId="10" fillId="5" borderId="0" xfId="0" applyNumberFormat="1" applyFont="1" applyFill="1" applyBorder="1"/>
    <xf numFmtId="0" fontId="0" fillId="0" borderId="0" xfId="0"/>
    <xf numFmtId="0" fontId="0" fillId="0" borderId="0" xfId="0" applyFill="1"/>
    <xf numFmtId="0" fontId="15" fillId="4" borderId="35" xfId="0" applyFont="1" applyFill="1" applyBorder="1" applyAlignment="1">
      <alignment horizontal="left" vertical="top"/>
    </xf>
    <xf numFmtId="0" fontId="15" fillId="4" borderId="35" xfId="0" applyFont="1" applyFill="1" applyBorder="1" applyAlignment="1">
      <alignment horizontal="right" vertical="top"/>
    </xf>
    <xf numFmtId="6" fontId="15" fillId="4" borderId="35" xfId="0" applyNumberFormat="1" applyFont="1" applyFill="1" applyBorder="1" applyAlignment="1">
      <alignment horizontal="right" vertical="top"/>
    </xf>
    <xf numFmtId="6" fontId="17" fillId="4" borderId="35" xfId="0" applyNumberFormat="1" applyFont="1" applyFill="1" applyBorder="1" applyAlignment="1">
      <alignment horizontal="right" vertical="top"/>
    </xf>
    <xf numFmtId="0" fontId="5" fillId="4" borderId="35" xfId="1" applyFill="1" applyBorder="1" applyAlignment="1" applyProtection="1">
      <alignment horizontal="left" vertical="top"/>
    </xf>
    <xf numFmtId="3" fontId="15" fillId="4" borderId="35" xfId="0" applyNumberFormat="1" applyFont="1" applyFill="1" applyBorder="1" applyAlignment="1">
      <alignment horizontal="right" vertical="top"/>
    </xf>
    <xf numFmtId="6" fontId="18" fillId="4" borderId="35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right" wrapText="1"/>
    </xf>
    <xf numFmtId="6" fontId="4" fillId="4" borderId="0" xfId="0" applyNumberFormat="1" applyFont="1" applyFill="1" applyAlignment="1">
      <alignment horizontal="right" wrapText="1"/>
    </xf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8" xfId="0" applyBorder="1"/>
    <xf numFmtId="0" fontId="0" fillId="0" borderId="0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0" xfId="0" applyFill="1" applyBorder="1"/>
    <xf numFmtId="0" fontId="0" fillId="0" borderId="0" xfId="0" applyFill="1" applyBorder="1"/>
    <xf numFmtId="0" fontId="5" fillId="2" borderId="0" xfId="1" applyFill="1" applyAlignment="1" applyProtection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6" fontId="3" fillId="2" borderId="0" xfId="0" applyNumberFormat="1" applyFont="1" applyFill="1" applyAlignment="1">
      <alignment horizontal="right" vertical="center" wrapText="1"/>
    </xf>
    <xf numFmtId="0" fontId="5" fillId="3" borderId="0" xfId="1" applyFill="1" applyAlignment="1" applyProtection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6" fontId="3" fillId="3" borderId="0" xfId="0" applyNumberFormat="1" applyFont="1" applyFill="1" applyAlignment="1">
      <alignment horizontal="right" vertical="center" wrapText="1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0" xfId="0" applyFill="1" applyBorder="1"/>
    <xf numFmtId="0" fontId="0" fillId="0" borderId="8" xfId="0" applyBorder="1"/>
    <xf numFmtId="0" fontId="16" fillId="9" borderId="34" xfId="0" applyFont="1" applyFill="1" applyBorder="1" applyAlignment="1">
      <alignment horizontal="left" vertical="top"/>
    </xf>
    <xf numFmtId="0" fontId="0" fillId="4" borderId="0" xfId="0" applyFill="1"/>
    <xf numFmtId="6" fontId="19" fillId="4" borderId="35" xfId="0" applyNumberFormat="1" applyFont="1" applyFill="1" applyBorder="1" applyAlignment="1">
      <alignment horizontal="right" vertical="top"/>
    </xf>
    <xf numFmtId="0" fontId="0" fillId="0" borderId="0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0" xfId="0" applyFill="1" applyBorder="1"/>
    <xf numFmtId="0" fontId="0" fillId="0" borderId="8" xfId="0" applyBorder="1"/>
    <xf numFmtId="0" fontId="0" fillId="0" borderId="0" xfId="0" applyFill="1" applyBorder="1"/>
    <xf numFmtId="0" fontId="11" fillId="0" borderId="16" xfId="0" applyFont="1" applyFill="1" applyBorder="1" applyAlignment="1">
      <alignment textRotation="90"/>
    </xf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1" fillId="0" borderId="16" xfId="0" applyFont="1" applyFill="1" applyBorder="1" applyAlignment="1">
      <alignment textRotation="90"/>
    </xf>
    <xf numFmtId="0" fontId="1" fillId="0" borderId="4" xfId="0" applyFont="1" applyFill="1" applyBorder="1" applyAlignment="1">
      <alignment textRotation="90"/>
    </xf>
    <xf numFmtId="0" fontId="0" fillId="0" borderId="0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0" xfId="0" applyFill="1" applyBorder="1"/>
    <xf numFmtId="0" fontId="0" fillId="0" borderId="8" xfId="0" applyBorder="1"/>
    <xf numFmtId="6" fontId="20" fillId="10" borderId="0" xfId="0" applyNumberFormat="1" applyFont="1" applyFill="1" applyAlignment="1">
      <alignment horizontal="right" vertical="center" wrapText="1"/>
    </xf>
    <xf numFmtId="0" fontId="0" fillId="0" borderId="5" xfId="0" applyFont="1" applyBorder="1"/>
    <xf numFmtId="165" fontId="0" fillId="0" borderId="6" xfId="2" applyNumberFormat="1" applyFont="1" applyBorder="1"/>
    <xf numFmtId="165" fontId="0" fillId="0" borderId="7" xfId="2" applyNumberFormat="1" applyFont="1" applyBorder="1"/>
    <xf numFmtId="165" fontId="0" fillId="0" borderId="1" xfId="2" applyNumberFormat="1" applyFont="1" applyBorder="1"/>
    <xf numFmtId="0" fontId="5" fillId="2" borderId="8" xfId="1" applyFill="1" applyBorder="1" applyAlignment="1" applyProtection="1">
      <alignment horizontal="left" vertical="center" wrapText="1"/>
    </xf>
    <xf numFmtId="165" fontId="0" fillId="0" borderId="10" xfId="2" applyNumberFormat="1" applyFont="1" applyBorder="1"/>
    <xf numFmtId="165" fontId="0" fillId="0" borderId="11" xfId="2" applyNumberFormat="1" applyFont="1" applyBorder="1"/>
    <xf numFmtId="0" fontId="0" fillId="0" borderId="0" xfId="0" applyBorder="1"/>
    <xf numFmtId="0" fontId="0" fillId="0" borderId="1" xfId="0" applyBorder="1"/>
    <xf numFmtId="0" fontId="4" fillId="10" borderId="0" xfId="0" applyFont="1" applyFill="1" applyAlignment="1">
      <alignment horizontal="left" vertical="center" wrapText="1"/>
    </xf>
    <xf numFmtId="0" fontId="4" fillId="10" borderId="0" xfId="0" applyFont="1" applyFill="1" applyAlignment="1">
      <alignment horizontal="right" vertical="center" wrapText="1"/>
    </xf>
    <xf numFmtId="6" fontId="4" fillId="10" borderId="0" xfId="0" applyNumberFormat="1" applyFont="1" applyFill="1" applyAlignment="1">
      <alignment horizontal="right" vertical="center" wrapText="1"/>
    </xf>
    <xf numFmtId="0" fontId="0" fillId="0" borderId="8" xfId="0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14" xfId="0" applyFont="1" applyFill="1" applyBorder="1"/>
    <xf numFmtId="0" fontId="0" fillId="0" borderId="0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8" xfId="0" applyFont="1" applyFill="1" applyBorder="1"/>
    <xf numFmtId="0" fontId="0" fillId="0" borderId="0" xfId="0" applyFont="1" applyFill="1" applyBorder="1"/>
    <xf numFmtId="0" fontId="0" fillId="0" borderId="1" xfId="0" applyFont="1" applyFill="1" applyBorder="1"/>
    <xf numFmtId="0" fontId="14" fillId="0" borderId="0" xfId="0" applyFont="1" applyBorder="1"/>
    <xf numFmtId="0" fontId="14" fillId="0" borderId="1" xfId="0" applyFont="1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8" xfId="0" applyBorder="1"/>
    <xf numFmtId="0" fontId="0" fillId="0" borderId="14" xfId="0" applyFill="1" applyBorder="1"/>
    <xf numFmtId="0" fontId="4" fillId="10" borderId="0" xfId="0" applyFont="1" applyFill="1" applyAlignment="1">
      <alignment horizontal="left" vertical="center" wrapText="1"/>
    </xf>
    <xf numFmtId="0" fontId="20" fillId="10" borderId="0" xfId="0" applyFont="1" applyFill="1" applyAlignment="1">
      <alignment horizontal="left" vertical="center" wrapText="1"/>
    </xf>
    <xf numFmtId="0" fontId="16" fillId="9" borderId="34" xfId="0" applyFont="1" applyFill="1" applyBorder="1" applyAlignment="1">
      <alignment horizontal="left" vertical="top"/>
    </xf>
    <xf numFmtId="0" fontId="12" fillId="6" borderId="17" xfId="0" applyFont="1" applyFill="1" applyBorder="1" applyAlignment="1">
      <alignment wrapText="1"/>
    </xf>
    <xf numFmtId="0" fontId="12" fillId="6" borderId="18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5">
    <cellStyle name="Comma" xfId="4" builtinId="3"/>
    <cellStyle name="Currency" xfId="2" builtinId="4"/>
    <cellStyle name="Hyperlink" xfId="1" builtinId="8"/>
    <cellStyle name="Normal" xfId="0" builtinId="0"/>
    <cellStyle name="Percent" xfId="3" builtinId="5"/>
  </cellStyles>
  <dxfs count="42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ont>
        <color theme="6" tint="-0.24994659260841701"/>
      </font>
      <fill>
        <patternFill>
          <bgColor theme="0" tint="-0.14996795556505021"/>
        </patternFill>
      </fill>
    </dxf>
    <dxf>
      <font>
        <color rgb="FFFFC000"/>
      </font>
    </dxf>
    <dxf>
      <font>
        <color rgb="FFC00000"/>
      </font>
    </dxf>
    <dxf>
      <fill>
        <patternFill>
          <bgColor theme="4" tint="0.59996337778862885"/>
        </patternFill>
      </fill>
    </dxf>
    <dxf>
      <font>
        <color theme="6" tint="-0.24994659260841701"/>
      </font>
      <fill>
        <patternFill>
          <bgColor theme="0" tint="-0.14996795556505021"/>
        </patternFill>
      </fill>
    </dxf>
    <dxf>
      <font>
        <color rgb="FFFFC000"/>
      </font>
    </dxf>
    <dxf>
      <font>
        <color rgb="FFC00000"/>
      </font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numFmt numFmtId="2" formatCode="0.00"/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/>
  <colors>
    <mruColors>
      <color rgb="FFEDE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526C9A-4135-45F7-9067-7D67A8F813FC}" name="AllBatters" displayName="AllBatters" ref="A10:CR146" totalsRowShown="0" headerRowDxfId="423" dataDxfId="422">
  <autoFilter ref="A10:CR146" xr:uid="{60643D54-CB43-4CA3-9E3A-C4AB354C1E67}"/>
  <sortState xmlns:xlrd2="http://schemas.microsoft.com/office/spreadsheetml/2017/richdata2" ref="A11:CR146">
    <sortCondition descending="1" ref="AU11:AU146"/>
    <sortCondition descending="1" ref="AW11:AW146"/>
  </sortState>
  <tableColumns count="96">
    <tableColumn id="1" xr3:uid="{E169BCDA-EE60-4927-A006-B0EA6289C497}" name="Name" dataDxfId="421">
      <calculatedColumnFormula>H11&amp;" "&amp;I11</calculatedColumnFormula>
    </tableColumn>
    <tableColumn id="2" xr3:uid="{8ED1F449-D9E7-4CBB-8004-1C053A7D44DC}" name="Lvl" dataDxfId="420">
      <calculatedColumnFormula>IF(ISERROR(VLOOKUP(A11,AMA!$C$3:$C$24,1,FALSE)),IF(ISERROR(VLOOKUP(A11,'END-AAA'!$C$6:$C$33,1,FALSE)),IF(ISERROR(VLOOKUP(A11,'DB-AA'!$C$6:$C$33,1,FALSE)),IF(ISERROR(VLOOKUP(A11,'UTR-A'!$C$6:$C$33,1,FALSE)),IF(ISERROR(VLOOKUP(A11,'FAI-S A'!$C$6:$C$33,1,FALSE)),"","S A"),"A"),"AA"),"AAA"),"ML")</calculatedColumnFormula>
    </tableColumn>
    <tableColumn id="3" xr3:uid="{7137B0C9-554F-4A62-999D-E410700DAEFB}" name="Pos" dataDxfId="419"/>
    <tableColumn id="4" xr3:uid="{E6132F28-0FE9-413C-9B88-F63BCCCA0FF0}" name="fLin" dataDxfId="418">
      <calculatedColumnFormula>IF(BL11=1,3,IF(BM11=1,4,IF(BJ11=1,1,IF(BN11=1,5,IF(BK11=1,2,IF(BO11=1,6,IF(BP11=1,7,IF(BQ11=1,8,IF(BR11=1,9,"-")))))))))</calculatedColumnFormula>
    </tableColumn>
    <tableColumn id="5" xr3:uid="{57453E0C-51D5-41B8-9F00-C2A12A9C5175}" name="pLin" dataDxfId="417">
      <calculatedColumnFormula>IF(BC11=1,3,IF(BD11=1,4,IF(BA11=1,1,IF(BE11=1,5,IF(BB11=1,2,IF(BF11=1,6,IF(BG11=1,7,IF(BH11=1,8,IF(BI11=1,9,"-")))))))))</calculatedColumnFormula>
    </tableColumn>
    <tableColumn id="6" xr3:uid="{0B282C27-D196-483C-8D69-A1BACFF99386}" name="Act" dataDxfId="416">
      <calculatedColumnFormula>IF(OR(OR(Q11="Very High",Q11="High"),AND(OR(Q11="Very High",Q11="High",Q11="Normal"),OR(R11="Very High",R11="High"))),"K","T")</calculatedColumnFormula>
    </tableColumn>
    <tableColumn id="7" xr3:uid="{248FE0CE-4A8A-4340-A649-31F5F9416D2F}" name="POS2" dataDxfId="415"/>
    <tableColumn id="8" xr3:uid="{24C453E6-EDE8-4AF5-B268-60542957EAD2}" name="First" dataDxfId="414"/>
    <tableColumn id="9" xr3:uid="{450C2FF3-F0FE-4BC9-B16D-FEBC4D9430EC}" name="Last" dataDxfId="413"/>
    <tableColumn id="10" xr3:uid="{A186A0A2-A667-43DA-9A99-88B93D5DA120}" name="Tm" dataDxfId="412"/>
    <tableColumn id="11" xr3:uid="{95DDB6EB-0843-452A-9FFB-B0985EF399BD}" name="Lev" dataDxfId="411"/>
    <tableColumn id="12" xr3:uid="{C6405A03-952C-4AD1-86A7-DDC12D1597E7}" name="Age" dataDxfId="410"/>
    <tableColumn id="13" xr3:uid="{B8989F78-6387-4607-921A-E2A65C4FF8CA}" name="B" dataDxfId="409"/>
    <tableColumn id="14" xr3:uid="{D8213D3F-EC0D-4138-9C95-FF66F85170ED}" name="T" dataDxfId="408"/>
    <tableColumn id="15" xr3:uid="{33B239C0-840E-4B99-8BAD-11A622140AD9}" name="OVR" dataDxfId="407"/>
    <tableColumn id="16" xr3:uid="{A1F1DCC6-D004-4588-BFF4-7C376AD3E657}" name="POT" dataDxfId="406"/>
    <tableColumn id="17" xr3:uid="{469495F5-ECF7-40A8-9FB2-4B4BB5CD2EB9}" name="WE" dataDxfId="405"/>
    <tableColumn id="18" xr3:uid="{DF4B0C10-ED0C-44A4-AB40-8D5BA84C16FB}" name="INT" dataDxfId="404"/>
    <tableColumn id="19" xr3:uid="{A3BCF086-AC77-49EF-B0B4-20B622ACCDB1}" name="CON" dataDxfId="403"/>
    <tableColumn id="20" xr3:uid="{108B829D-3A94-4F48-829C-94981153813C}" name="GAP" dataDxfId="402"/>
    <tableColumn id="21" xr3:uid="{E9137068-3BC4-4E28-BB3C-034BA766DEC6}" name="POW" dataDxfId="401"/>
    <tableColumn id="22" xr3:uid="{6AB1EFE7-C730-4CBB-8480-52DCB5B1F1E8}" name="EYE" dataDxfId="400"/>
    <tableColumn id="23" xr3:uid="{388474B2-B4A6-468D-8762-758D037C443D}" name="K's" dataDxfId="399"/>
    <tableColumn id="24" xr3:uid="{17275710-96AC-4519-AB43-5E1AF5CCC895}" name="CON P" dataDxfId="398"/>
    <tableColumn id="25" xr3:uid="{B3376057-B5B9-457C-99E9-00D6A8E9AD5E}" name="GAP P" dataDxfId="397"/>
    <tableColumn id="26" xr3:uid="{CEDF335F-083A-4026-A2B7-526182DAF5E8}" name="POW P" dataDxfId="396"/>
    <tableColumn id="27" xr3:uid="{C21894A1-FCCA-42B9-A07A-30F4EE23F57E}" name="EYE P" dataDxfId="395"/>
    <tableColumn id="28" xr3:uid="{B8D64D50-B255-4B8E-AAC0-3E8C2A118FDC}" name="K P" dataDxfId="394"/>
    <tableColumn id="29" xr3:uid="{8352076F-F4E1-470D-A3BE-AA0B3DA1E8EA}" name="IF ARM" dataDxfId="393"/>
    <tableColumn id="30" xr3:uid="{337A8772-20E9-411F-BACE-E8FE0B0DA7D1}" name="OF ARM" dataDxfId="392"/>
    <tableColumn id="31" xr3:uid="{D1E60EC4-02E2-4A2F-8759-FFCE3814D812}" name="C ARM" dataDxfId="391"/>
    <tableColumn id="32" xr3:uid="{FA6D629D-7089-4CF6-9A0C-B9A0E4489DC4}" name="C ABI" dataDxfId="390"/>
    <tableColumn id="33" xr3:uid="{48CDF00B-43BD-45B9-B9CC-2F414E4F53F5}" name="C" dataDxfId="389"/>
    <tableColumn id="34" xr3:uid="{5F011449-E4CF-41B2-B7F8-DE693E098A0B}" name="1B" dataDxfId="388"/>
    <tableColumn id="35" xr3:uid="{F14CA32D-C44A-4736-8DA7-06BD3D6673BE}" name="2B" dataDxfId="387"/>
    <tableColumn id="36" xr3:uid="{4C584B62-86C4-4AB7-B1D6-E5B15C719D82}" name="3B" dataDxfId="386"/>
    <tableColumn id="37" xr3:uid="{5D1DC9D1-0604-4C6B-BB0E-4E57EE7E85EB}" name="SS" dataDxfId="385"/>
    <tableColumn id="38" xr3:uid="{2A360269-8B90-4183-AFC9-8607AB5BAA6D}" name="LF" dataDxfId="384"/>
    <tableColumn id="39" xr3:uid="{6B31B12B-E655-4F5F-B16F-C6DC4F536AC5}" name="CF" dataDxfId="383"/>
    <tableColumn id="40" xr3:uid="{8E0A77B6-97BA-4992-B625-F22083AF3701}" name="RF" dataDxfId="382"/>
    <tableColumn id="41" xr3:uid="{933CACB1-19FF-4565-88D3-700F64EBC979}" name="SPE" dataDxfId="381"/>
    <tableColumn id="42" xr3:uid="{198F02E6-D60E-4A85-B7E5-FD573660760E}" name="STE" dataDxfId="380"/>
    <tableColumn id="43" xr3:uid="{3E827621-7169-4DD0-96CA-CC5223DCB18F}" name="RUN" dataDxfId="379"/>
    <tableColumn id="44" xr3:uid="{6EAA5FCA-7BA7-4BEA-BB8A-E977CEB88971}" name="SLR" dataDxfId="378" dataCellStyle="Currency"/>
    <tableColumn id="45" xr3:uid="{AEF86258-F1BB-4D72-BC91-55794A09AEAB}" name="YL" dataDxfId="377"/>
    <tableColumn id="46" xr3:uid="{CD11753A-9522-41B2-8DD6-B3235A172698}" name="Sct Acc" dataDxfId="376"/>
    <tableColumn id="47" xr3:uid="{E1CA494C-BE54-4C49-BB0F-9A222EE65263}" name="nCPE Avg" dataDxfId="375">
      <calculatedColumnFormula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calculatedColumnFormula>
    </tableColumn>
    <tableColumn id="48" xr3:uid="{6B476D67-063F-48E3-8DE8-690010A88258}" name="At Now" dataDxfId="374">
      <calculatedColumnFormula>IF(AU11&gt;9,"SuperStar",IF(AU11&gt;8,"Star",IF(AU11&gt;6.5,"GoodReg",IF(AU11&gt;5,"Reg",IF(AU11&gt;4,"Bench","Minors")))))</calculatedColumnFormula>
    </tableColumn>
    <tableColumn id="49" xr3:uid="{3809E7AD-7BB5-4B4F-BF80-52EB77936A15}" name="fCPE Avg" dataDxfId="373">
      <calculatedColumnFormula>AVERAGE(X11,Z11,AA11)+IF(OR(X11&gt;7,AND(X11&gt;5,AA11&gt;5)),0.5,0)+IF(Z11&gt;7,0.25,0)+IF(X11&lt;6,-0.5*(6-X11),0)</calculatedColumnFormula>
    </tableColumn>
    <tableColumn id="50" xr3:uid="{CCCCE07D-17AD-4ED8-ADE2-F00E79F8FFE7}" name="At Pot" dataDxfId="372">
      <calculatedColumnFormula>IF(AW11&gt;9,"SuperStar",IF(AW11&gt;8,"Star",IF(AW11&gt;6.5,"GoodReg",IF(AW11&gt;5,"Reg",IF(AW11&gt;4,"Bench","Minors")))))</calculatedColumnFormula>
    </tableColumn>
    <tableColumn id="51" xr3:uid="{5A17F6D5-C610-4F9F-ADED-0A4968CED158}" name="Exp" dataDxfId="371">
      <calculatedColumnFormula>MIN(AU11+(MAX(0,25-L11))^1.5,AW11)</calculatedColumnFormula>
    </tableColumn>
    <tableColumn id="52" xr3:uid="{0C85DEF0-AFAC-4BCD-816F-C6D5413FA4D7}" name="At Exp" dataDxfId="370">
      <calculatedColumnFormula>IF(AY11&gt;9,"SuperStar",IF(AY11&gt;8,"Star",IF(AY11&gt;6.5,"GoodReg",IF(AY11&gt;5,"Reg",IF(AY11&gt;4,"Bench","Minors")))))</calculatedColumnFormula>
    </tableColumn>
    <tableColumn id="53" xr3:uid="{66FFD4FA-4A8A-46B0-BF48-0A26B671E089}" name="n#1" dataDxfId="369">
      <calculatedColumnFormula>IF(AND(OR(S11+V11&gt;12,AND(S11&gt;6,V11&gt;6)),AO11&gt;6,OR(AP11&gt;=AO11,AP11&gt;6)),1,0)</calculatedColumnFormula>
    </tableColumn>
    <tableColumn id="54" xr3:uid="{8E458E73-30B3-4B83-88A8-0B49673F939E}" name="n#2" dataDxfId="368">
      <calculatedColumnFormula>IF(OR(AND(S11&gt;6,W11&gt;6),S11+V11&gt;12),1,0)</calculatedColumnFormula>
    </tableColumn>
    <tableColumn id="55" xr3:uid="{27736563-760C-42E9-92ED-781602CA8F98}" name="n#3" dataDxfId="367">
      <calculatedColumnFormula>IF(AND(S11&gt;6,U11&gt;6,V11&gt;6),1,0)</calculatedColumnFormula>
    </tableColumn>
    <tableColumn id="56" xr3:uid="{A441389C-4CB2-444B-B134-EE175C0431AC}" name="n#4" dataDxfId="366">
      <calculatedColumnFormula>IF(AND(U11&gt;7,OR(S11&gt;6,V11&gt;6)),1,0)</calculatedColumnFormula>
    </tableColumn>
    <tableColumn id="57" xr3:uid="{427F8200-F9A4-4B24-877A-2A8463F5F61E}" name="n#5" dataDxfId="365">
      <calculatedColumnFormula>IF(AND(U11&gt;6,OR(S11&gt;6,V11&gt;6)),1,0)</calculatedColumnFormula>
    </tableColumn>
    <tableColumn id="58" xr3:uid="{8C127964-CD85-4B37-AC3C-600B5C3BA8C0}" name="n#6" dataDxfId="364">
      <calculatedColumnFormula>IF(AND(OR(S11&gt;6,U11&gt;6),OR(S11&gt;6,V11&gt;6)),1,0)</calculatedColumnFormula>
    </tableColumn>
    <tableColumn id="59" xr3:uid="{36B6E0AD-FE79-4555-B125-3C618348DFF8}" name="n#7" dataDxfId="363">
      <calculatedColumnFormula>IF(AND(S11&gt;4,OR(S11&gt;6,U11&gt;6,V11&gt;6)),1,0)</calculatedColumnFormula>
    </tableColumn>
    <tableColumn id="60" xr3:uid="{D705E218-CC50-4908-BF71-B5190A5ACABD}" name="n#8" dataDxfId="362">
      <calculatedColumnFormula>IF(AND(S11&gt;4,OR(S11&gt;6,T11&gt;6,U11&gt;6,V11&gt;6)),1,0)</calculatedColumnFormula>
    </tableColumn>
    <tableColumn id="61" xr3:uid="{8CC4F79E-AEB5-4011-88B7-3B8F28A33223}" name="n#9" dataDxfId="361">
      <calculatedColumnFormula>IF(AND(S11&gt;4,MAX(S11:W11)&gt;6),1,0)</calculatedColumnFormula>
    </tableColumn>
    <tableColumn id="62" xr3:uid="{21B7B5E2-E722-4026-A86F-4DC5CDE4F68F}" name="f#1" dataDxfId="360">
      <calculatedColumnFormula>IF(AND(OR(X11+AA11&gt;12,AND(X11&gt;6,AA11&gt;6)),AO11&gt;6,OR(AP11&gt;=AO11,AP11&gt;6)),1,0)</calculatedColumnFormula>
    </tableColumn>
    <tableColumn id="63" xr3:uid="{8A9BEBC7-6440-4D02-8D0E-A481CC28CAC5}" name="f#2" dataDxfId="359">
      <calculatedColumnFormula>IF(OR(AND(X11&gt;6,AB11&gt;6),X11+AA11&gt;12),1,0)</calculatedColumnFormula>
    </tableColumn>
    <tableColumn id="64" xr3:uid="{DE3EE0E2-7103-4930-B47E-A3D23C91FBE8}" name="f#3" dataDxfId="358">
      <calculatedColumnFormula>IF(AND(X11&gt;6,Z11&gt;6,AA11&gt;6),1,0)</calculatedColumnFormula>
    </tableColumn>
    <tableColumn id="65" xr3:uid="{EA1515B3-888F-4B41-AF28-EB4D5005E468}" name="f#4" dataDxfId="357">
      <calculatedColumnFormula>IF(AND(Z11&gt;7,OR(X11&gt;6,AA11&gt;6)),1,0)</calculatedColumnFormula>
    </tableColumn>
    <tableColumn id="66" xr3:uid="{4FDDCD14-F5E7-405C-B379-A252B5AE7582}" name="f#5" dataDxfId="356">
      <calculatedColumnFormula>IF(AND(Z11&gt;6,OR(X11&gt;6,AA11&gt;6)),1,0)</calculatedColumnFormula>
    </tableColumn>
    <tableColumn id="67" xr3:uid="{9BCD40A0-C30E-4645-8C43-A0DC22EBEEAA}" name="f#6" dataDxfId="355">
      <calculatedColumnFormula>IF(AND(OR(X11&gt;6,Z11&gt;6),OR(X11&gt;6,AA11&gt;6)),1,0)</calculatedColumnFormula>
    </tableColumn>
    <tableColumn id="68" xr3:uid="{6142CB7C-29E4-4021-83D8-66BE66C2A0BE}" name="f#7" dataDxfId="354">
      <calculatedColumnFormula>IF(AND(X11&gt;4,OR(X11&gt;6,Z11&gt;6,AA11&gt;6)),1,0)</calculatedColumnFormula>
    </tableColumn>
    <tableColumn id="69" xr3:uid="{8B22956B-2CDA-4E1A-A7CD-4941AE035CEB}" name="f#8" dataDxfId="353">
      <calculatedColumnFormula>IF(AND(X11&gt;4,OR(X11&gt;6,Y11&gt;6,Z11&gt;6,AA11&gt;6)),1,0)</calculatedColumnFormula>
    </tableColumn>
    <tableColumn id="70" xr3:uid="{E71ED4B2-031D-4839-8C83-4B108D338147}" name="f#9" dataDxfId="352">
      <calculatedColumnFormula>IF(AND(X11&gt;4,MAX(X11:AB11)&gt;6),1,0)</calculatedColumnFormula>
    </tableColumn>
    <tableColumn id="71" xr3:uid="{1EFA4A86-FD47-456A-804A-FB1C6CA7D15B}" name="BR" dataDxfId="351">
      <calculatedColumnFormula>IF(AVERAGE(AO11:AP11)&gt;9,1,0)+IF(AVERAGE(AO11:AP11)&gt;7,1,0)+IF(AO11&gt;7,1,0)+IF(AP11&gt;7,1,0)+IF(AQ11&gt;8,1,0)+IF(AQ11&gt;6,1,0)</calculatedColumnFormula>
    </tableColumn>
    <tableColumn id="72" xr3:uid="{CB725263-758F-4323-B48F-3F8ACD950841}" name="Def" dataDxfId="350">
      <calculatedColumnFormula>IF(OR(MAX(AG11,AH11,AL11,AN11)&gt;6,MAX(AI11,AJ11,AK11,AM11)&gt;7),2,IF(MAX(AG11:AN11)&gt;4,1,0))</calculatedColumnFormula>
    </tableColumn>
    <tableColumn id="73" xr3:uid="{984ACF43-2B66-439D-BA57-A31D8912FE5B}" name="FA?" dataDxfId="349">
      <calculatedColumnFormula>IF(AS11=1,"Yes","")</calculatedColumnFormula>
    </tableColumn>
    <tableColumn id="74" xr3:uid="{58DC8120-A723-4CDA-86CE-E992BB22CDDB}" name="ML Chance" dataDxfId="348">
      <calculatedColumnFormula>IF($B11="ML","There",IF(AND($X11&gt;=6,AVERAGE($Z11:$AA11)&gt;=6),"Likely",IF(OR($X11&gt;6,AND($X11=6,AVERAGE($Z11:$AA11)&gt;=3),AND($X11&gt;=5,AVERAGE($Z11:$AA11)&gt;=5),AVERAGE($X11,$Z11:$AA11)&gt;5),"Possible","Unlikely")))</calculatedColumnFormula>
    </tableColumn>
    <tableColumn id="75" xr3:uid="{58FEAC6B-2270-4613-8E1F-B8BF31A6FE17}" name="Now" dataDxfId="347">
      <calculatedColumnFormula>IF(OR(AND(S11&gt;=6,U11+V11&gt;=12),S11&gt;7),"Start",IF(AND(S11&gt;=5,U11+V11&gt;=8),"Bench","aack!"))</calculatedColumnFormula>
    </tableColumn>
    <tableColumn id="76" xr3:uid="{12163007-1E6B-4DBC-84F6-0F60288A4477}" name="Future" dataDxfId="346">
      <calculatedColumnFormula>IF(OR(AND(X11&gt;=6,Z11+AA11&gt;=12),X11&gt;7),"Start",IF(AND(X11&gt;=5,Z11+AA11&gt;=8),"Bench","aack!"))</calculatedColumnFormula>
    </tableColumn>
    <tableColumn id="77" xr3:uid="{B3E028C8-ABC5-4F76-874D-AEAE0214D430}" name="CLvl" dataDxfId="345">
      <calculatedColumnFormula>IF(S11&gt;5,"ML",IF(S11=5,"AAA",IF(S11=4,"AA",IF(S11=3,"A","SS-A"))))</calculatedColumnFormula>
    </tableColumn>
    <tableColumn id="78" xr3:uid="{AE0F0C9C-A569-412E-AE8A-32CCF6064149}" name="C rat/pot" dataDxfId="344">
      <calculatedColumnFormula>S11-X11</calculatedColumnFormula>
    </tableColumn>
    <tableColumn id="79" xr3:uid="{A14DCAB2-3F57-4B80-8D4B-275FC972B4B4}" name="G rat/pot" dataDxfId="343">
      <calculatedColumnFormula>T11-Y11</calculatedColumnFormula>
    </tableColumn>
    <tableColumn id="80" xr3:uid="{46FE4266-7E4B-4702-88FB-42E3CCEE0F76}" name="P rat-pot" dataDxfId="342">
      <calculatedColumnFormula>U11-Z11</calculatedColumnFormula>
    </tableColumn>
    <tableColumn id="81" xr3:uid="{BE76B8A8-29A8-4B31-BB64-90DD8F2EC597}" name="E rat/pot" dataDxfId="341">
      <calculatedColumnFormula>V11-AA11</calculatedColumnFormula>
    </tableColumn>
    <tableColumn id="82" xr3:uid="{C7174985-27FC-4CE1-B887-F889E0B76169}" name="K rat/pot" dataDxfId="340">
      <calculatedColumnFormula>W11-AB11</calculatedColumnFormula>
    </tableColumn>
    <tableColumn id="83" xr3:uid="{1590BE79-CE34-4CA4-B1EF-33A96676D039}" name="Diff" dataDxfId="339">
      <calculatedColumnFormula>SUM(BZ11:CD11)</calculatedColumnFormula>
    </tableColumn>
    <tableColumn id="84" xr3:uid="{0B0ACA2D-9343-473F-B515-DE36029B83DF}" name="pCPE" dataDxfId="338">
      <calculatedColumnFormula>X11+Z11+AA11</calculatedColumnFormula>
    </tableColumn>
    <tableColumn id="85" xr3:uid="{BACB6252-3474-4025-93EB-77B3BEB99F8E}" name="pCP" dataDxfId="337">
      <calculatedColumnFormula>X11+Z11</calculatedColumnFormula>
    </tableColumn>
    <tableColumn id="86" xr3:uid="{4747595F-C6B3-43EF-BB23-198F3A70A40B}" name="pCE" dataDxfId="336">
      <calculatedColumnFormula>X11+AA11</calculatedColumnFormula>
    </tableColumn>
    <tableColumn id="87" xr3:uid="{0A8EA16A-6F11-49B6-A0E1-9B66593BA742}" name="Est Arr" dataDxfId="335">
      <calculatedColumnFormula>IF(L11&gt;24,"Now - Age",IF(S11&gt;6,"Now",IF(X11&lt;6,"With Dev",MIN(X11-S11,7-S11))))</calculatedColumnFormula>
    </tableColumn>
    <tableColumn id="88" xr3:uid="{55085EC6-E28E-4F9F-924D-B809479BB6F0}" name="C3" dataDxfId="334">
      <calculatedColumnFormula>IF(AG11&lt;&gt;"-","X","")</calculatedColumnFormula>
    </tableColumn>
    <tableColumn id="89" xr3:uid="{834D61AA-ED14-4F6E-ACAC-2A58A7E337B5}" name="1B4" dataDxfId="333">
      <calculatedColumnFormula>IF(AND(AH11&lt;&gt;"-",AH11&gt;5),"X","")</calculatedColumnFormula>
    </tableColumn>
    <tableColumn id="90" xr3:uid="{C8BFC018-C35C-40FE-A0DB-320E0AB1CF4E}" name="2B5" dataDxfId="332">
      <calculatedColumnFormula>IF(AND(AI11&lt;&gt;"-",AI11&gt;5),"X","")</calculatedColumnFormula>
    </tableColumn>
    <tableColumn id="91" xr3:uid="{891F1D33-F86B-44EA-BA62-1F8C38AA399E}" name="3B6" dataDxfId="331">
      <calculatedColumnFormula>IF(AND(AJ11&lt;&gt;"-",AJ11&gt;4,AC11&gt;6),"X","")</calculatedColumnFormula>
    </tableColumn>
    <tableColumn id="92" xr3:uid="{0BCE24E6-1C53-4B6C-B1B7-A8CB783375D1}" name="SS7" dataDxfId="330">
      <calculatedColumnFormula>IF(AND(AK11&lt;&gt;"-",AK11&gt;5,AC11&gt;5),"X","")</calculatedColumnFormula>
    </tableColumn>
    <tableColumn id="93" xr3:uid="{8DC983D7-1201-494D-9989-B0992C42FFB5}" name="LF8" dataDxfId="329">
      <calculatedColumnFormula>IF(AND(AL11&lt;&gt;"-",AL11&gt;3),"X","")</calculatedColumnFormula>
    </tableColumn>
    <tableColumn id="94" xr3:uid="{7A229DD8-AA24-4333-A0E8-51D04E0604EA}" name="CF9" dataDxfId="328">
      <calculatedColumnFormula>IF(AND(AM11&lt;&gt;"-",AM11&gt;6),"X","")</calculatedColumnFormula>
    </tableColumn>
    <tableColumn id="95" xr3:uid="{08F832D9-0750-4955-82B5-F002A566940E}" name="RF10" dataDxfId="327">
      <calculatedColumnFormula>IF(AND(AN11&lt;&gt;"-",AN11&gt;5,AD11&gt;6),"X","")</calculatedColumnFormula>
    </tableColumn>
    <tableColumn id="96" xr3:uid="{D370D4B6-10A2-418C-8C69-694D55987D31}" name="DH" dataDxfId="326">
      <calculatedColumnFormula>IF(COUNTBLANK(CJ11:CQ11)=8,"X","")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284FE5-B327-4167-8714-2C8E8624B531}" name="AllPitchers" displayName="AllPitchers" ref="A10:BQ125" totalsRowShown="0" headerRowDxfId="325" dataDxfId="324">
  <autoFilter ref="A10:BQ125" xr:uid="{5BB97B2F-D440-4914-9095-6ACB9055051B}"/>
  <sortState xmlns:xlrd2="http://schemas.microsoft.com/office/spreadsheetml/2017/richdata2" ref="A11:BQ125">
    <sortCondition descending="1" ref="BA11:BA125"/>
    <sortCondition descending="1" ref="BC11:BC125"/>
  </sortState>
  <tableColumns count="69">
    <tableColumn id="1" xr3:uid="{7AC5645C-DD77-488A-9683-6AA2A095C6CB}" name="Name" dataDxfId="323">
      <calculatedColumnFormula>F11&amp;" "&amp;G11</calculatedColumnFormula>
    </tableColumn>
    <tableColumn id="2" xr3:uid="{A04D8FFB-235F-437B-B4EE-E51D72451D81}" name="Lvl" dataDxfId="322">
      <calculatedColumnFormula>IF(ISERROR(VLOOKUP(A11,AMA!$C$53:$C$100,1,FALSE)),IF(ISERROR(VLOOKUP(A11,'END-AAA'!$C$51:$C$100,1,FALSE)),IF(ISERROR(VLOOKUP(A11,'DB-AA'!$C$51:$C$100,1,FALSE)),IF(ISERROR(VLOOKUP(A11,'UTR-A'!$C$51:$C$100,1,FALSE)),IF(ISERROR(VLOOKUP(A11,'FAI-S A'!$C$51:$C$100,1,FALSE)),"","S A"),"A"),"AA"),"AAA"),"ML")</calculatedColumnFormula>
    </tableColumn>
    <tableColumn id="3" xr3:uid="{F5D9AADF-DC21-4CED-89B4-DA7026478752}" name="Role" dataDxfId="321"/>
    <tableColumn id="4" xr3:uid="{F1618EFB-DC9F-49BE-9071-58734843E63B}" name="Act" dataDxfId="320">
      <calculatedColumnFormula>IF(OR(OR(O11="Very High",O11="High"),AND(OR(O11="Very High",O11="High",O11="Normal"),OR(P11="Very High",P11="High"))),"K","T")</calculatedColumnFormula>
    </tableColumn>
    <tableColumn id="5" xr3:uid="{F63C5567-3DD4-473E-9B95-859E8440536C}" name="RL" dataDxfId="319"/>
    <tableColumn id="6" xr3:uid="{3004D9C8-59D3-4371-A78A-A3E097D04620}" name="First" dataDxfId="318"/>
    <tableColumn id="7" xr3:uid="{2A1652D6-1D57-4324-A385-CF8D581A5D41}" name="Last" dataDxfId="317"/>
    <tableColumn id="8" xr3:uid="{71A3D4DA-0474-4993-8DC5-E53D46EBAF1F}" name="Tm" dataDxfId="316"/>
    <tableColumn id="9" xr3:uid="{27566354-5F9C-4636-96AB-92423D1467C9}" name="Lvl2" dataDxfId="315"/>
    <tableColumn id="10" xr3:uid="{85F399E8-8802-4C8A-BC74-46A56E3B1AA1}" name="Age" dataDxfId="314"/>
    <tableColumn id="11" xr3:uid="{5A297B33-B61A-4A58-B41F-9DBE35BAC2EA}" name="B" dataDxfId="313"/>
    <tableColumn id="12" xr3:uid="{47628271-86BE-43D1-B3F0-E7E1004D4263}" name="T" dataDxfId="312"/>
    <tableColumn id="13" xr3:uid="{363334E8-F467-41AD-9DFB-581DDDE80ADD}" name="OVR" dataDxfId="311"/>
    <tableColumn id="14" xr3:uid="{96DA61F1-A056-4D09-9D91-89F22B9D720A}" name="POT" dataDxfId="310"/>
    <tableColumn id="15" xr3:uid="{3E9448B0-A422-444D-954D-AAC8A89764ED}" name="WE" dataDxfId="309"/>
    <tableColumn id="16" xr3:uid="{8C3B1016-4BDF-46EE-8E40-BF5E530FC74F}" name="INT" dataDxfId="308"/>
    <tableColumn id="17" xr3:uid="{3367534E-3453-45C4-A15A-9C1D9D95386B}" name="STU" dataDxfId="307"/>
    <tableColumn id="18" xr3:uid="{FA740932-F243-49A9-B54A-37F28D406315}" name="MOV" dataDxfId="306"/>
    <tableColumn id="19" xr3:uid="{569D82FF-45AA-48F3-B5D0-6957B5DDDF0B}" name="CON" dataDxfId="305"/>
    <tableColumn id="20" xr3:uid="{54720E01-839C-4D82-A608-4FEAA78A9FF9}" name="STU P" dataDxfId="304"/>
    <tableColumn id="21" xr3:uid="{D25DD212-763B-4F7F-A833-DAD543A8BE3D}" name="MOV P" dataDxfId="303"/>
    <tableColumn id="22" xr3:uid="{63BD6952-3079-4B84-9045-D8A94E7F355A}" name="CON P" dataDxfId="302"/>
    <tableColumn id="23" xr3:uid="{FF0E4284-2A39-4BB9-8F74-28F3AE07F5FE}" name="FB" dataDxfId="301"/>
    <tableColumn id="24" xr3:uid="{33D2399A-87B8-4133-97F6-639F6D9EC3B0}" name="FBP" dataDxfId="300"/>
    <tableColumn id="25" xr3:uid="{8BA0CFB5-2E51-41B2-9C94-20D7C1B7B5B6}" name="CH" dataDxfId="299"/>
    <tableColumn id="26" xr3:uid="{68729E68-8BC7-4CC9-B409-8A34FA07C41E}" name="CHP" dataDxfId="298"/>
    <tableColumn id="27" xr3:uid="{70F9C7B8-9574-4709-9F6E-188ACFA85E05}" name="CB" dataDxfId="297"/>
    <tableColumn id="28" xr3:uid="{7027111F-9715-4D7B-B7DF-0D99AE28402F}" name="CBP" dataDxfId="296"/>
    <tableColumn id="29" xr3:uid="{7A872A84-7A0F-4915-91CC-85A283A97551}" name="SL" dataDxfId="295"/>
    <tableColumn id="30" xr3:uid="{5C77E572-C821-4560-896E-CEA8CE5FC62C}" name="SLP" dataDxfId="294"/>
    <tableColumn id="31" xr3:uid="{1BD4051B-931A-42B9-8809-68C07B7BCB6B}" name="SI" dataDxfId="293"/>
    <tableColumn id="32" xr3:uid="{6A871CD2-E288-4DDB-8DE9-325429434939}" name="SIP" dataDxfId="292"/>
    <tableColumn id="33" xr3:uid="{C8F2DFC9-65A6-4D57-9D05-A21453C73969}" name="SP" dataDxfId="291"/>
    <tableColumn id="34" xr3:uid="{D3C4E834-F995-4C9F-97E9-E86287726F9C}" name="SPP" dataDxfId="290"/>
    <tableColumn id="35" xr3:uid="{EEE0F62B-BAD4-43CF-B8C1-E81BCE87136C}" name="CT" dataDxfId="289"/>
    <tableColumn id="36" xr3:uid="{D6B904E2-DB28-44BE-BBC9-CCECE2529623}" name="CTP" dataDxfId="288"/>
    <tableColumn id="37" xr3:uid="{5B73D60C-E373-4537-B4A3-889801B4A029}" name="FO" dataDxfId="287"/>
    <tableColumn id="38" xr3:uid="{927F3753-1187-4EC4-B613-FC7DD76A8C68}" name="FOP" dataDxfId="286"/>
    <tableColumn id="39" xr3:uid="{BD30A3DA-39C5-431D-A284-A6C7BB275533}" name="CC" dataDxfId="285"/>
    <tableColumn id="40" xr3:uid="{D2173401-F89A-40A1-9B6B-66B8A56FBF26}" name="CCP" dataDxfId="284"/>
    <tableColumn id="41" xr3:uid="{91F08F19-6760-4239-A1AA-97FED0F70D19}" name="SC" dataDxfId="283"/>
    <tableColumn id="42" xr3:uid="{495C8A0B-342E-4279-ADAC-7828C33F27BC}" name="SCP" dataDxfId="282"/>
    <tableColumn id="43" xr3:uid="{278523E9-CDA3-4339-86B8-146EC30AD11A}" name="KC" dataDxfId="281"/>
    <tableColumn id="44" xr3:uid="{CD001064-3ED3-4FA1-A63A-C14F8C0E4865}" name="KCP" dataDxfId="280"/>
    <tableColumn id="45" xr3:uid="{7AABFFB1-C9F6-4CCC-B1DD-EAFC2360F176}" name="KN" dataDxfId="279"/>
    <tableColumn id="46" xr3:uid="{09D05094-CDF9-479E-8C67-A1EE9DD2B1AF}" name="KNP" dataDxfId="278"/>
    <tableColumn id="47" xr3:uid="{CBCB6003-64C5-4CE8-AE2B-C4A5135FCBAB}" name="VELO" dataDxfId="277"/>
    <tableColumn id="48" xr3:uid="{BBF422DF-3435-4767-A61B-5B6677D7DBA4}" name="STM" dataDxfId="276"/>
    <tableColumn id="49" xr3:uid="{97C5233A-AB7D-4245-9A0F-C249AE1684B6}" name="G/F" dataDxfId="275"/>
    <tableColumn id="50" xr3:uid="{BB4E089B-1F5B-42F8-8789-1D71092BB1C2}" name="SLR" dataDxfId="274" dataCellStyle="Currency"/>
    <tableColumn id="51" xr3:uid="{E3FEB91E-E0EF-47A6-A483-4E1C8F99D6BD}" name="YL" dataDxfId="273"/>
    <tableColumn id="52" xr3:uid="{982C0E18-CA52-4CE1-8D89-6E83A36C4AD4}" name="Sct Acc" dataDxfId="272"/>
    <tableColumn id="53" xr3:uid="{4F5BF1AB-178B-4012-9561-DCA78A1800DE}" name="OVR SMC" dataDxfId="271">
      <calculatedColumnFormula>AVERAGE(Q11:S11)+0.25*MAX(0,(COUNT(W11,Y11,AA11,AC11,AE11,AG11,AI11,AK11,AM11,AO11,AQ11,AS11)-3))+IF(AW11&gt;0.55,0.25,0)+IF(MAX(W11,Y11,AA11,AC11,AE11,AG11,AI11,AK11,AM11,AO11,AQ11,AS11)&gt;5,0.25,0)</calculatedColumnFormula>
    </tableColumn>
    <tableColumn id="54" xr3:uid="{181DE8E7-6D56-42AD-BB28-337C666AFD5F}" name="At Now" dataDxfId="270">
      <calculatedColumnFormula>IF(BA11&gt;9,"SuperStar",IF(BA11&gt;8,"Star",IF(BA11&gt;6.5,"GoodReg",IF(BA11&gt;5,"Reg",IF(BA11&gt;4,"Bench","Minors")))))</calculatedColumnFormula>
    </tableColumn>
    <tableColumn id="55" xr3:uid="{003DB13A-7818-4540-9D87-4BFF5A020F35}" name="POT SMC" dataDxfId="269">
      <calculatedColumnFormula>AVERAGE(T11:V11)+0.25*MAX(0,(COUNT(X11,Z11,AB11,AD11,AF11,AH11,AJ11,AL11,AN11,AP11,AR11,AT11)-3))+IF(AW11&gt;0.55,0.25,0)+IF(MAX(X11,Z11,AB11,AD11,AF11,AH11,AJ11,AL11,AN11,AP11,AR11,AT11)&gt;5,0.25,0)</calculatedColumnFormula>
    </tableColumn>
    <tableColumn id="56" xr3:uid="{5BA0D584-40AF-468C-8844-A75030275E08}" name="At Now3" dataDxfId="268">
      <calculatedColumnFormula>IF(BC11&gt;9,"SuperStar",IF(BC11&gt;8,"Star",IF(BC11&gt;6.5,"GoodReg",IF(BC11&gt;5,"Reg",IF(BC11&gt;4,"Bench","Minors")))))</calculatedColumnFormula>
    </tableColumn>
    <tableColumn id="57" xr3:uid="{B1A56C9D-EE0A-442A-9E31-4769BD2B9372}" name="Exp" dataDxfId="267">
      <calculatedColumnFormula>MIN(BA11+(MAX(0,25-U11))^1.5,BC11)</calculatedColumnFormula>
    </tableColumn>
    <tableColumn id="58" xr3:uid="{3881B53E-EED6-4AFE-B690-8C25AB8FCA24}" name="At Exp" dataDxfId="266">
      <calculatedColumnFormula>IF(BE11&gt;9,"SuperStar",IF(BE11&gt;8,"Star",IF(BE11&gt;6.5,"GoodReg",IF(BE11&gt;5,"Reg",IF(BE11&gt;4,"Bench","Minors")))))</calculatedColumnFormula>
    </tableColumn>
    <tableColumn id="59" xr3:uid="{5BC32B8E-53E5-4BDA-8837-962B46947E49}" name="Pitches" dataDxfId="265">
      <calculatedColumnFormula>COUNT(W11:AT11)/2</calculatedColumnFormula>
    </tableColumn>
    <tableColumn id="60" xr3:uid="{B7CDDE5D-3372-418F-A950-22D5EA18C5DD}" name="QP" dataDxfId="264">
      <calculatedColumnFormula>COUNTIF(W11:AT11,"&gt;5")/2</calculatedColumnFormula>
    </tableColumn>
    <tableColumn id="61" xr3:uid="{BB775370-9523-4F3A-9B9D-24014C46B914}" name="FA?" dataDxfId="263">
      <calculatedColumnFormula>IF(AY11=1,"Yes","")</calculatedColumnFormula>
    </tableColumn>
    <tableColumn id="62" xr3:uid="{27D4143D-D07D-4C44-9C21-8E8FA844F2C5}" name="ML Chance" dataDxfId="262">
      <calculatedColumnFormula>IF(B11="ML","There",IF(AVERAGE($T11:$V11)&gt;=6,"Likely",IF(AVERAGE($T11:$V11)&gt;=4,"Possible","Unlikely")))</calculatedColumnFormula>
    </tableColumn>
    <tableColumn id="63" xr3:uid="{8C915378-610E-4C94-AECE-9DBCBA117925}" name="Now" dataDxfId="261">
      <calculatedColumnFormula>IF(AVERAGE(Q11:S11)&gt;=5.5,"ML",IF(AVERAGE(Q11:S11)&gt;=4.5,"AAA",IF(AVERAGE(Q11:S11)&gt;=4,"AA",IF(AVERAGE(Q11:S11)&gt;=3.5,"A","SS-A"))))</calculatedColumnFormula>
    </tableColumn>
    <tableColumn id="64" xr3:uid="{FB740D68-3ECC-43E5-AE86-7D1E2FF116BB}" name="S+M+C" dataDxfId="260">
      <calculatedColumnFormula>SUM(Q11:S11)</calculatedColumnFormula>
    </tableColumn>
    <tableColumn id="65" xr3:uid="{D09EF27C-0C66-4205-9C2F-3044F068BB5A}" name="pS+M+C" dataDxfId="259">
      <calculatedColumnFormula>SUM(T11:V11)</calculatedColumnFormula>
    </tableColumn>
    <tableColumn id="66" xr3:uid="{EE6105EB-BEB4-4F4F-826A-90D3F8191911}" name="S rat/pot" dataDxfId="258">
      <calculatedColumnFormula>Q11-T11</calculatedColumnFormula>
    </tableColumn>
    <tableColumn id="67" xr3:uid="{0447E82B-0CFA-40BA-9AA0-CD5C03C9C5C7}" name="M rat/pot" dataDxfId="257">
      <calculatedColumnFormula>R11-U11</calculatedColumnFormula>
    </tableColumn>
    <tableColumn id="68" xr3:uid="{1416DDDF-8D67-489A-BED8-6718AFD3920D}" name="C rat/pot" dataDxfId="256">
      <calculatedColumnFormula>S11-V11</calculatedColumnFormula>
    </tableColumn>
    <tableColumn id="69" xr3:uid="{D6511446-8D2A-4025-BEBA-64EC4FA39A33}" name="Diff" dataDxfId="255">
      <calculatedColumnFormula>SUM(BN11:BP11)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E30E68-E8B5-4BA3-8BBF-3E8965FE8C8F}" name="Bat_Old" displayName="Bat_Old" ref="A10:CX146" totalsRowShown="0" headerRowDxfId="254" dataDxfId="253">
  <autoFilter ref="A10:CX146" xr:uid="{97BC8551-786B-4A0F-9289-53021DE92B21}"/>
  <tableColumns count="102">
    <tableColumn id="1" xr3:uid="{B957637E-238E-4EF2-97E9-8FF39A41CB3B}" name="Name" dataDxfId="252">
      <calculatedColumnFormula>H11&amp;" "&amp;I11</calculatedColumnFormula>
    </tableColumn>
    <tableColumn id="2" xr3:uid="{0E408D47-6B21-4213-9FE3-765F53E33884}" name="Lvl"/>
    <tableColumn id="3" xr3:uid="{687FEC24-DE5D-4566-B1E4-C4EAA820F306}" name="Pos"/>
    <tableColumn id="4" xr3:uid="{D4A5CE66-2779-478E-97A8-6C43879774FA}" name="fLin">
      <calculatedColumnFormula>IF(BL11=1,3,IF(BM11=1,4,IF(BJ11=1,1,IF(BN11=1,5,IF(BK11=1,2,IF(BO11=1,6,IF(BP11=1,7,IF(BQ11=1,8,IF(BR11=1,9,"-")))))))))</calculatedColumnFormula>
    </tableColumn>
    <tableColumn id="5" xr3:uid="{D7B3C4AD-ACFE-4159-A47A-1E21A04B1010}" name="pLin">
      <calculatedColumnFormula>IF(BC11=1,3,IF(BD11=1,4,IF(BA11=1,1,IF(BE11=1,5,IF(BB11=1,2,IF(BF11=1,6,IF(BG11=1,7,IF(BH11=1,8,IF(BI11=1,9,"-")))))))))</calculatedColumnFormula>
    </tableColumn>
    <tableColumn id="6" xr3:uid="{99A7282F-C78A-40B1-AE83-77B4039F2141}" name="Act">
      <calculatedColumnFormula>IF(OR(Q11&gt;7,AND(Q11&gt;4,R11&gt;5)),"K","T")</calculatedColumnFormula>
    </tableColumn>
    <tableColumn id="7" xr3:uid="{430BD4A1-0ABE-42E9-BE62-0B36461A7F21}" name="POS2"/>
    <tableColumn id="8" xr3:uid="{767033C1-2E30-4642-AA87-37D541A6A06B}" name="First"/>
    <tableColumn id="9" xr3:uid="{C64E5AF8-9B1B-4EE4-95F1-6CBA6068DA25}" name="Last"/>
    <tableColumn id="10" xr3:uid="{952F860D-E930-43FB-B820-0867A105AD49}" name="Tm"/>
    <tableColumn id="11" xr3:uid="{522ED759-8C20-49CC-822A-55360F7F84A5}" name="Lev"/>
    <tableColumn id="12" xr3:uid="{B46C0191-D375-444D-8E4F-76409C2DCD1B}" name="Age"/>
    <tableColumn id="13" xr3:uid="{65CEBEC6-E652-4FF9-B79C-C809447FCA06}" name="B"/>
    <tableColumn id="14" xr3:uid="{7404F544-9553-41A6-BE19-367F0C54D46E}" name="T"/>
    <tableColumn id="15" xr3:uid="{AD86C0F0-A251-439C-B40A-4ECA6EFE0B2B}" name="OVR"/>
    <tableColumn id="16" xr3:uid="{9DDF72F1-E58C-4D17-83B7-57A960A0C0C2}" name="POT" dataDxfId="251"/>
    <tableColumn id="17" xr3:uid="{38062A30-2704-4FA9-950F-05824B5D3085}" name="WE"/>
    <tableColumn id="18" xr3:uid="{A5D79EEC-CDCE-4A48-A708-236D0AB88902}" name="INT" dataDxfId="250"/>
    <tableColumn id="19" xr3:uid="{2E1AD17D-FD69-4666-A411-67414E554910}" name="CON"/>
    <tableColumn id="20" xr3:uid="{5866FBB9-A77E-4283-ABCB-E8C11D03DFDE}" name="GAP"/>
    <tableColumn id="21" xr3:uid="{F5ABAE13-CFE9-46A4-9540-E47F156B0B49}" name="POW"/>
    <tableColumn id="22" xr3:uid="{1475753E-E1F8-4666-8C93-C36E29ECE126}" name="EYE"/>
    <tableColumn id="23" xr3:uid="{1CB88AFB-0C8C-4541-A633-8A73DAB4C74D}" name="K's" dataDxfId="249"/>
    <tableColumn id="24" xr3:uid="{3B17C4A4-438B-4848-8A33-DA64B32DEDC9}" name="CON P"/>
    <tableColumn id="25" xr3:uid="{6FA58E5B-9525-43F6-AA84-856F36255189}" name="GAP P"/>
    <tableColumn id="26" xr3:uid="{A777BDC1-F194-4147-9AA9-898E41082227}" name="POW P"/>
    <tableColumn id="27" xr3:uid="{E277F879-3091-45C8-B204-4806D3A5587F}" name="EYE P"/>
    <tableColumn id="28" xr3:uid="{FF7556DC-9D41-4AE4-B174-8FCD1738BCCE}" name="K P" dataDxfId="248"/>
    <tableColumn id="29" xr3:uid="{CA09415A-81C7-4FF6-AF93-18F14CB2D217}" name="IF ARM"/>
    <tableColumn id="30" xr3:uid="{B8A61F50-9B76-4833-9AFE-D669677F8ACE}" name="OF ARM"/>
    <tableColumn id="31" xr3:uid="{2C5406F5-4442-4AEA-96FA-53FB74B8CE5F}" name="C ARM"/>
    <tableColumn id="32" xr3:uid="{2F336F50-5350-45D4-A8F2-CC561D6DC95B}" name="C ABI"/>
    <tableColumn id="33" xr3:uid="{C0A36AA8-2EB7-4D32-B031-2D22B7E61A0E}" name="C"/>
    <tableColumn id="34" xr3:uid="{B402F4B0-23DB-4037-BDB9-A4E9E9CF4D1F}" name="1B"/>
    <tableColumn id="35" xr3:uid="{DE8F6F52-A77B-40A3-A82C-480CB1033D28}" name="2B"/>
    <tableColumn id="36" xr3:uid="{DDD0831D-DEE8-4F60-93CA-9BE8794BA0A1}" name="3B"/>
    <tableColumn id="37" xr3:uid="{C14A5100-A65E-4FB7-995B-46EE19A52F59}" name="SS"/>
    <tableColumn id="38" xr3:uid="{B33099F0-EADF-4FF4-AA62-C5C8D5142B07}" name="LF"/>
    <tableColumn id="39" xr3:uid="{5D92E0B4-B2EA-414E-8323-8F3B5CE2FC6A}" name="CF"/>
    <tableColumn id="40" xr3:uid="{B25B2E41-C9CB-4D8C-846D-8399920F3BF3}" name="RF" dataDxfId="247"/>
    <tableColumn id="41" xr3:uid="{643671E4-0781-4003-8158-120D0F4B8F7C}" name="SPE"/>
    <tableColumn id="42" xr3:uid="{560FB2A7-A104-44CA-90CD-AF154A785304}" name="STE"/>
    <tableColumn id="43" xr3:uid="{FD3F073A-8614-4C6F-A171-70FEAC2A4D56}" name="RUN" dataDxfId="246"/>
    <tableColumn id="44" xr3:uid="{84884D89-C6B1-49D2-809F-AEE32E79F850}" name="SLR"/>
    <tableColumn id="45" xr3:uid="{51D93182-DAB6-4D56-9997-39C667875974}" name="YL" dataDxfId="245"/>
    <tableColumn id="46" xr3:uid="{2B005012-A980-4FFE-AA45-41A21FBC7430}" name="Sct Acc"/>
    <tableColumn id="47" xr3:uid="{D658869C-2F51-48AF-88ED-8FF1CC20B52A}" name="nCPE Avg" dataDxfId="244">
      <calculatedColumnFormula>AVERAGE(S11,U11,V11)+IF(OR(S11&gt;7,AND(S11&gt;5,V11&gt;5)),0.5,0)+IF(U11&gt;7,0.25,0)+IF(S11&lt;6,-0.5*(6-S11),0)</calculatedColumnFormula>
    </tableColumn>
    <tableColumn id="48" xr3:uid="{968A693D-2062-4FA3-BF99-39BDBD521CF1}" name="At Now" dataDxfId="243">
      <calculatedColumnFormula>IF(AU11&gt;9,"SuperStar",IF(AU11&gt;8,"Star",IF(AU11&gt;6.5,"GoodReg",IF(AU11&gt;5,"Reg",IF(AU11&gt;4,"Bench","Minors")))))</calculatedColumnFormula>
    </tableColumn>
    <tableColumn id="49" xr3:uid="{D07FF166-892C-4366-BB7A-26C40E33B5E6}" name="fCPE Avg" dataDxfId="242">
      <calculatedColumnFormula>AVERAGE(X11,Z11,AA11)+IF(OR(X11&gt;7,AND(X11&gt;5,AA11&gt;5)),0.5,0)+IF(Z11&gt;7,0.25,0)+IF(X11&lt;6,-0.5*(6-X11),0)</calculatedColumnFormula>
    </tableColumn>
    <tableColumn id="50" xr3:uid="{5D49AADE-B751-4CD9-A3CB-F142F10DAD29}" name="At Pot" dataDxfId="241">
      <calculatedColumnFormula>IF(AW11&gt;9,"SuperStar",IF(AW11&gt;8,"Star",IF(AW11&gt;6.5,"GoodReg",IF(AW11&gt;5,"Reg",IF(AW11&gt;4,"Bench","Minors")))))</calculatedColumnFormula>
    </tableColumn>
    <tableColumn id="51" xr3:uid="{EDCBF344-497A-47EF-AD4D-D4CABE6533D5}" name="Exp" dataDxfId="240">
      <calculatedColumnFormula>MIN(AU11+(MAX(0,25-L11))^1.5,AW11)</calculatedColumnFormula>
    </tableColumn>
    <tableColumn id="52" xr3:uid="{8D3720A3-7E6F-4E94-8631-427D3DDB0428}" name="At Exp" dataDxfId="239">
      <calculatedColumnFormula>IF(AY11&gt;9,"SuperStar",IF(AY11&gt;8,"Star",IF(AY11&gt;6.5,"GoodReg",IF(AY11&gt;5,"Reg",IF(AY11&gt;4,"Bench","Minors")))))</calculatedColumnFormula>
    </tableColumn>
    <tableColumn id="53" xr3:uid="{1BC94649-0CB3-4C3A-97EC-BBFFA7F0BAEE}" name="n#1" dataDxfId="238">
      <calculatedColumnFormula>IF(AND(OR(S11+V11&gt;12,AND(S11&gt;6,V11&gt;6)),AO11&gt;6,OR(AP11&gt;=AO11,AP11&gt;6)),1,0)</calculatedColumnFormula>
    </tableColumn>
    <tableColumn id="54" xr3:uid="{141F82BF-6A68-48AD-979D-76088C3EE98E}" name="n#2" dataDxfId="237">
      <calculatedColumnFormula>IF(OR(AND(S11&gt;6,W11&gt;6),S11+V11&gt;12),1,0)</calculatedColumnFormula>
    </tableColumn>
    <tableColumn id="55" xr3:uid="{2A6C3381-73AA-4221-9907-922A453D8B15}" name="n#3" dataDxfId="236">
      <calculatedColumnFormula>IF(AND(S11&gt;6,U11&gt;6,V11&gt;6),1,0)</calculatedColumnFormula>
    </tableColumn>
    <tableColumn id="56" xr3:uid="{4973DA87-8C7F-4759-BDE3-9CE31892CF48}" name="n#4" dataDxfId="235">
      <calculatedColumnFormula>IF(AND(U11&gt;7,OR(S11&gt;6,V11&gt;6)),1,0)</calculatedColumnFormula>
    </tableColumn>
    <tableColumn id="57" xr3:uid="{DBEE2120-E184-4D84-9F3A-D54ED967F083}" name="n#5" dataDxfId="234">
      <calculatedColumnFormula>IF(AND(U11&gt;6,OR(S11&gt;6,V11&gt;6)),1,0)</calculatedColumnFormula>
    </tableColumn>
    <tableColumn id="58" xr3:uid="{52480269-6EFC-4CEC-9441-FD9818E96E83}" name="n#6" dataDxfId="233">
      <calculatedColumnFormula>IF(AND(OR(S11&gt;6,U11&gt;6),OR(S11&gt;6,V11&gt;6)),1,0)</calculatedColumnFormula>
    </tableColumn>
    <tableColumn id="59" xr3:uid="{DC6108A8-E00E-4317-8E4E-9B2386B0E541}" name="n#7" dataDxfId="232">
      <calculatedColumnFormula>IF(AND(S11&gt;4,OR(S11&gt;6,U11&gt;6,V11&gt;6)),1,0)</calculatedColumnFormula>
    </tableColumn>
    <tableColumn id="60" xr3:uid="{321E177B-A218-4456-AC24-BD504ACABE8F}" name="n#8" dataDxfId="231">
      <calculatedColumnFormula>IF(AND(S11&gt;4,OR(S11&gt;6,T11&gt;6,U11&gt;6,V11&gt;6)),1,0)</calculatedColumnFormula>
    </tableColumn>
    <tableColumn id="61" xr3:uid="{5B2A191C-40EB-44A6-A517-A0437857B2F2}" name="n#9" dataDxfId="230">
      <calculatedColumnFormula>IF(AND(S11&gt;4,MAX(S11:W11)&gt;6),1,0)</calculatedColumnFormula>
    </tableColumn>
    <tableColumn id="62" xr3:uid="{230B66B1-5CA6-4ED3-9A1A-C27CAEA63360}" name="f#1" dataDxfId="229">
      <calculatedColumnFormula>IF(AND(OR(X11+AA11&gt;12,AND(X11&gt;6,AA11&gt;6)),AO11&gt;6,OR(AP11&gt;=AO11,AP11&gt;6)),1,0)</calculatedColumnFormula>
    </tableColumn>
    <tableColumn id="63" xr3:uid="{FB06FA73-809E-4F78-848E-45A5C37A918A}" name="f#2" dataDxfId="228">
      <calculatedColumnFormula>IF(OR(AND(X11&gt;6,AB11&gt;6),X11+AA11&gt;12),1,0)</calculatedColumnFormula>
    </tableColumn>
    <tableColumn id="64" xr3:uid="{DFDC09F6-263E-4478-8DB2-5F38ED1B6910}" name="f#3" dataDxfId="227">
      <calculatedColumnFormula>IF(AND(X11&gt;6,Z11&gt;6,AA11&gt;6),1,0)</calculatedColumnFormula>
    </tableColumn>
    <tableColumn id="65" xr3:uid="{AD688292-43E2-48F3-8E25-1FAFCF7F95CF}" name="f#4" dataDxfId="226">
      <calculatedColumnFormula>IF(AND(Z11&gt;7,OR(X11&gt;6,AA11&gt;6)),1,0)</calculatedColumnFormula>
    </tableColumn>
    <tableColumn id="66" xr3:uid="{CB7B3FB8-EABE-465A-BE0C-CC3739080997}" name="f#5" dataDxfId="225">
      <calculatedColumnFormula>IF(AND(Z11&gt;6,OR(X11&gt;6,AA11&gt;6)),1,0)</calculatedColumnFormula>
    </tableColumn>
    <tableColumn id="67" xr3:uid="{32C583C5-1328-4F2D-9350-2183973EB230}" name="f#6" dataDxfId="224">
      <calculatedColumnFormula>IF(AND(OR(X11&gt;6,Z11&gt;6),OR(X11&gt;6,AA11&gt;6)),1,0)</calculatedColumnFormula>
    </tableColumn>
    <tableColumn id="68" xr3:uid="{6A589370-9EF8-4BEC-A6FA-63EAE80FBD3C}" name="f#7" dataDxfId="223">
      <calculatedColumnFormula>IF(AND(X11&gt;4,OR(X11&gt;6,Z11&gt;6,AA11&gt;6)),1,0)</calculatedColumnFormula>
    </tableColumn>
    <tableColumn id="69" xr3:uid="{F4F6E9F0-AAE5-49CC-B9DA-18677719E21E}" name="f#8" dataDxfId="222">
      <calculatedColumnFormula>IF(AND(X11&gt;4,OR(X11&gt;6,Y11&gt;6,Z11&gt;6,AA11&gt;6)),1,0)</calculatedColumnFormula>
    </tableColumn>
    <tableColumn id="70" xr3:uid="{90305A97-0C42-4939-9619-BD6BC7E7341D}" name="f#9" dataDxfId="221">
      <calculatedColumnFormula>IF(AND(X11&gt;4,MAX(X11:AB11)&gt;6),1,0)</calculatedColumnFormula>
    </tableColumn>
    <tableColumn id="71" xr3:uid="{637818AB-AA0A-438B-BB07-33EDE79F69C0}" name="BR" dataDxfId="220">
      <calculatedColumnFormula>IF(AVERAGE(AO11:AP11)&gt;9,1,0)+IF(AVERAGE(AO11:AP11)&gt;7,1,0)+IF(AO11&gt;7,1,0)+IF(AP11&gt;7,1,0)+IF(AQ11&gt;8,1,0)+IF(AQ11&gt;6,1,0)</calculatedColumnFormula>
    </tableColumn>
    <tableColumn id="72" xr3:uid="{65C01ADA-7AFA-4909-AE26-EE92A299AACA}" name="Def" dataDxfId="219">
      <calculatedColumnFormula>IF(OR(MAX(AG11,AH11,AL11,AN11)&gt;6,MAX(AI11,AJ11,AK11,AM11)&gt;7),2,IF(MAX(AG11:AN11)&gt;4,1,0))</calculatedColumnFormula>
    </tableColumn>
    <tableColumn id="73" xr3:uid="{C9ED3CEE-35E5-4FC5-9FD8-D456D9C43423}" name="FA?" dataDxfId="218">
      <calculatedColumnFormula>IF(AS11=1,"Yes","")</calculatedColumnFormula>
    </tableColumn>
    <tableColumn id="74" xr3:uid="{25C8092A-2278-4D3F-9981-161EAD49AE75}" name="CON2" dataDxfId="217">
      <calculatedColumnFormula>IF(S11="-","-",VLOOKUP($A11,AMABat!$A$10:$AS$1137,BV$9,FALSE)-S11)</calculatedColumnFormula>
    </tableColumn>
    <tableColumn id="75" xr3:uid="{B72AEDC4-F951-470F-85E1-34E9029C378B}" name="GAP3" dataDxfId="216">
      <calculatedColumnFormula>IF(T11="-","-",VLOOKUP($A11,AMABat!$A$10:$AS$1137,BW$9,FALSE)-T11)</calculatedColumnFormula>
    </tableColumn>
    <tableColumn id="76" xr3:uid="{1C183BF8-4617-427F-B63B-CFF5D096159C}" name="POW4" dataDxfId="215">
      <calculatedColumnFormula>IF(U11="-","-",VLOOKUP($A11,AMABat!$A$10:$AS$1137,BX$9,FALSE)-U11)</calculatedColumnFormula>
    </tableColumn>
    <tableColumn id="77" xr3:uid="{5B7D0C39-A6EF-45BC-BEDD-CB3F008429DB}" name="EYE5" dataDxfId="214">
      <calculatedColumnFormula>IF(V11="-","-",VLOOKUP($A11,AMABat!$A$10:$AS$1137,BY$9,FALSE)-V11)</calculatedColumnFormula>
    </tableColumn>
    <tableColumn id="78" xr3:uid="{83886E09-BA44-4509-9BC1-228A45955604}" name="K's6" dataDxfId="213">
      <calculatedColumnFormula>IF(W11="-","-",VLOOKUP($A11,AMABat!$A$10:$AS$1137,BZ$9,FALSE)-W11)</calculatedColumnFormula>
    </tableColumn>
    <tableColumn id="79" xr3:uid="{789A9B4E-F297-431A-9069-9D4A6CFCBF5E}" name="CON P7" dataDxfId="212">
      <calculatedColumnFormula>IF(X11="-","-",VLOOKUP($A11,AMABat!$A$10:$AS$1137,CA$9,FALSE)-X11)</calculatedColumnFormula>
    </tableColumn>
    <tableColumn id="80" xr3:uid="{AF9E7CF9-3005-4CBD-911B-D5F7224CC85D}" name="GAP P8" dataDxfId="211">
      <calculatedColumnFormula>IF(Y11="-","-",VLOOKUP($A11,AMABat!$A$10:$AS$1137,CB$9,FALSE)-Y11)</calculatedColumnFormula>
    </tableColumn>
    <tableColumn id="81" xr3:uid="{D583133F-DDF9-4D59-925A-005961F324C9}" name="POW P9" dataDxfId="210">
      <calculatedColumnFormula>IF(Z11="-","-",VLOOKUP($A11,AMABat!$A$10:$AS$1137,CC$9,FALSE)-Z11)</calculatedColumnFormula>
    </tableColumn>
    <tableColumn id="82" xr3:uid="{A48F58C3-5ED4-4D47-B58F-86342E8EFBB1}" name="EYE P10" dataDxfId="209">
      <calculatedColumnFormula>IF(AA11="-","-",VLOOKUP($A11,AMABat!$A$10:$AS$1137,CD$9,FALSE)-AA11)</calculatedColumnFormula>
    </tableColumn>
    <tableColumn id="83" xr3:uid="{10447A52-7700-4D77-86A8-9C4C003C351C}" name="K P11" dataDxfId="208">
      <calculatedColumnFormula>IF(AB11="-","-",VLOOKUP($A11,AMABat!$A$10:$AS$1137,CE$9,FALSE)-AB11)</calculatedColumnFormula>
    </tableColumn>
    <tableColumn id="84" xr3:uid="{4AD91DF4-D798-472B-BE3E-236C056592CE}" name="IF ARM12" dataDxfId="207">
      <calculatedColumnFormula>IF(AC11="-","-",VLOOKUP($A11,AMABat!$A$10:$AS$1137,CF$9,FALSE)-AC11)</calculatedColumnFormula>
    </tableColumn>
    <tableColumn id="85" xr3:uid="{D6A7CE95-75CD-4F56-B7E8-BEB9AB21B78D}" name="OF ARM13" dataDxfId="206">
      <calculatedColumnFormula>IF(AD11="-","-",VLOOKUP($A11,AMABat!$A$10:$AS$1137,CG$9,FALSE)-AD11)</calculatedColumnFormula>
    </tableColumn>
    <tableColumn id="86" xr3:uid="{5E4E02F6-31A1-4C94-962D-2B70C444FB6C}" name="C ARM14" dataDxfId="205">
      <calculatedColumnFormula>IF(AE11="-","-",VLOOKUP($A11,AMABat!$A$10:$AS$1137,CH$9,FALSE)-AE11)</calculatedColumnFormula>
    </tableColumn>
    <tableColumn id="87" xr3:uid="{62EB656A-5AF1-45C9-9B78-ED10B034E652}" name="C15" dataDxfId="204">
      <calculatedColumnFormula>IF(AG11="-","-",VLOOKUP($A11,AMABat!$A$10:$AS$1137,CI$9,FALSE)-AG11)</calculatedColumnFormula>
    </tableColumn>
    <tableColumn id="88" xr3:uid="{144911B4-07BB-4541-9F19-0F4B1B81CA50}" name="1B16" dataDxfId="203">
      <calculatedColumnFormula>IF(AH11="-","-",VLOOKUP($A11,AMABat!$A$10:$AS$1137,CJ$9,FALSE)-AH11)</calculatedColumnFormula>
    </tableColumn>
    <tableColumn id="89" xr3:uid="{B3FC7EC3-78F5-4F67-A627-7474B52741DA}" name="2B17" dataDxfId="202">
      <calculatedColumnFormula>IF(AI11="-","-",VLOOKUP($A11,AMABat!$A$10:$AS$1137,CK$9,FALSE)-AI11)</calculatedColumnFormula>
    </tableColumn>
    <tableColumn id="90" xr3:uid="{AFC3F29D-9E8E-42D8-B3C9-3EFE6BBE4778}" name="3B18" dataDxfId="201">
      <calculatedColumnFormula>IF(AJ11="-","-",VLOOKUP($A11,AMABat!$A$10:$AS$1137,CL$9,FALSE)-AJ11)</calculatedColumnFormula>
    </tableColumn>
    <tableColumn id="91" xr3:uid="{716D6AF3-F633-402B-9495-EF6B859FF937}" name="SS19" dataDxfId="200">
      <calculatedColumnFormula>IF(AK11="-","-",VLOOKUP($A11,AMABat!$A$10:$AS$1137,CM$9,FALSE)-AK11)</calculatedColumnFormula>
    </tableColumn>
    <tableColumn id="92" xr3:uid="{F96CCC49-59ED-4571-A17C-857A1C7A8BF7}" name="LF20" dataDxfId="199">
      <calculatedColumnFormula>IF(AL11="-","-",VLOOKUP($A11,AMABat!$A$10:$AS$1137,CN$9,FALSE)-AL11)</calculatedColumnFormula>
    </tableColumn>
    <tableColumn id="93" xr3:uid="{23A0CB47-DAA3-41E3-BBB7-85F1C54BB845}" name="CF21" dataDxfId="198">
      <calculatedColumnFormula>IF(AM11="-","-",VLOOKUP($A11,AMABat!$A$10:$AS$1137,CO$9,FALSE)-AM11)</calculatedColumnFormula>
    </tableColumn>
    <tableColumn id="94" xr3:uid="{48E6E493-3992-4BC8-8BA9-96856FF9AABF}" name="RF22" dataDxfId="197">
      <calculatedColumnFormula>IF(AN11="-","-",VLOOKUP($A11,AMABat!$A$10:$AS$1137,CP$9,FALSE)-AN11)</calculatedColumnFormula>
    </tableColumn>
    <tableColumn id="95" xr3:uid="{A8F6B9DB-EFF1-499B-B5DA-620E804BEBC9}" name="SPE23" dataDxfId="196">
      <calculatedColumnFormula>IF(AO11="-","-",VLOOKUP($A11,AMABat!$A$10:$AS$1137,CQ$9,FALSE)-AO11)</calculatedColumnFormula>
    </tableColumn>
    <tableColumn id="96" xr3:uid="{F7615859-A9F0-465C-A2C6-61B6268688C2}" name="STE24" dataDxfId="195">
      <calculatedColumnFormula>IF(AP11="-","-",VLOOKUP($A11,AMABat!$A$10:$AS$1137,CR$9,FALSE)-AP11)</calculatedColumnFormula>
    </tableColumn>
    <tableColumn id="97" xr3:uid="{C98E8267-1025-44D2-8612-8130C9212433}" name="RUN25" dataDxfId="194">
      <calculatedColumnFormula>IF(AQ11="-","-",VLOOKUP($A11,AMABat!$A$10:$AS$1137,CS$9,FALSE)-AQ11)</calculatedColumnFormula>
    </tableColumn>
    <tableColumn id="98" xr3:uid="{E6FF0A3B-B322-4C46-871E-6DEFB6F141B1}" name="Rat" dataDxfId="193">
      <calculatedColumnFormula>SUM(BV11:BZ11)</calculatedColumnFormula>
    </tableColumn>
    <tableColumn id="99" xr3:uid="{2C3D48EB-E659-4697-A557-38DEBF2442CB}" name="Pot26" dataDxfId="192">
      <calculatedColumnFormula>SUM(CA11:CE11)</calculatedColumnFormula>
    </tableColumn>
    <tableColumn id="100" xr3:uid="{0DD497C0-6CA6-42A1-AE18-C80245651F34}" name="Def27" dataDxfId="191">
      <calculatedColumnFormula>SUM(CF11:CP11)</calculatedColumnFormula>
    </tableColumn>
    <tableColumn id="101" xr3:uid="{23BD346C-EA77-441E-B9AE-8A609750ECE0}" name="Run28" dataDxfId="190">
      <calculatedColumnFormula>SUM(CQ11:CS11)</calculatedColumnFormula>
    </tableColumn>
    <tableColumn id="102" xr3:uid="{840AAC01-3062-4DE6-B07C-5A98D5285116}" name="Tot" dataDxfId="189">
      <calculatedColumnFormula>SUM(CT11:CW11)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4FED6A-7D1A-4CAE-BC2B-3C916CBD19C2}" name="Pit_Old" displayName="Pit_Old" ref="A10:CN125" totalsRowShown="0" headerRowDxfId="188" dataDxfId="187">
  <autoFilter ref="A10:CN125" xr:uid="{C5CAD1DB-0B43-4D11-8DAC-1BFD134BF5BA}"/>
  <tableColumns count="92">
    <tableColumn id="1" xr3:uid="{BC5E1C8E-1B72-4DF6-A82A-CD8A7D0DF90B}" name="Name"/>
    <tableColumn id="2" xr3:uid="{17CE29CD-18DA-4CE6-93E6-5E17BCA34B26}" name="Lvl"/>
    <tableColumn id="3" xr3:uid="{A9C75AC5-EE93-4345-B51C-4500E2EF1C7A}" name="Role"/>
    <tableColumn id="4" xr3:uid="{9D422A7C-0A52-4D20-851B-1795EFD8E654}" name="Act"/>
    <tableColumn id="5" xr3:uid="{ED3A98A8-84AB-4106-B339-C22877EE1A55}" name="RL"/>
    <tableColumn id="6" xr3:uid="{62984779-294D-4FD2-BA09-0B19B1A8C11E}" name="First"/>
    <tableColumn id="7" xr3:uid="{099DADA1-6739-41FB-8158-95ADAE7FFE3E}" name="Last"/>
    <tableColumn id="8" xr3:uid="{B9CD7227-E8C8-4D14-8B1C-31925BCA6DFD}" name="Tm"/>
    <tableColumn id="9" xr3:uid="{652BDB3E-E632-48A5-9887-A79E73AD97C7}" name="Lvl2"/>
    <tableColumn id="10" xr3:uid="{D89DDF20-AD70-4CBF-BA07-0F7CADC87AD4}" name="Age" dataDxfId="186"/>
    <tableColumn id="11" xr3:uid="{135551F2-1E05-4CFD-BE24-B3932FCA7B45}" name="B"/>
    <tableColumn id="12" xr3:uid="{B5532D95-4F49-45E7-944C-6F922630836F}" name="T"/>
    <tableColumn id="13" xr3:uid="{2423BF5B-9319-4AE3-9095-31BBB2D79CA3}" name="OVR"/>
    <tableColumn id="14" xr3:uid="{F4230162-BC15-43DC-B911-D6B51D17D726}" name="POT" dataDxfId="185"/>
    <tableColumn id="15" xr3:uid="{4C81B5C1-E504-4113-B092-A134FB58604E}" name="WE"/>
    <tableColumn id="16" xr3:uid="{CA703C9F-9F42-41DB-88C1-6F2C2B8ACDF3}" name="INT"/>
    <tableColumn id="17" xr3:uid="{6ED25796-3738-40ED-AB7F-055A0D130769}" name="STU" dataDxfId="184"/>
    <tableColumn id="18" xr3:uid="{EDE3C38B-592C-48DF-AA24-69FE9FFC664E}" name="MOV"/>
    <tableColumn id="19" xr3:uid="{F7D0210D-1F92-4623-90F5-29039266F93C}" name="CON"/>
    <tableColumn id="20" xr3:uid="{A215B93F-4E58-489B-BD8E-53C5D93E1D49}" name="STU P" dataDxfId="183"/>
    <tableColumn id="21" xr3:uid="{5CB1E02C-6C6A-4216-8EB2-97DD9E870B70}" name="MOV P"/>
    <tableColumn id="22" xr3:uid="{C9AD3DD7-3E15-45BA-8283-8AD7ACC8056D}" name="CON P"/>
    <tableColumn id="23" xr3:uid="{6D240C32-00F4-4386-A4B6-D2D29CD3CF3A}" name="FB"/>
    <tableColumn id="24" xr3:uid="{87A9411D-A1A2-4C58-8965-7243FAB161EF}" name="FBP"/>
    <tableColumn id="25" xr3:uid="{4B767D6B-8691-46EB-AA35-CDE1AF9E3D07}" name="CH"/>
    <tableColumn id="26" xr3:uid="{3FEA5B2D-265C-4F78-8F9D-EE36CCA04EC0}" name="CHP"/>
    <tableColumn id="27" xr3:uid="{3F582ADE-A962-4725-9CA5-D606FFD69E94}" name="CB"/>
    <tableColumn id="28" xr3:uid="{93CDB589-556E-41DE-9E90-D3772C8413F5}" name="CBP"/>
    <tableColumn id="29" xr3:uid="{78D22D83-CF9E-48BD-A3F7-F5D05844F3E3}" name="SL"/>
    <tableColumn id="30" xr3:uid="{F3CF3FBB-2916-447B-B96A-0ACEB55C278B}" name="SLP"/>
    <tableColumn id="31" xr3:uid="{0E752877-3462-46C9-9629-B8E1BECAC74D}" name="SI"/>
    <tableColumn id="32" xr3:uid="{C4466288-5BF8-4DEB-A143-A5BCC82D67E5}" name="SIP"/>
    <tableColumn id="33" xr3:uid="{73D29808-EAF8-41F7-8818-5ADD5AFC90DC}" name="SP"/>
    <tableColumn id="34" xr3:uid="{80B0CE4F-D8E7-422A-B936-7DD0BE577CD8}" name="SPP"/>
    <tableColumn id="35" xr3:uid="{B673993E-C677-48B3-8CD0-437838C96156}" name="CT"/>
    <tableColumn id="36" xr3:uid="{7F0691D1-65F7-4D36-B58A-9774D2070E43}" name="CTP"/>
    <tableColumn id="37" xr3:uid="{F7D8BBEF-0C95-41F6-AF36-D032E0FFF269}" name="FO"/>
    <tableColumn id="38" xr3:uid="{27F62B12-4C6C-41DB-9C38-140BDD797C22}" name="FOP"/>
    <tableColumn id="39" xr3:uid="{68598831-8740-458A-9CDE-3516DB63EF08}" name="CC"/>
    <tableColumn id="40" xr3:uid="{237F7A84-BED6-4D94-9B8B-81348A81829C}" name="CCP"/>
    <tableColumn id="41" xr3:uid="{24F48129-4827-48DC-96F9-6EAF6680D5B8}" name="SC"/>
    <tableColumn id="42" xr3:uid="{FA607F3A-4BC9-4458-8632-1A97BA8E5F36}" name="SCP"/>
    <tableColumn id="43" xr3:uid="{71612056-A585-4C97-973B-2C1CF46A2238}" name="KC"/>
    <tableColumn id="44" xr3:uid="{7796BB92-D6B1-4F6B-9FCB-C845E4B443E3}" name="KCP" dataDxfId="182"/>
    <tableColumn id="45" xr3:uid="{177F7521-601B-495E-8B0B-A9BAB8E0C31C}" name="KN"/>
    <tableColumn id="46" xr3:uid="{D6C8E4EB-8D68-4802-A7C9-DCF1C6E5E93D}" name="KNP"/>
    <tableColumn id="47" xr3:uid="{59DA26FA-D7D6-4BEF-9A1C-0BCA58C4C0F8}" name="VELO" dataDxfId="181"/>
    <tableColumn id="48" xr3:uid="{F84B8D5C-7A9F-43AB-AEC1-F0C0779D8D90}" name="STM"/>
    <tableColumn id="49" xr3:uid="{67E4884E-BC95-4A30-9AF9-485FAAB271BC}" name="G/F" dataDxfId="180"/>
    <tableColumn id="50" xr3:uid="{3F0F74C8-774F-4EFF-9171-BBEA25BC17B5}" name="SLR"/>
    <tableColumn id="51" xr3:uid="{1CF0832F-BFBA-4392-91C0-A87F56F6B02E}" name="YL"/>
    <tableColumn id="52" xr3:uid="{8909B84B-9331-4C04-AEE1-841E8B042D03}" name="Sct Acc"/>
    <tableColumn id="53" xr3:uid="{E55D0EFA-1E63-4B89-A180-846B87F8A11C}" name="OVR SMC" dataDxfId="179">
      <calculatedColumnFormula>AVERAGE(Q11:S11)+0.25*MAX(0,(COUNT(W11,Y11,AA11,AC11,AE11,AG11,AI11,AK11,AM11,AO11,AQ11,AS11)-3))+IF(AW11&gt;0.55,0.25,0)+IF(MAX(W11,Y11,AA11,AC11,AE11,AG11,AI11,AK11,AM11,AO11,AQ11,AS11)&gt;5,0.25,0)</calculatedColumnFormula>
    </tableColumn>
    <tableColumn id="54" xr3:uid="{A07F50D1-577F-414B-A8F2-6F574E6BC1C9}" name="At Now" dataDxfId="178">
      <calculatedColumnFormula>IF(BA11&gt;9,"SuperStar",IF(BA11&gt;8,"Star",IF(BA11&gt;6.5,"GoodReg",IF(BA11&gt;5,"Reg",IF(BA11&gt;4,"Bench","Minors")))))</calculatedColumnFormula>
    </tableColumn>
    <tableColumn id="55" xr3:uid="{D0EB9BD3-2014-47E6-922E-1B79DD4CB34D}" name="POT SMC" dataDxfId="177">
      <calculatedColumnFormula>AVERAGE(T11:V11)+0.25*MAX(0,(COUNT(X11,Z11,AB11,AD11,AF11,AH11,AJ11,AL11,AN11,AP11,AR11,AT11)-3))+IF(AW11&gt;0.55,0.25,0)+IF(MAX(X11,Z11,AB11,AD11,AF11,AH11,AJ11,AL11,AN11,AP11,AR11,AT11)&gt;5,0.25,0)</calculatedColumnFormula>
    </tableColumn>
    <tableColumn id="56" xr3:uid="{1DB544DD-EBFB-4DB7-9490-73953CE37FB1}" name="At Now2" dataDxfId="176">
      <calculatedColumnFormula>IF(BC11&gt;9,"SuperStar",IF(BC11&gt;8,"Star",IF(BC11&gt;6.5,"GoodReg",IF(BC11&gt;5,"Reg",IF(BC11&gt;4,"Bench","Minors")))))</calculatedColumnFormula>
    </tableColumn>
    <tableColumn id="57" xr3:uid="{9779EE6A-E421-4BDA-B67C-BAAAA79A9622}" name="Exp" dataDxfId="175">
      <calculatedColumnFormula>MIN(BA11+(MAX(0,25-U11))^1.5,BC11)</calculatedColumnFormula>
    </tableColumn>
    <tableColumn id="58" xr3:uid="{7C114370-D798-4393-BE0A-B7314085A4C2}" name="At Exp" dataDxfId="174">
      <calculatedColumnFormula>IF(BE11&gt;9,"SuperStar",IF(BE11&gt;8,"Star",IF(BE11&gt;6.5,"GoodReg",IF(BE11&gt;5,"Reg",IF(BE11&gt;4,"Bench","Minors")))))</calculatedColumnFormula>
    </tableColumn>
    <tableColumn id="59" xr3:uid="{8537D588-0110-4F39-A497-47B9CFBE98BC}" name="Pitches" dataDxfId="173">
      <calculatedColumnFormula>COUNT(W11:AT11)/2</calculatedColumnFormula>
    </tableColumn>
    <tableColumn id="60" xr3:uid="{59EFA1A5-F022-41B2-9DFA-3907E424A63C}" name="QP" dataDxfId="172">
      <calculatedColumnFormula>COUNTIF(W11:AT11,"&gt;5")/2</calculatedColumnFormula>
    </tableColumn>
    <tableColumn id="61" xr3:uid="{8A6DCBC8-7DE6-4763-87FE-40C7D6F69F92}" name="FA?">
      <calculatedColumnFormula>IF(AY11=1,"Yes","")</calculatedColumnFormula>
    </tableColumn>
    <tableColumn id="62" xr3:uid="{F58679A3-CC68-4CC6-8587-A2E48317D3F6}" name="STU3" dataDxfId="171">
      <calculatedColumnFormula>IF(Q11="-","-",VLOOKUP($A11,AMAPit!$A$10:$AY$125,BJ$9,FALSE)-Q11)</calculatedColumnFormula>
    </tableColumn>
    <tableColumn id="63" xr3:uid="{220BE34F-9CB0-4F29-8308-70ACEC0149BD}" name="MOV4" dataDxfId="170">
      <calculatedColumnFormula>IF(R11="-","-",VLOOKUP($A11,AMAPit!$A$10:$AY$125,BK$9,FALSE)-R11)</calculatedColumnFormula>
    </tableColumn>
    <tableColumn id="64" xr3:uid="{D66BE27B-DD94-408E-95BD-0E3CF6E4FEDA}" name="CON5" dataDxfId="169">
      <calculatedColumnFormula>IF(S11="-","-",VLOOKUP($A11,AMAPit!$A$10:$AY$125,BL$9,FALSE)-S11)</calculatedColumnFormula>
    </tableColumn>
    <tableColumn id="65" xr3:uid="{02A3A3FC-F024-4DD3-B253-597D3A28BC3A}" name="STU P6" dataDxfId="168">
      <calculatedColumnFormula>IF(T11="-","-",VLOOKUP($A11,AMAPit!$A$10:$AY$125,BM$9,FALSE)-T11)</calculatedColumnFormula>
    </tableColumn>
    <tableColumn id="66" xr3:uid="{ADD935CA-7D0C-4CF1-A0C8-380F537D3D37}" name="MOV P7" dataDxfId="167">
      <calculatedColumnFormula>IF(U11="-","-",VLOOKUP($A11,AMAPit!$A$10:$AY$125,BN$9,FALSE)-U11)</calculatedColumnFormula>
    </tableColumn>
    <tableColumn id="67" xr3:uid="{9EB431A7-A140-4CD5-906D-0A71F9D76731}" name="CON P8" dataDxfId="166">
      <calculatedColumnFormula>IF(V11="-","-",VLOOKUP($A11,AMAPit!$A$10:$AY$125,BO$9,FALSE)-V11)</calculatedColumnFormula>
    </tableColumn>
    <tableColumn id="68" xr3:uid="{1FA1EC4D-1978-410B-9279-E02AAF08EA62}" name="FB9" dataDxfId="165">
      <calculatedColumnFormula>IF(W11="-","-",VLOOKUP($A11,AMAPit!$A$10:$AY$125,BP$9,FALSE)-W11)</calculatedColumnFormula>
    </tableColumn>
    <tableColumn id="69" xr3:uid="{C19C39DB-F4F3-4480-918B-53B9645C9DBE}" name="FBP10" dataDxfId="164">
      <calculatedColumnFormula>IF(X11="-","-",VLOOKUP($A11,AMAPit!$A$10:$AY$125,BQ$9,FALSE)-X11)</calculatedColumnFormula>
    </tableColumn>
    <tableColumn id="70" xr3:uid="{5C24D1FA-61A4-4F0C-89E0-C2240B40C7D9}" name="CH11" dataDxfId="163">
      <calculatedColumnFormula>IF(Y11="-","-",VLOOKUP($A11,AMAPit!$A$10:$AY$125,BR$9,FALSE)-Y11)</calculatedColumnFormula>
    </tableColumn>
    <tableColumn id="71" xr3:uid="{3597B44E-A42E-4E7D-88AC-7B46FAA84E26}" name="CHP12" dataDxfId="162">
      <calculatedColumnFormula>IF(Z11="-","-",VLOOKUP($A11,AMAPit!$A$10:$AY$125,BS$9,FALSE)-Z11)</calculatedColumnFormula>
    </tableColumn>
    <tableColumn id="72" xr3:uid="{2245E416-4992-48C2-A783-91A81995407F}" name="CB13" dataDxfId="161">
      <calculatedColumnFormula>IF(AA11="-","-",VLOOKUP($A11,AMAPit!$A$10:$AY$125,BT$9,FALSE)-AA11)</calculatedColumnFormula>
    </tableColumn>
    <tableColumn id="73" xr3:uid="{588B7963-B746-4944-B0B6-4E1B93CB9934}" name="CBP14" dataDxfId="160">
      <calculatedColumnFormula>IF(AB11="-","-",VLOOKUP($A11,AMAPit!$A$10:$AY$125,BU$9,FALSE)-AB11)</calculatedColumnFormula>
    </tableColumn>
    <tableColumn id="74" xr3:uid="{88AC1982-F660-4618-9AA2-7C6109D81382}" name="SL15" dataDxfId="159">
      <calculatedColumnFormula>IF(AC11="-","-",VLOOKUP($A11,AMAPit!$A$10:$AY$125,BV$9,FALSE)-AC11)</calculatedColumnFormula>
    </tableColumn>
    <tableColumn id="75" xr3:uid="{988FE6A6-44B3-4114-9481-CD357B7A3FAF}" name="SLP16" dataDxfId="158">
      <calculatedColumnFormula>IF(AD11="-","-",VLOOKUP($A11,AMAPit!$A$10:$AY$125,BW$9,FALSE)-AD11)</calculatedColumnFormula>
    </tableColumn>
    <tableColumn id="76" xr3:uid="{BA047402-5033-4AFD-BBC4-F56195007792}" name="SI17" dataDxfId="157">
      <calculatedColumnFormula>IF(AE11="-","-",VLOOKUP($A11,AMAPit!$A$10:$AY$125,BX$9,FALSE)-AE11)</calculatedColumnFormula>
    </tableColumn>
    <tableColumn id="77" xr3:uid="{554ADDFB-0517-4A2E-BD8A-6464460F651F}" name="SIP18" dataDxfId="156">
      <calculatedColumnFormula>IF(AF11="-","-",VLOOKUP($A11,AMAPit!$A$10:$AY$125,BY$9,FALSE)-AF11)</calculatedColumnFormula>
    </tableColumn>
    <tableColumn id="78" xr3:uid="{318A21CC-F234-4788-AD16-02649E7EDC80}" name="SP19" dataDxfId="155">
      <calculatedColumnFormula>IF(AG11="-","-",VLOOKUP($A11,AMAPit!$A$10:$AY$125,BZ$9,FALSE)-AG11)</calculatedColumnFormula>
    </tableColumn>
    <tableColumn id="79" xr3:uid="{4565AC75-1B51-4938-AD11-035055E94FA5}" name="SPP20" dataDxfId="154">
      <calculatedColumnFormula>IF(AH11="-","-",VLOOKUP($A11,AMAPit!$A$10:$AY$125,CA$9,FALSE)-AH11)</calculatedColumnFormula>
    </tableColumn>
    <tableColumn id="80" xr3:uid="{413918AF-34BD-4AB4-BBDB-E59AE829130E}" name="CT21" dataDxfId="153">
      <calculatedColumnFormula>IF(AI11="-","-",VLOOKUP($A11,AMAPit!$A$10:$AY$125,CB$9,FALSE)-AI11)</calculatedColumnFormula>
    </tableColumn>
    <tableColumn id="81" xr3:uid="{27D510F3-323F-442E-AF5A-8384301F2075}" name="CTP22" dataDxfId="152">
      <calculatedColumnFormula>IF(AJ11="-","-",VLOOKUP($A11,AMAPit!$A$10:$AY$125,CC$9,FALSE)-AJ11)</calculatedColumnFormula>
    </tableColumn>
    <tableColumn id="82" xr3:uid="{AF8A72DA-B088-46A2-9144-D9903453D0BB}" name="FO23" dataDxfId="151">
      <calculatedColumnFormula>IF(AK11="-","-",VLOOKUP($A11,AMAPit!$A$10:$AY$125,CD$9,FALSE)-AK11)</calculatedColumnFormula>
    </tableColumn>
    <tableColumn id="83" xr3:uid="{2393E93D-12FC-47CE-B3C0-7CCAB69A7FAA}" name="FOP24" dataDxfId="150">
      <calculatedColumnFormula>IF(AL11="-","-",VLOOKUP($A11,AMAPit!$A$10:$AY$125,CE$9,FALSE)-AL11)</calculatedColumnFormula>
    </tableColumn>
    <tableColumn id="84" xr3:uid="{D1411589-CDFB-4F3A-A337-350209B948CE}" name="CC25" dataDxfId="149">
      <calculatedColumnFormula>IF(AM11="-","-",VLOOKUP($A11,AMAPit!$A$10:$AY$125,CF$9,FALSE)-AM11)</calculatedColumnFormula>
    </tableColumn>
    <tableColumn id="85" xr3:uid="{67B7A857-307C-42CE-9572-9602733F1D15}" name="CCP26" dataDxfId="148">
      <calculatedColumnFormula>IF(AN11="-","-",VLOOKUP($A11,AMAPit!$A$10:$AY$125,CG$9,FALSE)-AN11)</calculatedColumnFormula>
    </tableColumn>
    <tableColumn id="86" xr3:uid="{5ABF536A-6254-4670-A6F8-FAF2FB3F061B}" name="SC27" dataDxfId="147">
      <calculatedColumnFormula>IF(AO11="-","-",VLOOKUP($A11,AMAPit!$A$10:$AY$125,CH$9,FALSE)-AO11)</calculatedColumnFormula>
    </tableColumn>
    <tableColumn id="87" xr3:uid="{7794E777-9A6F-4331-94B9-3180A44804A3}" name="SCP28" dataDxfId="146">
      <calculatedColumnFormula>IF(AP11="-","-",VLOOKUP($A11,AMAPit!$A$10:$AY$125,CI$9,FALSE)-AP11)</calculatedColumnFormula>
    </tableColumn>
    <tableColumn id="88" xr3:uid="{34FA5109-1493-4AC4-BC73-8B253D73B8BC}" name="KC29" dataDxfId="145">
      <calculatedColumnFormula>IF(AQ11="-","-",VLOOKUP($A11,AMAPit!$A$10:$AY$125,CJ$9,FALSE)-AQ11)</calculatedColumnFormula>
    </tableColumn>
    <tableColumn id="89" xr3:uid="{47ECDC6A-DE33-4FFF-A588-248EF36ECD88}" name="KCP30" dataDxfId="144">
      <calculatedColumnFormula>IF(AR11="-","-",VLOOKUP($A11,AMAPit!$A$10:$AY$125,CK$9,FALSE)-AR11)</calculatedColumnFormula>
    </tableColumn>
    <tableColumn id="90" xr3:uid="{6DEF2099-8237-411B-91D0-C2DDF5DF3855}" name="KN31" dataDxfId="143">
      <calculatedColumnFormula>IF(AS11="-","-",VLOOKUP($A11,AMAPit!$A$10:$AY$125,CL$9,FALSE)-AS11)</calculatedColumnFormula>
    </tableColumn>
    <tableColumn id="91" xr3:uid="{53F75757-78A6-43AF-8DC2-4FD01FD26E6C}" name="KNP32" dataDxfId="142">
      <calculatedColumnFormula>IF(AT11="-","-",VLOOKUP($A11,AMAPit!$A$10:$AY$125,CM$9,FALSE)-AT11)</calculatedColumnFormula>
    </tableColumn>
    <tableColumn id="92" xr3:uid="{9DC8F76C-1C10-465C-9D88-044A91841D76}" name="Tot">
      <calculatedColumnFormula>SUM(BJ11:CM11)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pebabaseball.com/statslab/payroll.php?player=3536" TargetMode="External"/><Relationship Id="rId18" Type="http://schemas.openxmlformats.org/officeDocument/2006/relationships/hyperlink" Target="http://pebabaseball.com/statslab/payroll.php?player=17243" TargetMode="External"/><Relationship Id="rId26" Type="http://schemas.openxmlformats.org/officeDocument/2006/relationships/hyperlink" Target="http://pebabaseball.com/statslab/payroll.php?player=15005" TargetMode="External"/><Relationship Id="rId21" Type="http://schemas.openxmlformats.org/officeDocument/2006/relationships/hyperlink" Target="http://pebabaseball.com/statslab/payroll.php?player=16468" TargetMode="External"/><Relationship Id="rId34" Type="http://schemas.openxmlformats.org/officeDocument/2006/relationships/hyperlink" Target="http://pebabaseball.com/statslab/payroll.php?player=16014" TargetMode="External"/><Relationship Id="rId7" Type="http://schemas.openxmlformats.org/officeDocument/2006/relationships/hyperlink" Target="http://pebabaseball.com/statslab/payroll.php?player=11899" TargetMode="External"/><Relationship Id="rId12" Type="http://schemas.openxmlformats.org/officeDocument/2006/relationships/hyperlink" Target="http://pebabaseball.com/statslab/payroll.php?player=12771" TargetMode="External"/><Relationship Id="rId17" Type="http://schemas.openxmlformats.org/officeDocument/2006/relationships/hyperlink" Target="http://pebabaseball.com/statslab/payroll.php?player=4357" TargetMode="External"/><Relationship Id="rId25" Type="http://schemas.openxmlformats.org/officeDocument/2006/relationships/hyperlink" Target="http://pebabaseball.com/statslab/payroll.php?player=13448" TargetMode="External"/><Relationship Id="rId33" Type="http://schemas.openxmlformats.org/officeDocument/2006/relationships/hyperlink" Target="http://pebabaseball.com/statslab/payroll.php?player=12788" TargetMode="External"/><Relationship Id="rId2" Type="http://schemas.openxmlformats.org/officeDocument/2006/relationships/hyperlink" Target="http://pebabaseball.com/statslab/payroll.php?player=10939" TargetMode="External"/><Relationship Id="rId16" Type="http://schemas.openxmlformats.org/officeDocument/2006/relationships/hyperlink" Target="http://pebabaseball.com/statslab/payroll.php?player=6288" TargetMode="External"/><Relationship Id="rId20" Type="http://schemas.openxmlformats.org/officeDocument/2006/relationships/hyperlink" Target="http://pebabaseball.com/statslab/payroll.php?player=16969" TargetMode="External"/><Relationship Id="rId29" Type="http://schemas.openxmlformats.org/officeDocument/2006/relationships/hyperlink" Target="http://pebabaseball.com/statslab/payroll.php?player=11436" TargetMode="External"/><Relationship Id="rId1" Type="http://schemas.openxmlformats.org/officeDocument/2006/relationships/hyperlink" Target="http://pebabaseball.com/statslab/payroll.php?player=9979" TargetMode="External"/><Relationship Id="rId6" Type="http://schemas.openxmlformats.org/officeDocument/2006/relationships/hyperlink" Target="http://pebabaseball.com/statslab/payroll.php?player=7421" TargetMode="External"/><Relationship Id="rId11" Type="http://schemas.openxmlformats.org/officeDocument/2006/relationships/hyperlink" Target="http://pebabaseball.com/statslab/payroll.php?player=1526" TargetMode="External"/><Relationship Id="rId24" Type="http://schemas.openxmlformats.org/officeDocument/2006/relationships/hyperlink" Target="http://pebabaseball.com/statslab/payroll.php?player=15918" TargetMode="External"/><Relationship Id="rId32" Type="http://schemas.openxmlformats.org/officeDocument/2006/relationships/hyperlink" Target="http://pebabaseball.com/statslab/payroll.php?player=16073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://pebabaseball.com/statslab/payroll.php?player=7919" TargetMode="External"/><Relationship Id="rId15" Type="http://schemas.openxmlformats.org/officeDocument/2006/relationships/hyperlink" Target="http://pebabaseball.com/statslab/payroll.php?player=5583" TargetMode="External"/><Relationship Id="rId23" Type="http://schemas.openxmlformats.org/officeDocument/2006/relationships/hyperlink" Target="http://pebabaseball.com/statslab/payroll.php?player=16071" TargetMode="External"/><Relationship Id="rId28" Type="http://schemas.openxmlformats.org/officeDocument/2006/relationships/hyperlink" Target="http://pebabaseball.com/statslab/payroll.php?player=4501" TargetMode="External"/><Relationship Id="rId36" Type="http://schemas.openxmlformats.org/officeDocument/2006/relationships/hyperlink" Target="http://pebabaseball.com/statslab/payroll.php?player=6349" TargetMode="External"/><Relationship Id="rId10" Type="http://schemas.openxmlformats.org/officeDocument/2006/relationships/hyperlink" Target="http://pebabaseball.com/statslab/payroll.php?player=8312" TargetMode="External"/><Relationship Id="rId19" Type="http://schemas.openxmlformats.org/officeDocument/2006/relationships/hyperlink" Target="http://pebabaseball.com/statslab/payroll.php?player=17237" TargetMode="External"/><Relationship Id="rId31" Type="http://schemas.openxmlformats.org/officeDocument/2006/relationships/hyperlink" Target="http://pebabaseball.com/statslab/payroll.php?player=13447" TargetMode="External"/><Relationship Id="rId4" Type="http://schemas.openxmlformats.org/officeDocument/2006/relationships/hyperlink" Target="http://pebabaseball.com/statslab/payroll.php?player=12856" TargetMode="External"/><Relationship Id="rId9" Type="http://schemas.openxmlformats.org/officeDocument/2006/relationships/hyperlink" Target="http://pebabaseball.com/statslab/payroll.php?player=15300" TargetMode="External"/><Relationship Id="rId14" Type="http://schemas.openxmlformats.org/officeDocument/2006/relationships/hyperlink" Target="http://pebabaseball.com/statslab/payroll.php?player=7487" TargetMode="External"/><Relationship Id="rId22" Type="http://schemas.openxmlformats.org/officeDocument/2006/relationships/hyperlink" Target="http://pebabaseball.com/statslab/payroll.php?player=16076" TargetMode="External"/><Relationship Id="rId27" Type="http://schemas.openxmlformats.org/officeDocument/2006/relationships/hyperlink" Target="http://pebabaseball.com/statslab/payroll.php?player=14215" TargetMode="External"/><Relationship Id="rId30" Type="http://schemas.openxmlformats.org/officeDocument/2006/relationships/hyperlink" Target="http://pebabaseball.com/statslab/payroll.php?player=5210" TargetMode="External"/><Relationship Id="rId35" Type="http://schemas.openxmlformats.org/officeDocument/2006/relationships/hyperlink" Target="http://pebabaseball.com/statslab/payroll.php?player=4598" TargetMode="External"/><Relationship Id="rId8" Type="http://schemas.openxmlformats.org/officeDocument/2006/relationships/hyperlink" Target="http://pebabaseball.com/statslab/payroll.php?player=5556" TargetMode="External"/><Relationship Id="rId3" Type="http://schemas.openxmlformats.org/officeDocument/2006/relationships/hyperlink" Target="http://pebabaseball.com/statslab/payroll.php?player=804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babaseball.com/reports/news/html/players/player_334.html" TargetMode="External"/><Relationship Id="rId2" Type="http://schemas.openxmlformats.org/officeDocument/2006/relationships/hyperlink" Target="http://www.pebabaseball.com/reports/news/html/players/player_9745.html" TargetMode="External"/><Relationship Id="rId1" Type="http://schemas.openxmlformats.org/officeDocument/2006/relationships/hyperlink" Target="http://www.pebabaseball.com/reports/news/html/players/player_11143.html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pebabaseball.com/reports/news/html/players/player_4374.html" TargetMode="External"/><Relationship Id="rId4" Type="http://schemas.openxmlformats.org/officeDocument/2006/relationships/hyperlink" Target="http://www.pebabaseball.com/reports/news/html/players/player_2252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>
    <tabColor theme="2" tint="-0.499984740745262"/>
  </sheetPr>
  <dimension ref="A1:AZ74"/>
  <sheetViews>
    <sheetView zoomScale="85" zoomScaleNormal="85" workbookViewId="0">
      <pane ySplit="1" topLeftCell="A42" activePane="bottomLeft" state="frozen"/>
      <selection pane="bottomLeft" activeCell="D80" sqref="D80"/>
    </sheetView>
  </sheetViews>
  <sheetFormatPr defaultRowHeight="15" x14ac:dyDescent="0.25"/>
  <cols>
    <col min="1" max="1" width="3.140625" bestFit="1" customWidth="1"/>
    <col min="2" max="2" width="10.7109375" style="1" bestFit="1" customWidth="1"/>
    <col min="3" max="3" width="20" style="19" bestFit="1" customWidth="1"/>
    <col min="4" max="4" width="8.28515625" style="19" bestFit="1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0.42578125" bestFit="1" customWidth="1"/>
    <col min="27" max="27" width="4.28515625" bestFit="1" customWidth="1"/>
    <col min="28" max="29" width="4.7109375" bestFit="1" customWidth="1"/>
    <col min="30" max="32" width="3.7109375" bestFit="1" customWidth="1"/>
    <col min="33" max="33" width="4.7109375" bestFit="1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D1" s="19">
        <v>12</v>
      </c>
      <c r="E1" s="19">
        <v>13</v>
      </c>
      <c r="J1">
        <v>31</v>
      </c>
      <c r="K1">
        <v>29</v>
      </c>
      <c r="L1">
        <v>30</v>
      </c>
      <c r="M1">
        <v>32</v>
      </c>
      <c r="N1">
        <v>33</v>
      </c>
      <c r="O1">
        <v>34</v>
      </c>
      <c r="P1">
        <v>35</v>
      </c>
      <c r="Q1">
        <v>36</v>
      </c>
      <c r="R1">
        <v>37</v>
      </c>
      <c r="S1">
        <v>38</v>
      </c>
      <c r="T1">
        <v>39</v>
      </c>
      <c r="AD1">
        <v>19</v>
      </c>
      <c r="AE1">
        <v>20</v>
      </c>
      <c r="AF1">
        <v>21</v>
      </c>
      <c r="AG1">
        <v>22</v>
      </c>
      <c r="AH1">
        <v>23</v>
      </c>
      <c r="AI1">
        <v>40</v>
      </c>
      <c r="AJ1">
        <v>41</v>
      </c>
      <c r="AU1">
        <v>24</v>
      </c>
      <c r="AV1">
        <v>25</v>
      </c>
      <c r="AW1">
        <v>26</v>
      </c>
      <c r="AX1">
        <v>27</v>
      </c>
      <c r="AY1">
        <v>28</v>
      </c>
    </row>
    <row r="2" spans="1:52" s="17" customFormat="1" ht="215.25" x14ac:dyDescent="0.25">
      <c r="A2" s="18" t="s">
        <v>170</v>
      </c>
      <c r="B2" s="36" t="s">
        <v>102</v>
      </c>
      <c r="C2" s="37" t="str">
        <f>"Player ("&amp;COUNTA(C3:C11)&amp;")"</f>
        <v>Player (7)</v>
      </c>
      <c r="D2" s="37" t="s">
        <v>70</v>
      </c>
      <c r="E2" s="37" t="s">
        <v>80</v>
      </c>
      <c r="F2" s="44" t="e">
        <f>"Only 1 guy who plays only 1B ("&amp;SUM(F3:F11)&amp;")"</f>
        <v>#N/A</v>
      </c>
      <c r="G2" s="38" t="e">
        <f>"Only 1 guy who can only play 1B or LF ("&amp;SUM(G3:G11)&amp;")"</f>
        <v>#N/A</v>
      </c>
      <c r="H2" s="39" t="e">
        <f>"2 guys with RF arms ("&amp;SUM(H3:H11)&amp;")"</f>
        <v>#N/A</v>
      </c>
      <c r="I2" s="39" t="str">
        <f>"2 guys with CF range ("&amp;SUM(I3:I11)&amp;")"</f>
        <v>2 guys with CF range (0)</v>
      </c>
      <c r="J2" s="48" t="s">
        <v>114</v>
      </c>
      <c r="K2" s="40" t="s">
        <v>112</v>
      </c>
      <c r="L2" s="49" t="s">
        <v>113</v>
      </c>
      <c r="M2" s="41" t="s">
        <v>71</v>
      </c>
      <c r="N2" s="41" t="s">
        <v>73</v>
      </c>
      <c r="O2" s="41" t="s">
        <v>74</v>
      </c>
      <c r="P2" s="41" t="s">
        <v>75</v>
      </c>
      <c r="Q2" s="41" t="s">
        <v>76</v>
      </c>
      <c r="R2" s="41" t="s">
        <v>77</v>
      </c>
      <c r="S2" s="41" t="s">
        <v>78</v>
      </c>
      <c r="T2" s="42" t="s">
        <v>79</v>
      </c>
      <c r="U2" s="44" t="s">
        <v>115</v>
      </c>
      <c r="V2" s="38" t="s">
        <v>158</v>
      </c>
      <c r="W2" s="38" t="s">
        <v>116</v>
      </c>
      <c r="X2" s="38" t="s">
        <v>132</v>
      </c>
      <c r="Y2" s="38" t="s">
        <v>131</v>
      </c>
      <c r="Z2" s="38" t="s">
        <v>119</v>
      </c>
      <c r="AA2" s="38" t="s">
        <v>120</v>
      </c>
      <c r="AB2" s="38" t="s">
        <v>136</v>
      </c>
      <c r="AC2" s="53" t="s">
        <v>121</v>
      </c>
      <c r="AD2" s="41" t="s">
        <v>125</v>
      </c>
      <c r="AE2" s="41" t="s">
        <v>126</v>
      </c>
      <c r="AF2" s="41" t="s">
        <v>127</v>
      </c>
      <c r="AG2" s="41" t="s">
        <v>128</v>
      </c>
      <c r="AH2" s="41" t="s">
        <v>21</v>
      </c>
      <c r="AI2" s="56" t="s">
        <v>129</v>
      </c>
      <c r="AJ2" s="42" t="s">
        <v>130</v>
      </c>
      <c r="AK2" s="59" t="s">
        <v>134</v>
      </c>
      <c r="AL2" s="44" t="s">
        <v>115</v>
      </c>
      <c r="AM2" s="38" t="s">
        <v>158</v>
      </c>
      <c r="AN2" s="38" t="s">
        <v>116</v>
      </c>
      <c r="AO2" s="38" t="s">
        <v>132</v>
      </c>
      <c r="AP2" s="38" t="s">
        <v>131</v>
      </c>
      <c r="AQ2" s="38" t="s">
        <v>119</v>
      </c>
      <c r="AR2" s="38" t="s">
        <v>120</v>
      </c>
      <c r="AS2" s="38" t="s">
        <v>136</v>
      </c>
      <c r="AT2" s="53" t="s">
        <v>121</v>
      </c>
      <c r="AU2" s="56" t="s">
        <v>125</v>
      </c>
      <c r="AV2" s="41" t="s">
        <v>126</v>
      </c>
      <c r="AW2" s="41" t="s">
        <v>127</v>
      </c>
      <c r="AX2" s="41" t="s">
        <v>128</v>
      </c>
      <c r="AY2" s="42" t="s">
        <v>21</v>
      </c>
      <c r="AZ2" s="59" t="s">
        <v>174</v>
      </c>
    </row>
    <row r="3" spans="1:52" x14ac:dyDescent="0.25">
      <c r="A3">
        <v>1</v>
      </c>
      <c r="B3" s="25" t="s">
        <v>73</v>
      </c>
      <c r="C3" s="30" t="s">
        <v>1159</v>
      </c>
      <c r="D3" s="30">
        <f>IF($C3="","",INDEX(AllBatters[[#All],[Age]],MATCH($C3,AllBatters[[#All],[Name]],0)))</f>
        <v>30</v>
      </c>
      <c r="E3" s="26" t="str">
        <f>IF($C3="","",INDEX(AllBatters[[#All],[B]],MATCH($C3,AllBatters[[#All],[Name]],0)))</f>
        <v>R</v>
      </c>
      <c r="F3" s="45">
        <f t="shared" ref="F3:F11" si="0">IF($C3="","",IF(AND(O3&gt;0,O3=SUM(M3:T3)),1,0))</f>
        <v>0</v>
      </c>
      <c r="G3" s="27">
        <f t="shared" ref="G3:G11" si="1">IF($C3="","",IF(Q3&lt;&gt;"-",1,0))</f>
        <v>0</v>
      </c>
      <c r="H3" s="27">
        <f t="shared" ref="H3:H11" si="2">IF($C3="","",IF(AND(K3&gt;5,P3&lt;&gt;"-"),1,0))</f>
        <v>0</v>
      </c>
      <c r="I3" s="27" t="str">
        <f t="shared" ref="I3:I11" si="3">IF($C3="","","-")</f>
        <v>-</v>
      </c>
      <c r="J3" s="50">
        <f>IF($C3="","",INDEX(AllBatters[[#All],[C ARM]],MATCH($C3,AllBatters[[#All],[Name]],0)))</f>
        <v>1</v>
      </c>
      <c r="K3" s="26">
        <f>IF($C3="","",INDEX(AllBatters[[#All],[IF ARM]],MATCH($C3,AllBatters[[#All],[Name]],0)))</f>
        <v>3</v>
      </c>
      <c r="L3" s="28">
        <f>IF($C3="","",INDEX(AllBatters[[#All],[OF ARM]],MATCH($C3,AllBatters[[#All],[Name]],0)))</f>
        <v>5</v>
      </c>
      <c r="M3" s="26" t="str">
        <f>IF($C3="","",INDEX(AllBatters[[#All],[C]],MATCH($C3,AllBatters[[#All],[Name]],0)))</f>
        <v>-</v>
      </c>
      <c r="N3" s="26">
        <f>IF($C3="","",INDEX(AllBatters[[#All],[1B]],MATCH($C3,AllBatters[[#All],[Name]],0)))</f>
        <v>8</v>
      </c>
      <c r="O3" s="26" t="str">
        <f>IF($C3="","",INDEX(AllBatters[[#All],[2B]],MATCH($C3,AllBatters[[#All],[Name]],0)))</f>
        <v>-</v>
      </c>
      <c r="P3" s="26" t="str">
        <f>IF($C3="","",INDEX(AllBatters[[#All],[3B]],MATCH($C3,AllBatters[[#All],[Name]],0)))</f>
        <v>-</v>
      </c>
      <c r="Q3" s="26" t="str">
        <f>IF($C3="","",INDEX(AllBatters[[#All],[SS]],MATCH($C3,AllBatters[[#All],[Name]],0)))</f>
        <v>-</v>
      </c>
      <c r="R3" s="26">
        <f>IF($C3="","",INDEX(AllBatters[[#All],[LF]],MATCH($C3,AllBatters[[#All],[Name]],0)))</f>
        <v>2</v>
      </c>
      <c r="S3" s="26" t="str">
        <f>IF($C3="","",INDEX(AllBatters[[#All],[CF]],MATCH($C3,AllBatters[[#All],[Name]],0)))</f>
        <v>-</v>
      </c>
      <c r="T3" s="28">
        <f>IF($C3="","",INDEX(AllBatters[[#All],[RF]],MATCH($C3,AllBatters[[#All],[Name]],0)))</f>
        <v>2</v>
      </c>
      <c r="U3" s="46">
        <f t="shared" ref="U3:U11" si="4">IF($C3="","",IF(OR(AD3+AG3&gt;14,AND(OR(AD3+AG3&gt;12,AND(AD3&gt;6,AG3&gt;6)),AI3&gt;6,OR(AJ3&gt;=AI3,AJ3&gt;6))),1,0))</f>
        <v>0</v>
      </c>
      <c r="V3" s="5">
        <f t="shared" ref="V3:V11" si="5">IF($C3="","",IF(OR(AND(AD3&gt;6,AH3&gt;6),AD3+AG3&gt;12),1,0))</f>
        <v>1</v>
      </c>
      <c r="W3" s="27">
        <f t="shared" ref="W3:W11" si="6">IF($C3="","",IF(AND(AD3&gt;6,AF3&gt;6,AG3&gt;6),1,0))</f>
        <v>0</v>
      </c>
      <c r="X3" s="27">
        <f t="shared" ref="X3:X11" si="7">IF($C3="","",IF(AND(AF3&gt;7,OR(AD3&gt;6,AG3&gt;6)),1,0))</f>
        <v>1</v>
      </c>
      <c r="Y3" s="27">
        <f t="shared" ref="Y3:Y11" si="8">IF($C3="","",IF(AND(AF3&gt;6,OR(AD3&gt;6,AG3&gt;6)),1,0))</f>
        <v>1</v>
      </c>
      <c r="Z3" s="27">
        <f t="shared" ref="Z3:Z11" si="9">IF($C3="","",IF(AND(OR(AD3&gt;6,AF3&gt;6),OR(AD3&gt;6,AG3&gt;6)),1,0))</f>
        <v>1</v>
      </c>
      <c r="AA3" s="27">
        <f t="shared" ref="AA3:AA11" si="10">IF($C3="","",IF(AND(AD3&gt;4,OR(AD3&gt;6,AF3&gt;6,AG3&gt;6)),1,0))</f>
        <v>1</v>
      </c>
      <c r="AB3" s="27">
        <f t="shared" ref="AB3:AB11" si="11">IF($C3="","",IF(AND(AD3&gt;4,OR(AD3&gt;6,AE3&gt;6,AF3&gt;6,AG3&gt;6)),1,0))</f>
        <v>1</v>
      </c>
      <c r="AC3" s="54">
        <f t="shared" ref="AC3:AC11" si="12">IF($C3="","",IF(AND(AD3&gt;4,MAX(AD3:AH3)&gt;6),1,0))</f>
        <v>1</v>
      </c>
      <c r="AD3" s="26">
        <f>IF($C3="","",INDEX(AllBatters[[#All],[CON]],MATCH($C3,AllBatters[[#All],[Name]],0)))</f>
        <v>5</v>
      </c>
      <c r="AE3" s="26">
        <f>IF($C3="","",INDEX(AllBatters[[#All],[GAP]],MATCH($C3,AllBatters[[#All],[Name]],0)))</f>
        <v>6</v>
      </c>
      <c r="AF3" s="26">
        <f>IF($C3="","",INDEX(AllBatters[[#All],[POW]],MATCH($C3,AllBatters[[#All],[Name]],0)))</f>
        <v>8</v>
      </c>
      <c r="AG3" s="26">
        <f>IF($C3="","",INDEX(AllBatters[[#All],[EYE]],MATCH($C3,AllBatters[[#All],[Name]],0)))</f>
        <v>8</v>
      </c>
      <c r="AH3" s="26">
        <f>IF($C3="","",INDEX(AllBatters[[#All],[K''s]],MATCH($C3,AllBatters[[#All],[Name]],0)))</f>
        <v>4</v>
      </c>
      <c r="AI3" s="50">
        <f>IF($C3="","",INDEX(AllBatters[[#All],[SPE]],MATCH($C3,AllBatters[[#All],[Name]],0)))</f>
        <v>3</v>
      </c>
      <c r="AJ3" s="28">
        <f>IF($C3="","",INDEX(AllBatters[[#All],[STE]],MATCH($C3,AllBatters[[#All],[Name]],0)))</f>
        <v>5</v>
      </c>
      <c r="AK3" s="60">
        <f>IF($C3="","",INDEX(AllBatters[[#All],[nCPE Avg]],MATCH($C3,AllBatters[[#All],[Name]],0)))</f>
        <v>6.75</v>
      </c>
      <c r="AL3" s="45">
        <f t="shared" ref="AL3:AL11" si="13">IF($C3="","",IF(AND(OR(AU3+AX3&gt;12,AND(AU3&gt;6,AX3&gt;6)),AI3&gt;6,OR(AJ3&gt;=AI3,AJ3&gt;6)),1,0))</f>
        <v>0</v>
      </c>
      <c r="AM3" s="27">
        <f t="shared" ref="AM3:AM11" si="14">IF($C3="","",IF(OR(AND(AU3&gt;6,AY3&gt;6),AU3+AX3&gt;12),1,0))</f>
        <v>1</v>
      </c>
      <c r="AN3" s="27">
        <f t="shared" ref="AN3:AN11" si="15">IF($C3="","",IF(AND(AU3&gt;6,AW3&gt;6,AX3&gt;6),1,0))</f>
        <v>0</v>
      </c>
      <c r="AO3" s="27">
        <f t="shared" ref="AO3:AO11" si="16">IF($C3="","",IF(AND(AW3&gt;7,OR(AU3&gt;6,AX3&gt;6)),1,0))</f>
        <v>1</v>
      </c>
      <c r="AP3" s="27">
        <f t="shared" ref="AP3:AP11" si="17">IF($C3="","",IF(AND(AW3&gt;6,OR(AU3&gt;6,AX3&gt;6)),1,0))</f>
        <v>1</v>
      </c>
      <c r="AQ3" s="27">
        <f t="shared" ref="AQ3:AQ11" si="18">IF($C3="","",IF(AND(OR(AU3&gt;6,AW3&gt;6),OR(AU3&gt;6,AX3&gt;6)),1,0))</f>
        <v>1</v>
      </c>
      <c r="AR3" s="27">
        <f t="shared" ref="AR3:AR11" si="19">IF($C3="","",IF(AND(AU3&gt;4,OR(AU3&gt;6,AW3&gt;6,AX3&gt;6)),1,0))</f>
        <v>1</v>
      </c>
      <c r="AS3" s="27">
        <f t="shared" ref="AS3:AS11" si="20">IF($C3="","",IF(AND(AU3&gt;4,OR(AU3&gt;6,AV3&gt;6,AW3&gt;6,AX3&gt;6)),1,0))</f>
        <v>1</v>
      </c>
      <c r="AT3" s="54">
        <f t="shared" ref="AT3:AT11" si="21">IF($C3="","",IF(AND(AU3&gt;4,MAX(AU3:AY3)&gt;6),1,0))</f>
        <v>1</v>
      </c>
      <c r="AU3" s="50">
        <f>IF($C3="","",INDEX(AllBatters[[#All],[CON P]],MATCH($C3,AllBatters[[#All],[Name]],0)))</f>
        <v>5</v>
      </c>
      <c r="AV3" s="26">
        <f>IF($C3="","",INDEX(AllBatters[[#All],[GAP P]],MATCH($C3,AllBatters[[#All],[Name]],0)))</f>
        <v>6</v>
      </c>
      <c r="AW3" s="26">
        <f>IF($C3="","",INDEX(AllBatters[[#All],[POW P]],MATCH($C3,AllBatters[[#All],[Name]],0)))</f>
        <v>8</v>
      </c>
      <c r="AX3" s="26">
        <f>IF($C3="","",INDEX(AllBatters[[#All],[EYE P]],MATCH($C3,AllBatters[[#All],[Name]],0)))</f>
        <v>8</v>
      </c>
      <c r="AY3" s="28">
        <f>IF($C3="","",INDEX(AllBatters[[#All],[K P]],MATCH($C3,AllBatters[[#All],[Name]],0)))</f>
        <v>4</v>
      </c>
      <c r="AZ3" s="60">
        <f>IF($C3="","",INDEX(AllBatters[[#All],[fCPE Avg]],MATCH($C3,AllBatters[[#All],[Name]],0)))</f>
        <v>6.75</v>
      </c>
    </row>
    <row r="4" spans="1:52" x14ac:dyDescent="0.25">
      <c r="A4">
        <v>2</v>
      </c>
      <c r="B4" s="29" t="s">
        <v>77</v>
      </c>
      <c r="C4" s="30" t="s">
        <v>1174</v>
      </c>
      <c r="D4" s="30" t="e">
        <f>IF($C4="","",INDEX(AllBatters[[#All],[Age]],MATCH($C4,AllBatters[[#All],[Name]],0)))</f>
        <v>#N/A</v>
      </c>
      <c r="E4" s="30" t="e">
        <f>IF($C4="","",INDEX(AllBatters[[#All],[B]],MATCH($C4,AllBatters[[#All],[Name]],0)))</f>
        <v>#N/A</v>
      </c>
      <c r="F4" s="46" t="e">
        <f t="shared" si="0"/>
        <v>#N/A</v>
      </c>
      <c r="G4" s="5" t="e">
        <f t="shared" si="1"/>
        <v>#N/A</v>
      </c>
      <c r="H4" s="5" t="e">
        <f t="shared" si="2"/>
        <v>#N/A</v>
      </c>
      <c r="I4" s="5" t="str">
        <f t="shared" si="3"/>
        <v>-</v>
      </c>
      <c r="J4" s="51" t="e">
        <f>IF($C4="","",INDEX(AllBatters[[#All],[C ARM]],MATCH($C4,AllBatters[[#All],[Name]],0)))</f>
        <v>#N/A</v>
      </c>
      <c r="K4" s="30" t="e">
        <f>IF($C4="","",INDEX(AllBatters[[#All],[IF ARM]],MATCH($C4,AllBatters[[#All],[Name]],0)))</f>
        <v>#N/A</v>
      </c>
      <c r="L4" s="31" t="e">
        <f>IF($C4="","",INDEX(AllBatters[[#All],[OF ARM]],MATCH($C4,AllBatters[[#All],[Name]],0)))</f>
        <v>#N/A</v>
      </c>
      <c r="M4" s="30" t="e">
        <f>IF($C4="","",INDEX(AllBatters[[#All],[C]],MATCH($C4,AllBatters[[#All],[Name]],0)))</f>
        <v>#N/A</v>
      </c>
      <c r="N4" s="30" t="e">
        <f>IF($C4="","",INDEX(AllBatters[[#All],[1B]],MATCH($C4,AllBatters[[#All],[Name]],0)))</f>
        <v>#N/A</v>
      </c>
      <c r="O4" s="30" t="e">
        <f>IF($C4="","",INDEX(AllBatters[[#All],[2B]],MATCH($C4,AllBatters[[#All],[Name]],0)))</f>
        <v>#N/A</v>
      </c>
      <c r="P4" s="30" t="e">
        <f>IF($C4="","",INDEX(AllBatters[[#All],[3B]],MATCH($C4,AllBatters[[#All],[Name]],0)))</f>
        <v>#N/A</v>
      </c>
      <c r="Q4" s="30" t="e">
        <f>IF($C4="","",INDEX(AllBatters[[#All],[SS]],MATCH($C4,AllBatters[[#All],[Name]],0)))</f>
        <v>#N/A</v>
      </c>
      <c r="R4" s="30" t="e">
        <f>IF($C4="","",INDEX(AllBatters[[#All],[LF]],MATCH($C4,AllBatters[[#All],[Name]],0)))</f>
        <v>#N/A</v>
      </c>
      <c r="S4" s="30" t="e">
        <f>IF($C4="","",INDEX(AllBatters[[#All],[CF]],MATCH($C4,AllBatters[[#All],[Name]],0)))</f>
        <v>#N/A</v>
      </c>
      <c r="T4" s="31" t="e">
        <f>IF($C4="","",INDEX(AllBatters[[#All],[RF]],MATCH($C4,AllBatters[[#All],[Name]],0)))</f>
        <v>#N/A</v>
      </c>
      <c r="U4" s="46" t="e">
        <f t="shared" si="4"/>
        <v>#N/A</v>
      </c>
      <c r="V4" s="5" t="e">
        <f t="shared" si="5"/>
        <v>#N/A</v>
      </c>
      <c r="W4" s="5" t="e">
        <f t="shared" si="6"/>
        <v>#N/A</v>
      </c>
      <c r="X4" s="5" t="e">
        <f t="shared" si="7"/>
        <v>#N/A</v>
      </c>
      <c r="Y4" s="5" t="e">
        <f t="shared" si="8"/>
        <v>#N/A</v>
      </c>
      <c r="Z4" s="5" t="e">
        <f t="shared" si="9"/>
        <v>#N/A</v>
      </c>
      <c r="AA4" s="5" t="e">
        <f t="shared" si="10"/>
        <v>#N/A</v>
      </c>
      <c r="AB4" s="5" t="e">
        <f t="shared" si="11"/>
        <v>#N/A</v>
      </c>
      <c r="AC4" s="3" t="e">
        <f t="shared" si="12"/>
        <v>#N/A</v>
      </c>
      <c r="AD4" s="30" t="e">
        <f>IF($C4="","",INDEX(AllBatters[[#All],[CON]],MATCH($C4,AllBatters[[#All],[Name]],0)))</f>
        <v>#N/A</v>
      </c>
      <c r="AE4" s="30" t="e">
        <f>IF($C4="","",INDEX(AllBatters[[#All],[GAP]],MATCH($C4,AllBatters[[#All],[Name]],0)))</f>
        <v>#N/A</v>
      </c>
      <c r="AF4" s="30" t="e">
        <f>IF($C4="","",INDEX(AllBatters[[#All],[POW]],MATCH($C4,AllBatters[[#All],[Name]],0)))</f>
        <v>#N/A</v>
      </c>
      <c r="AG4" s="30" t="e">
        <f>IF($C4="","",INDEX(AllBatters[[#All],[EYE]],MATCH($C4,AllBatters[[#All],[Name]],0)))</f>
        <v>#N/A</v>
      </c>
      <c r="AH4" s="30" t="e">
        <f>IF($C4="","",INDEX(AllBatters[[#All],[K''s]],MATCH($C4,AllBatters[[#All],[Name]],0)))</f>
        <v>#N/A</v>
      </c>
      <c r="AI4" s="51" t="e">
        <f>IF($C4="","",INDEX(AllBatters[[#All],[SPE]],MATCH($C4,AllBatters[[#All],[Name]],0)))</f>
        <v>#N/A</v>
      </c>
      <c r="AJ4" s="31" t="e">
        <f>IF($C4="","",INDEX(AllBatters[[#All],[STE]],MATCH($C4,AllBatters[[#All],[Name]],0)))</f>
        <v>#N/A</v>
      </c>
      <c r="AK4" s="60" t="e">
        <f>IF($C4="","",INDEX(AllBatters[[#All],[nCPE Avg]],MATCH($C4,AllBatters[[#All],[Name]],0)))</f>
        <v>#N/A</v>
      </c>
      <c r="AL4" s="46" t="e">
        <f t="shared" si="13"/>
        <v>#N/A</v>
      </c>
      <c r="AM4" s="5" t="e">
        <f t="shared" si="14"/>
        <v>#N/A</v>
      </c>
      <c r="AN4" s="5" t="e">
        <f t="shared" si="15"/>
        <v>#N/A</v>
      </c>
      <c r="AO4" s="5" t="e">
        <f t="shared" si="16"/>
        <v>#N/A</v>
      </c>
      <c r="AP4" s="5" t="e">
        <f t="shared" si="17"/>
        <v>#N/A</v>
      </c>
      <c r="AQ4" s="5" t="e">
        <f t="shared" si="18"/>
        <v>#N/A</v>
      </c>
      <c r="AR4" s="5" t="e">
        <f t="shared" si="19"/>
        <v>#N/A</v>
      </c>
      <c r="AS4" s="5" t="e">
        <f t="shared" si="20"/>
        <v>#N/A</v>
      </c>
      <c r="AT4" s="3" t="e">
        <f t="shared" si="21"/>
        <v>#N/A</v>
      </c>
      <c r="AU4" s="51" t="e">
        <f>IF($C4="","",INDEX(AllBatters[[#All],[CON P]],MATCH($C4,AllBatters[[#All],[Name]],0)))</f>
        <v>#N/A</v>
      </c>
      <c r="AV4" s="30" t="e">
        <f>IF($C4="","",INDEX(AllBatters[[#All],[GAP P]],MATCH($C4,AllBatters[[#All],[Name]],0)))</f>
        <v>#N/A</v>
      </c>
      <c r="AW4" s="30" t="e">
        <f>IF($C4="","",INDEX(AllBatters[[#All],[POW P]],MATCH($C4,AllBatters[[#All],[Name]],0)))</f>
        <v>#N/A</v>
      </c>
      <c r="AX4" s="30" t="e">
        <f>IF($C4="","",INDEX(AllBatters[[#All],[EYE P]],MATCH($C4,AllBatters[[#All],[Name]],0)))</f>
        <v>#N/A</v>
      </c>
      <c r="AY4" s="31" t="e">
        <f>IF($C4="","",INDEX(AllBatters[[#All],[K P]],MATCH($C4,AllBatters[[#All],[Name]],0)))</f>
        <v>#N/A</v>
      </c>
      <c r="AZ4" s="60" t="e">
        <f>IF($C4="","",INDEX(AllBatters[[#All],[fCPE Avg]],MATCH($C4,AllBatters[[#All],[Name]],0)))</f>
        <v>#N/A</v>
      </c>
    </row>
    <row r="5" spans="1:52" x14ac:dyDescent="0.25">
      <c r="A5">
        <v>3</v>
      </c>
      <c r="B5" s="29" t="s">
        <v>78</v>
      </c>
      <c r="C5" s="58" t="s">
        <v>1034</v>
      </c>
      <c r="D5" s="30">
        <f>IF($C5="","",INDEX(AllBatters[[#All],[Age]],MATCH($C5,AllBatters[[#All],[Name]],0)))</f>
        <v>29</v>
      </c>
      <c r="E5" s="30" t="str">
        <f>IF($C5="","",INDEX(AllBatters[[#All],[B]],MATCH($C5,AllBatters[[#All],[Name]],0)))</f>
        <v>R</v>
      </c>
      <c r="F5" s="46">
        <f t="shared" si="0"/>
        <v>0</v>
      </c>
      <c r="G5" s="5">
        <f t="shared" si="1"/>
        <v>0</v>
      </c>
      <c r="H5" s="5">
        <f t="shared" si="2"/>
        <v>0</v>
      </c>
      <c r="I5" s="5" t="str">
        <f t="shared" si="3"/>
        <v>-</v>
      </c>
      <c r="J5" s="51">
        <f>IF($C5="","",INDEX(AllBatters[[#All],[C ARM]],MATCH($C5,AllBatters[[#All],[Name]],0)))</f>
        <v>1</v>
      </c>
      <c r="K5" s="30">
        <f>IF($C5="","",INDEX(AllBatters[[#All],[IF ARM]],MATCH($C5,AllBatters[[#All],[Name]],0)))</f>
        <v>1</v>
      </c>
      <c r="L5" s="31">
        <f>IF($C5="","",INDEX(AllBatters[[#All],[OF ARM]],MATCH($C5,AllBatters[[#All],[Name]],0)))</f>
        <v>7</v>
      </c>
      <c r="M5" s="30" t="str">
        <f>IF($C5="","",INDEX(AllBatters[[#All],[C]],MATCH($C5,AllBatters[[#All],[Name]],0)))</f>
        <v>-</v>
      </c>
      <c r="N5" s="30" t="str">
        <f>IF($C5="","",INDEX(AllBatters[[#All],[1B]],MATCH($C5,AllBatters[[#All],[Name]],0)))</f>
        <v>-</v>
      </c>
      <c r="O5" s="30" t="str">
        <f>IF($C5="","",INDEX(AllBatters[[#All],[2B]],MATCH($C5,AllBatters[[#All],[Name]],0)))</f>
        <v>-</v>
      </c>
      <c r="P5" s="30" t="str">
        <f>IF($C5="","",INDEX(AllBatters[[#All],[3B]],MATCH($C5,AllBatters[[#All],[Name]],0)))</f>
        <v>-</v>
      </c>
      <c r="Q5" s="30" t="str">
        <f>IF($C5="","",INDEX(AllBatters[[#All],[SS]],MATCH($C5,AllBatters[[#All],[Name]],0)))</f>
        <v>-</v>
      </c>
      <c r="R5" s="30">
        <f>IF($C5="","",INDEX(AllBatters[[#All],[LF]],MATCH($C5,AllBatters[[#All],[Name]],0)))</f>
        <v>9</v>
      </c>
      <c r="S5" s="30">
        <f>IF($C5="","",INDEX(AllBatters[[#All],[CF]],MATCH($C5,AllBatters[[#All],[Name]],0)))</f>
        <v>7</v>
      </c>
      <c r="T5" s="31">
        <f>IF($C5="","",INDEX(AllBatters[[#All],[RF]],MATCH($C5,AllBatters[[#All],[Name]],0)))</f>
        <v>9</v>
      </c>
      <c r="U5" s="46">
        <f t="shared" si="4"/>
        <v>0</v>
      </c>
      <c r="V5" s="5">
        <f t="shared" si="5"/>
        <v>0</v>
      </c>
      <c r="W5" s="5">
        <f t="shared" si="6"/>
        <v>0</v>
      </c>
      <c r="X5" s="5">
        <f t="shared" si="7"/>
        <v>0</v>
      </c>
      <c r="Y5" s="5">
        <f t="shared" si="8"/>
        <v>0</v>
      </c>
      <c r="Z5" s="5">
        <f t="shared" si="9"/>
        <v>0</v>
      </c>
      <c r="AA5" s="5">
        <f t="shared" si="10"/>
        <v>1</v>
      </c>
      <c r="AB5" s="5">
        <f t="shared" si="11"/>
        <v>1</v>
      </c>
      <c r="AC5" s="3">
        <f t="shared" si="12"/>
        <v>1</v>
      </c>
      <c r="AD5" s="30">
        <f>IF($C5="","",INDEX(AllBatters[[#All],[CON]],MATCH($C5,AllBatters[[#All],[Name]],0)))</f>
        <v>5</v>
      </c>
      <c r="AE5" s="30">
        <f>IF($C5="","",INDEX(AllBatters[[#All],[GAP]],MATCH($C5,AllBatters[[#All],[Name]],0)))</f>
        <v>3</v>
      </c>
      <c r="AF5" s="30">
        <f>IF($C5="","",INDEX(AllBatters[[#All],[POW]],MATCH($C5,AllBatters[[#All],[Name]],0)))</f>
        <v>8</v>
      </c>
      <c r="AG5" s="30">
        <f>IF($C5="","",INDEX(AllBatters[[#All],[EYE]],MATCH($C5,AllBatters[[#All],[Name]],0)))</f>
        <v>3</v>
      </c>
      <c r="AH5" s="30">
        <f>IF($C5="","",INDEX(AllBatters[[#All],[K''s]],MATCH($C5,AllBatters[[#All],[Name]],0)))</f>
        <v>4</v>
      </c>
      <c r="AI5" s="51">
        <f>IF($C5="","",INDEX(AllBatters[[#All],[SPE]],MATCH($C5,AllBatters[[#All],[Name]],0)))</f>
        <v>7</v>
      </c>
      <c r="AJ5" s="31">
        <f>IF($C5="","",INDEX(AllBatters[[#All],[STE]],MATCH($C5,AllBatters[[#All],[Name]],0)))</f>
        <v>10</v>
      </c>
      <c r="AK5" s="60">
        <f>IF($C5="","",INDEX(AllBatters[[#All],[nCPE Avg]],MATCH($C5,AllBatters[[#All],[Name]],0)))</f>
        <v>5.083333333333333</v>
      </c>
      <c r="AL5" s="46">
        <f t="shared" si="13"/>
        <v>0</v>
      </c>
      <c r="AM5" s="5">
        <f t="shared" si="14"/>
        <v>0</v>
      </c>
      <c r="AN5" s="5">
        <f t="shared" si="15"/>
        <v>0</v>
      </c>
      <c r="AO5" s="5">
        <f t="shared" si="16"/>
        <v>0</v>
      </c>
      <c r="AP5" s="5">
        <f t="shared" si="17"/>
        <v>0</v>
      </c>
      <c r="AQ5" s="5">
        <f t="shared" si="18"/>
        <v>0</v>
      </c>
      <c r="AR5" s="5">
        <f t="shared" si="19"/>
        <v>1</v>
      </c>
      <c r="AS5" s="5">
        <f t="shared" si="20"/>
        <v>1</v>
      </c>
      <c r="AT5" s="3">
        <f t="shared" si="21"/>
        <v>1</v>
      </c>
      <c r="AU5" s="51">
        <f>IF($C5="","",INDEX(AllBatters[[#All],[CON P]],MATCH($C5,AllBatters[[#All],[Name]],0)))</f>
        <v>6</v>
      </c>
      <c r="AV5" s="30">
        <f>IF($C5="","",INDEX(AllBatters[[#All],[GAP P]],MATCH($C5,AllBatters[[#All],[Name]],0)))</f>
        <v>4</v>
      </c>
      <c r="AW5" s="30">
        <f>IF($C5="","",INDEX(AllBatters[[#All],[POW P]],MATCH($C5,AllBatters[[#All],[Name]],0)))</f>
        <v>8</v>
      </c>
      <c r="AX5" s="30">
        <f>IF($C5="","",INDEX(AllBatters[[#All],[EYE P]],MATCH($C5,AllBatters[[#All],[Name]],0)))</f>
        <v>4</v>
      </c>
      <c r="AY5" s="31">
        <f>IF($C5="","",INDEX(AllBatters[[#All],[K P]],MATCH($C5,AllBatters[[#All],[Name]],0)))</f>
        <v>4</v>
      </c>
      <c r="AZ5" s="60">
        <f>IF($C5="","",INDEX(AllBatters[[#All],[fCPE Avg]],MATCH($C5,AllBatters[[#All],[Name]],0)))</f>
        <v>6.25</v>
      </c>
    </row>
    <row r="6" spans="1:52" x14ac:dyDescent="0.25">
      <c r="A6">
        <v>4</v>
      </c>
      <c r="B6" s="29" t="s">
        <v>79</v>
      </c>
      <c r="C6" s="58" t="s">
        <v>1033</v>
      </c>
      <c r="D6" s="30">
        <f>IF($C6="","",INDEX(AllBatters[[#All],[Age]],MATCH($C6,AllBatters[[#All],[Name]],0)))</f>
        <v>24</v>
      </c>
      <c r="E6" s="30" t="str">
        <f>IF($C6="","",INDEX(AllBatters[[#All],[B]],MATCH($C6,AllBatters[[#All],[Name]],0)))</f>
        <v>L</v>
      </c>
      <c r="F6" s="46">
        <f t="shared" si="0"/>
        <v>0</v>
      </c>
      <c r="G6" s="5">
        <f t="shared" si="1"/>
        <v>0</v>
      </c>
      <c r="H6" s="5">
        <f t="shared" si="2"/>
        <v>0</v>
      </c>
      <c r="I6" s="5" t="str">
        <f t="shared" si="3"/>
        <v>-</v>
      </c>
      <c r="J6" s="51">
        <f>IF($C6="","",INDEX(AllBatters[[#All],[C ARM]],MATCH($C6,AllBatters[[#All],[Name]],0)))</f>
        <v>1</v>
      </c>
      <c r="K6" s="30">
        <f>IF($C6="","",INDEX(AllBatters[[#All],[IF ARM]],MATCH($C6,AllBatters[[#All],[Name]],0)))</f>
        <v>8</v>
      </c>
      <c r="L6" s="31">
        <f>IF($C6="","",INDEX(AllBatters[[#All],[OF ARM]],MATCH($C6,AllBatters[[#All],[Name]],0)))</f>
        <v>10</v>
      </c>
      <c r="M6" s="30" t="str">
        <f>IF($C6="","",INDEX(AllBatters[[#All],[C]],MATCH($C6,AllBatters[[#All],[Name]],0)))</f>
        <v>-</v>
      </c>
      <c r="N6" s="30" t="str">
        <f>IF($C6="","",INDEX(AllBatters[[#All],[1B]],MATCH($C6,AllBatters[[#All],[Name]],0)))</f>
        <v>-</v>
      </c>
      <c r="O6" s="30" t="str">
        <f>IF($C6="","",INDEX(AllBatters[[#All],[2B]],MATCH($C6,AllBatters[[#All],[Name]],0)))</f>
        <v>-</v>
      </c>
      <c r="P6" s="30" t="str">
        <f>IF($C6="","",INDEX(AllBatters[[#All],[3B]],MATCH($C6,AllBatters[[#All],[Name]],0)))</f>
        <v>-</v>
      </c>
      <c r="Q6" s="30" t="str">
        <f>IF($C6="","",INDEX(AllBatters[[#All],[SS]],MATCH($C6,AllBatters[[#All],[Name]],0)))</f>
        <v>-</v>
      </c>
      <c r="R6" s="30">
        <f>IF($C6="","",INDEX(AllBatters[[#All],[LF]],MATCH($C6,AllBatters[[#All],[Name]],0)))</f>
        <v>5</v>
      </c>
      <c r="S6" s="30" t="str">
        <f>IF($C6="","",INDEX(AllBatters[[#All],[CF]],MATCH($C6,AllBatters[[#All],[Name]],0)))</f>
        <v>-</v>
      </c>
      <c r="T6" s="31">
        <f>IF($C6="","",INDEX(AllBatters[[#All],[RF]],MATCH($C6,AllBatters[[#All],[Name]],0)))</f>
        <v>5</v>
      </c>
      <c r="U6" s="46">
        <f t="shared" si="4"/>
        <v>1</v>
      </c>
      <c r="V6" s="5">
        <f t="shared" si="5"/>
        <v>1</v>
      </c>
      <c r="W6" s="5">
        <f t="shared" si="6"/>
        <v>0</v>
      </c>
      <c r="X6" s="5">
        <f t="shared" si="7"/>
        <v>0</v>
      </c>
      <c r="Y6" s="5">
        <f t="shared" si="8"/>
        <v>0</v>
      </c>
      <c r="Z6" s="5">
        <f t="shared" si="9"/>
        <v>1</v>
      </c>
      <c r="AA6" s="5">
        <f t="shared" si="10"/>
        <v>1</v>
      </c>
      <c r="AB6" s="5">
        <f t="shared" si="11"/>
        <v>1</v>
      </c>
      <c r="AC6" s="3">
        <f t="shared" si="12"/>
        <v>1</v>
      </c>
      <c r="AD6" s="30">
        <f>IF($C6="","",INDEX(AllBatters[[#All],[CON]],MATCH($C6,AllBatters[[#All],[Name]],0)))</f>
        <v>8</v>
      </c>
      <c r="AE6" s="30">
        <f>IF($C6="","",INDEX(AllBatters[[#All],[GAP]],MATCH($C6,AllBatters[[#All],[Name]],0)))</f>
        <v>8</v>
      </c>
      <c r="AF6" s="30">
        <f>IF($C6="","",INDEX(AllBatters[[#All],[POW]],MATCH($C6,AllBatters[[#All],[Name]],0)))</f>
        <v>3</v>
      </c>
      <c r="AG6" s="30">
        <f>IF($C6="","",INDEX(AllBatters[[#All],[EYE]],MATCH($C6,AllBatters[[#All],[Name]],0)))</f>
        <v>8</v>
      </c>
      <c r="AH6" s="30">
        <f>IF($C6="","",INDEX(AllBatters[[#All],[K''s]],MATCH($C6,AllBatters[[#All],[Name]],0)))</f>
        <v>8</v>
      </c>
      <c r="AI6" s="51">
        <f>IF($C6="","",INDEX(AllBatters[[#All],[SPE]],MATCH($C6,AllBatters[[#All],[Name]],0)))</f>
        <v>10</v>
      </c>
      <c r="AJ6" s="31">
        <f>IF($C6="","",INDEX(AllBatters[[#All],[STE]],MATCH($C6,AllBatters[[#All],[Name]],0)))</f>
        <v>10</v>
      </c>
      <c r="AK6" s="60">
        <f>IF($C6="","",INDEX(AllBatters[[#All],[nCPE Avg]],MATCH($C6,AllBatters[[#All],[Name]],0)))</f>
        <v>6.833333333333333</v>
      </c>
      <c r="AL6" s="46">
        <f t="shared" si="13"/>
        <v>1</v>
      </c>
      <c r="AM6" s="5">
        <f t="shared" si="14"/>
        <v>1</v>
      </c>
      <c r="AN6" s="5">
        <f t="shared" si="15"/>
        <v>0</v>
      </c>
      <c r="AO6" s="5">
        <f t="shared" si="16"/>
        <v>0</v>
      </c>
      <c r="AP6" s="5">
        <f t="shared" si="17"/>
        <v>0</v>
      </c>
      <c r="AQ6" s="5">
        <f t="shared" si="18"/>
        <v>1</v>
      </c>
      <c r="AR6" s="5">
        <f t="shared" si="19"/>
        <v>1</v>
      </c>
      <c r="AS6" s="5">
        <f t="shared" si="20"/>
        <v>1</v>
      </c>
      <c r="AT6" s="3">
        <f t="shared" si="21"/>
        <v>1</v>
      </c>
      <c r="AU6" s="51">
        <f>IF($C6="","",INDEX(AllBatters[[#All],[CON P]],MATCH($C6,AllBatters[[#All],[Name]],0)))</f>
        <v>9</v>
      </c>
      <c r="AV6" s="30">
        <f>IF($C6="","",INDEX(AllBatters[[#All],[GAP P]],MATCH($C6,AllBatters[[#All],[Name]],0)))</f>
        <v>8</v>
      </c>
      <c r="AW6" s="30">
        <f>IF($C6="","",INDEX(AllBatters[[#All],[POW P]],MATCH($C6,AllBatters[[#All],[Name]],0)))</f>
        <v>3</v>
      </c>
      <c r="AX6" s="30">
        <f>IF($C6="","",INDEX(AllBatters[[#All],[EYE P]],MATCH($C6,AllBatters[[#All],[Name]],0)))</f>
        <v>8</v>
      </c>
      <c r="AY6" s="31">
        <f>IF($C6="","",INDEX(AllBatters[[#All],[K P]],MATCH($C6,AllBatters[[#All],[Name]],0)))</f>
        <v>8</v>
      </c>
      <c r="AZ6" s="60">
        <f>IF($C6="","",INDEX(AllBatters[[#All],[fCPE Avg]],MATCH($C6,AllBatters[[#All],[Name]],0)))</f>
        <v>7.166666666666667</v>
      </c>
    </row>
    <row r="7" spans="1:52" x14ac:dyDescent="0.25">
      <c r="A7">
        <v>5</v>
      </c>
      <c r="B7" s="29" t="s">
        <v>10</v>
      </c>
      <c r="C7" s="58" t="s">
        <v>1032</v>
      </c>
      <c r="D7" s="30">
        <f>IF($C7="","",INDEX(AllBatters[[#All],[Age]],MATCH($C7,AllBatters[[#All],[Name]],0)))</f>
        <v>34</v>
      </c>
      <c r="E7" s="30" t="str">
        <f>IF($C7="","",INDEX(AllBatters[[#All],[B]],MATCH($C7,AllBatters[[#All],[Name]],0)))</f>
        <v>L</v>
      </c>
      <c r="F7" s="46">
        <f t="shared" si="0"/>
        <v>0</v>
      </c>
      <c r="G7" s="5">
        <f t="shared" si="1"/>
        <v>0</v>
      </c>
      <c r="H7" s="5">
        <f t="shared" si="2"/>
        <v>0</v>
      </c>
      <c r="I7" s="5" t="str">
        <f t="shared" si="3"/>
        <v>-</v>
      </c>
      <c r="J7" s="51">
        <f>IF($C7="","",INDEX(AllBatters[[#All],[C ARM]],MATCH($C7,AllBatters[[#All],[Name]],0)))</f>
        <v>1</v>
      </c>
      <c r="K7" s="30">
        <f>IF($C7="","",INDEX(AllBatters[[#All],[IF ARM]],MATCH($C7,AllBatters[[#All],[Name]],0)))</f>
        <v>3</v>
      </c>
      <c r="L7" s="31">
        <f>IF($C7="","",INDEX(AllBatters[[#All],[OF ARM]],MATCH($C7,AllBatters[[#All],[Name]],0)))</f>
        <v>1</v>
      </c>
      <c r="M7" s="30" t="str">
        <f>IF($C7="","",INDEX(AllBatters[[#All],[C]],MATCH($C7,AllBatters[[#All],[Name]],0)))</f>
        <v>-</v>
      </c>
      <c r="N7" s="30">
        <f>IF($C7="","",INDEX(AllBatters[[#All],[1B]],MATCH($C7,AllBatters[[#All],[Name]],0)))</f>
        <v>8</v>
      </c>
      <c r="O7" s="30" t="str">
        <f>IF($C7="","",INDEX(AllBatters[[#All],[2B]],MATCH($C7,AllBatters[[#All],[Name]],0)))</f>
        <v>-</v>
      </c>
      <c r="P7" s="30" t="str">
        <f>IF($C7="","",INDEX(AllBatters[[#All],[3B]],MATCH($C7,AllBatters[[#All],[Name]],0)))</f>
        <v>-</v>
      </c>
      <c r="Q7" s="30" t="str">
        <f>IF($C7="","",INDEX(AllBatters[[#All],[SS]],MATCH($C7,AllBatters[[#All],[Name]],0)))</f>
        <v>-</v>
      </c>
      <c r="R7" s="30" t="str">
        <f>IF($C7="","",INDEX(AllBatters[[#All],[LF]],MATCH($C7,AllBatters[[#All],[Name]],0)))</f>
        <v>-</v>
      </c>
      <c r="S7" s="30" t="str">
        <f>IF($C7="","",INDEX(AllBatters[[#All],[CF]],MATCH($C7,AllBatters[[#All],[Name]],0)))</f>
        <v>-</v>
      </c>
      <c r="T7" s="31" t="str">
        <f>IF($C7="","",INDEX(AllBatters[[#All],[RF]],MATCH($C7,AllBatters[[#All],[Name]],0)))</f>
        <v>-</v>
      </c>
      <c r="U7" s="46">
        <f t="shared" si="4"/>
        <v>0</v>
      </c>
      <c r="V7" s="5">
        <f t="shared" si="5"/>
        <v>1</v>
      </c>
      <c r="W7" s="5">
        <f t="shared" si="6"/>
        <v>0</v>
      </c>
      <c r="X7" s="5">
        <f t="shared" si="7"/>
        <v>1</v>
      </c>
      <c r="Y7" s="5">
        <f t="shared" si="8"/>
        <v>1</v>
      </c>
      <c r="Z7" s="5">
        <f t="shared" si="9"/>
        <v>1</v>
      </c>
      <c r="AA7" s="5">
        <f t="shared" si="10"/>
        <v>1</v>
      </c>
      <c r="AB7" s="5">
        <f t="shared" si="11"/>
        <v>1</v>
      </c>
      <c r="AC7" s="3">
        <f t="shared" si="12"/>
        <v>1</v>
      </c>
      <c r="AD7" s="30">
        <f>IF($C7="","",INDEX(AllBatters[[#All],[CON]],MATCH($C7,AllBatters[[#All],[Name]],0)))</f>
        <v>8</v>
      </c>
      <c r="AE7" s="30">
        <f>IF($C7="","",INDEX(AllBatters[[#All],[GAP]],MATCH($C7,AllBatters[[#All],[Name]],0)))</f>
        <v>6</v>
      </c>
      <c r="AF7" s="30">
        <f>IF($C7="","",INDEX(AllBatters[[#All],[POW]],MATCH($C7,AllBatters[[#All],[Name]],0)))</f>
        <v>8</v>
      </c>
      <c r="AG7" s="30">
        <f>IF($C7="","",INDEX(AllBatters[[#All],[EYE]],MATCH($C7,AllBatters[[#All],[Name]],0)))</f>
        <v>5</v>
      </c>
      <c r="AH7" s="30">
        <f>IF($C7="","",INDEX(AllBatters[[#All],[K''s]],MATCH($C7,AllBatters[[#All],[Name]],0)))</f>
        <v>10</v>
      </c>
      <c r="AI7" s="51">
        <f>IF($C7="","",INDEX(AllBatters[[#All],[SPE]],MATCH($C7,AllBatters[[#All],[Name]],0)))</f>
        <v>1</v>
      </c>
      <c r="AJ7" s="31">
        <f>IF($C7="","",INDEX(AllBatters[[#All],[STE]],MATCH($C7,AllBatters[[#All],[Name]],0)))</f>
        <v>1</v>
      </c>
      <c r="AK7" s="60">
        <f>IF($C7="","",INDEX(AllBatters[[#All],[nCPE Avg]],MATCH($C7,AllBatters[[#All],[Name]],0)))</f>
        <v>7.75</v>
      </c>
      <c r="AL7" s="46">
        <f t="shared" si="13"/>
        <v>0</v>
      </c>
      <c r="AM7" s="5">
        <f t="shared" si="14"/>
        <v>1</v>
      </c>
      <c r="AN7" s="5">
        <f t="shared" si="15"/>
        <v>0</v>
      </c>
      <c r="AO7" s="5">
        <f t="shared" si="16"/>
        <v>1</v>
      </c>
      <c r="AP7" s="5">
        <f t="shared" si="17"/>
        <v>1</v>
      </c>
      <c r="AQ7" s="5">
        <f t="shared" si="18"/>
        <v>1</v>
      </c>
      <c r="AR7" s="5">
        <f t="shared" si="19"/>
        <v>1</v>
      </c>
      <c r="AS7" s="5">
        <f t="shared" si="20"/>
        <v>1</v>
      </c>
      <c r="AT7" s="3">
        <f t="shared" si="21"/>
        <v>1</v>
      </c>
      <c r="AU7" s="51">
        <f>IF($C7="","",INDEX(AllBatters[[#All],[CON P]],MATCH($C7,AllBatters[[#All],[Name]],0)))</f>
        <v>8</v>
      </c>
      <c r="AV7" s="30">
        <f>IF($C7="","",INDEX(AllBatters[[#All],[GAP P]],MATCH($C7,AllBatters[[#All],[Name]],0)))</f>
        <v>6</v>
      </c>
      <c r="AW7" s="30">
        <f>IF($C7="","",INDEX(AllBatters[[#All],[POW P]],MATCH($C7,AllBatters[[#All],[Name]],0)))</f>
        <v>8</v>
      </c>
      <c r="AX7" s="30">
        <f>IF($C7="","",INDEX(AllBatters[[#All],[EYE P]],MATCH($C7,AllBatters[[#All],[Name]],0)))</f>
        <v>5</v>
      </c>
      <c r="AY7" s="31">
        <f>IF($C7="","",INDEX(AllBatters[[#All],[K P]],MATCH($C7,AllBatters[[#All],[Name]],0)))</f>
        <v>10</v>
      </c>
      <c r="AZ7" s="60">
        <f>IF($C7="","",INDEX(AllBatters[[#All],[fCPE Avg]],MATCH($C7,AllBatters[[#All],[Name]],0)))</f>
        <v>7.75</v>
      </c>
    </row>
    <row r="8" spans="1:52" x14ac:dyDescent="0.25">
      <c r="A8">
        <v>6</v>
      </c>
      <c r="B8" s="29" t="s">
        <v>80</v>
      </c>
      <c r="C8" s="58" t="s">
        <v>1215</v>
      </c>
      <c r="D8" s="30" t="e">
        <f>IF($C8="","",INDEX(AllBatters[[#All],[Age]],MATCH($C8,AllBatters[[#All],[Name]],0)))</f>
        <v>#N/A</v>
      </c>
      <c r="E8" s="30" t="e">
        <f>IF($C8="","",INDEX(AllBatters[[#All],[B]],MATCH($C8,AllBatters[[#All],[Name]],0)))</f>
        <v>#N/A</v>
      </c>
      <c r="F8" s="46" t="e">
        <f t="shared" si="0"/>
        <v>#N/A</v>
      </c>
      <c r="G8" s="5" t="e">
        <f t="shared" si="1"/>
        <v>#N/A</v>
      </c>
      <c r="H8" s="5" t="e">
        <f t="shared" si="2"/>
        <v>#N/A</v>
      </c>
      <c r="I8" s="5" t="str">
        <f t="shared" si="3"/>
        <v>-</v>
      </c>
      <c r="J8" s="51" t="e">
        <f>IF($C8="","",INDEX(AllBatters[[#All],[C ARM]],MATCH($C8,AllBatters[[#All],[Name]],0)))</f>
        <v>#N/A</v>
      </c>
      <c r="K8" s="30" t="e">
        <f>IF($C8="","",INDEX(AllBatters[[#All],[IF ARM]],MATCH($C8,AllBatters[[#All],[Name]],0)))</f>
        <v>#N/A</v>
      </c>
      <c r="L8" s="31" t="e">
        <f>IF($C8="","",INDEX(AllBatters[[#All],[OF ARM]],MATCH($C8,AllBatters[[#All],[Name]],0)))</f>
        <v>#N/A</v>
      </c>
      <c r="M8" s="30" t="e">
        <f>IF($C8="","",INDEX(AllBatters[[#All],[C]],MATCH($C8,AllBatters[[#All],[Name]],0)))</f>
        <v>#N/A</v>
      </c>
      <c r="N8" s="30" t="e">
        <f>IF($C8="","",INDEX(AllBatters[[#All],[1B]],MATCH($C8,AllBatters[[#All],[Name]],0)))</f>
        <v>#N/A</v>
      </c>
      <c r="O8" s="30" t="e">
        <f>IF($C8="","",INDEX(AllBatters[[#All],[2B]],MATCH($C8,AllBatters[[#All],[Name]],0)))</f>
        <v>#N/A</v>
      </c>
      <c r="P8" s="30" t="e">
        <f>IF($C8="","",INDEX(AllBatters[[#All],[3B]],MATCH($C8,AllBatters[[#All],[Name]],0)))</f>
        <v>#N/A</v>
      </c>
      <c r="Q8" s="30" t="e">
        <f>IF($C8="","",INDEX(AllBatters[[#All],[SS]],MATCH($C8,AllBatters[[#All],[Name]],0)))</f>
        <v>#N/A</v>
      </c>
      <c r="R8" s="30" t="e">
        <f>IF($C8="","",INDEX(AllBatters[[#All],[LF]],MATCH($C8,AllBatters[[#All],[Name]],0)))</f>
        <v>#N/A</v>
      </c>
      <c r="S8" s="30" t="e">
        <f>IF($C8="","",INDEX(AllBatters[[#All],[CF]],MATCH($C8,AllBatters[[#All],[Name]],0)))</f>
        <v>#N/A</v>
      </c>
      <c r="T8" s="31" t="e">
        <f>IF($C8="","",INDEX(AllBatters[[#All],[RF]],MATCH($C8,AllBatters[[#All],[Name]],0)))</f>
        <v>#N/A</v>
      </c>
      <c r="U8" s="46" t="e">
        <f t="shared" si="4"/>
        <v>#N/A</v>
      </c>
      <c r="V8" s="5" t="e">
        <f t="shared" si="5"/>
        <v>#N/A</v>
      </c>
      <c r="W8" s="5" t="e">
        <f t="shared" si="6"/>
        <v>#N/A</v>
      </c>
      <c r="X8" s="5" t="e">
        <f t="shared" si="7"/>
        <v>#N/A</v>
      </c>
      <c r="Y8" s="5" t="e">
        <f t="shared" si="8"/>
        <v>#N/A</v>
      </c>
      <c r="Z8" s="5" t="e">
        <f t="shared" si="9"/>
        <v>#N/A</v>
      </c>
      <c r="AA8" s="5" t="e">
        <f t="shared" si="10"/>
        <v>#N/A</v>
      </c>
      <c r="AB8" s="5" t="e">
        <f t="shared" si="11"/>
        <v>#N/A</v>
      </c>
      <c r="AC8" s="3" t="e">
        <f t="shared" si="12"/>
        <v>#N/A</v>
      </c>
      <c r="AD8" s="30" t="e">
        <f>IF($C8="","",INDEX(AllBatters[[#All],[CON]],MATCH($C8,AllBatters[[#All],[Name]],0)))</f>
        <v>#N/A</v>
      </c>
      <c r="AE8" s="30" t="e">
        <f>IF($C8="","",INDEX(AllBatters[[#All],[GAP]],MATCH($C8,AllBatters[[#All],[Name]],0)))</f>
        <v>#N/A</v>
      </c>
      <c r="AF8" s="30" t="e">
        <f>IF($C8="","",INDEX(AllBatters[[#All],[POW]],MATCH($C8,AllBatters[[#All],[Name]],0)))</f>
        <v>#N/A</v>
      </c>
      <c r="AG8" s="30" t="e">
        <f>IF($C8="","",INDEX(AllBatters[[#All],[EYE]],MATCH($C8,AllBatters[[#All],[Name]],0)))</f>
        <v>#N/A</v>
      </c>
      <c r="AH8" s="30" t="e">
        <f>IF($C8="","",INDEX(AllBatters[[#All],[K''s]],MATCH($C8,AllBatters[[#All],[Name]],0)))</f>
        <v>#N/A</v>
      </c>
      <c r="AI8" s="51" t="e">
        <f>IF($C8="","",INDEX(AllBatters[[#All],[SPE]],MATCH($C8,AllBatters[[#All],[Name]],0)))</f>
        <v>#N/A</v>
      </c>
      <c r="AJ8" s="31" t="e">
        <f>IF($C8="","",INDEX(AllBatters[[#All],[STE]],MATCH($C8,AllBatters[[#All],[Name]],0)))</f>
        <v>#N/A</v>
      </c>
      <c r="AK8" s="60" t="e">
        <f>IF($C8="","",INDEX(AllBatters[[#All],[nCPE Avg]],MATCH($C8,AllBatters[[#All],[Name]],0)))</f>
        <v>#N/A</v>
      </c>
      <c r="AL8" s="46" t="e">
        <f t="shared" si="13"/>
        <v>#N/A</v>
      </c>
      <c r="AM8" s="5" t="e">
        <f t="shared" si="14"/>
        <v>#N/A</v>
      </c>
      <c r="AN8" s="5" t="e">
        <f t="shared" si="15"/>
        <v>#N/A</v>
      </c>
      <c r="AO8" s="5" t="e">
        <f t="shared" si="16"/>
        <v>#N/A</v>
      </c>
      <c r="AP8" s="5" t="e">
        <f t="shared" si="17"/>
        <v>#N/A</v>
      </c>
      <c r="AQ8" s="5" t="e">
        <f t="shared" si="18"/>
        <v>#N/A</v>
      </c>
      <c r="AR8" s="5" t="e">
        <f t="shared" si="19"/>
        <v>#N/A</v>
      </c>
      <c r="AS8" s="5" t="e">
        <f t="shared" si="20"/>
        <v>#N/A</v>
      </c>
      <c r="AT8" s="3" t="e">
        <f t="shared" si="21"/>
        <v>#N/A</v>
      </c>
      <c r="AU8" s="51" t="e">
        <f>IF($C8="","",INDEX(AllBatters[[#All],[CON P]],MATCH($C8,AllBatters[[#All],[Name]],0)))</f>
        <v>#N/A</v>
      </c>
      <c r="AV8" s="30" t="e">
        <f>IF($C8="","",INDEX(AllBatters[[#All],[GAP P]],MATCH($C8,AllBatters[[#All],[Name]],0)))</f>
        <v>#N/A</v>
      </c>
      <c r="AW8" s="30" t="e">
        <f>IF($C8="","",INDEX(AllBatters[[#All],[POW P]],MATCH($C8,AllBatters[[#All],[Name]],0)))</f>
        <v>#N/A</v>
      </c>
      <c r="AX8" s="30" t="e">
        <f>IF($C8="","",INDEX(AllBatters[[#All],[EYE P]],MATCH($C8,AllBatters[[#All],[Name]],0)))</f>
        <v>#N/A</v>
      </c>
      <c r="AY8" s="31" t="e">
        <f>IF($C8="","",INDEX(AllBatters[[#All],[K P]],MATCH($C8,AllBatters[[#All],[Name]],0)))</f>
        <v>#N/A</v>
      </c>
      <c r="AZ8" s="60" t="e">
        <f>IF($C8="","",INDEX(AllBatters[[#All],[fCPE Avg]],MATCH($C8,AllBatters[[#All],[Name]],0)))</f>
        <v>#N/A</v>
      </c>
    </row>
    <row r="9" spans="1:52" x14ac:dyDescent="0.25">
      <c r="A9">
        <v>7</v>
      </c>
      <c r="B9" s="29" t="s">
        <v>80</v>
      </c>
      <c r="C9" s="58" t="s">
        <v>1069</v>
      </c>
      <c r="D9" s="30">
        <f>IF($C9="","",INDEX(AllBatters[[#All],[Age]],MATCH($C9,AllBatters[[#All],[Name]],0)))</f>
        <v>26</v>
      </c>
      <c r="E9" s="30" t="str">
        <f>IF($C9="","",INDEX(AllBatters[[#All],[B]],MATCH($C9,AllBatters[[#All],[Name]],0)))</f>
        <v>S</v>
      </c>
      <c r="F9" s="46">
        <f t="shared" si="0"/>
        <v>0</v>
      </c>
      <c r="G9" s="5">
        <f t="shared" si="1"/>
        <v>0</v>
      </c>
      <c r="H9" s="5">
        <f t="shared" si="2"/>
        <v>0</v>
      </c>
      <c r="I9" s="5" t="str">
        <f t="shared" si="3"/>
        <v>-</v>
      </c>
      <c r="J9" s="51">
        <f>IF($C9="","",INDEX(AllBatters[[#All],[C ARM]],MATCH($C9,AllBatters[[#All],[Name]],0)))</f>
        <v>1</v>
      </c>
      <c r="K9" s="30">
        <f>IF($C9="","",INDEX(AllBatters[[#All],[IF ARM]],MATCH($C9,AllBatters[[#All],[Name]],0)))</f>
        <v>7</v>
      </c>
      <c r="L9" s="31">
        <f>IF($C9="","",INDEX(AllBatters[[#All],[OF ARM]],MATCH($C9,AllBatters[[#All],[Name]],0)))</f>
        <v>10</v>
      </c>
      <c r="M9" s="30" t="str">
        <f>IF($C9="","",INDEX(AllBatters[[#All],[C]],MATCH($C9,AllBatters[[#All],[Name]],0)))</f>
        <v>-</v>
      </c>
      <c r="N9" s="30" t="str">
        <f>IF($C9="","",INDEX(AllBatters[[#All],[1B]],MATCH($C9,AllBatters[[#All],[Name]],0)))</f>
        <v>-</v>
      </c>
      <c r="O9" s="30" t="str">
        <f>IF($C9="","",INDEX(AllBatters[[#All],[2B]],MATCH($C9,AllBatters[[#All],[Name]],0)))</f>
        <v>-</v>
      </c>
      <c r="P9" s="30" t="str">
        <f>IF($C9="","",INDEX(AllBatters[[#All],[3B]],MATCH($C9,AllBatters[[#All],[Name]],0)))</f>
        <v>-</v>
      </c>
      <c r="Q9" s="30" t="str">
        <f>IF($C9="","",INDEX(AllBatters[[#All],[SS]],MATCH($C9,AllBatters[[#All],[Name]],0)))</f>
        <v>-</v>
      </c>
      <c r="R9" s="30" t="str">
        <f>IF($C9="","",INDEX(AllBatters[[#All],[LF]],MATCH($C9,AllBatters[[#All],[Name]],0)))</f>
        <v>-</v>
      </c>
      <c r="S9" s="30">
        <f>IF($C9="","",INDEX(AllBatters[[#All],[CF]],MATCH($C9,AllBatters[[#All],[Name]],0)))</f>
        <v>9</v>
      </c>
      <c r="T9" s="31" t="str">
        <f>IF($C9="","",INDEX(AllBatters[[#All],[RF]],MATCH($C9,AllBatters[[#All],[Name]],0)))</f>
        <v>-</v>
      </c>
      <c r="U9" s="46">
        <f t="shared" si="4"/>
        <v>0</v>
      </c>
      <c r="V9" s="5">
        <f t="shared" si="5"/>
        <v>0</v>
      </c>
      <c r="W9" s="5">
        <f t="shared" si="6"/>
        <v>0</v>
      </c>
      <c r="X9" s="5">
        <f t="shared" si="7"/>
        <v>0</v>
      </c>
      <c r="Y9" s="5">
        <f t="shared" si="8"/>
        <v>0</v>
      </c>
      <c r="Z9" s="5">
        <f t="shared" si="9"/>
        <v>0</v>
      </c>
      <c r="AA9" s="5">
        <f t="shared" si="10"/>
        <v>0</v>
      </c>
      <c r="AB9" s="5">
        <f t="shared" si="11"/>
        <v>0</v>
      </c>
      <c r="AC9" s="3">
        <f t="shared" si="12"/>
        <v>0</v>
      </c>
      <c r="AD9" s="30">
        <f>IF($C9="","",INDEX(AllBatters[[#All],[CON]],MATCH($C9,AllBatters[[#All],[Name]],0)))</f>
        <v>4</v>
      </c>
      <c r="AE9" s="30">
        <f>IF($C9="","",INDEX(AllBatters[[#All],[GAP]],MATCH($C9,AllBatters[[#All],[Name]],0)))</f>
        <v>5</v>
      </c>
      <c r="AF9" s="30">
        <f>IF($C9="","",INDEX(AllBatters[[#All],[POW]],MATCH($C9,AllBatters[[#All],[Name]],0)))</f>
        <v>4</v>
      </c>
      <c r="AG9" s="30">
        <f>IF($C9="","",INDEX(AllBatters[[#All],[EYE]],MATCH($C9,AllBatters[[#All],[Name]],0)))</f>
        <v>6</v>
      </c>
      <c r="AH9" s="30">
        <f>IF($C9="","",INDEX(AllBatters[[#All],[K''s]],MATCH($C9,AllBatters[[#All],[Name]],0)))</f>
        <v>2</v>
      </c>
      <c r="AI9" s="51">
        <f>IF($C9="","",INDEX(AllBatters[[#All],[SPE]],MATCH($C9,AllBatters[[#All],[Name]],0)))</f>
        <v>10</v>
      </c>
      <c r="AJ9" s="31">
        <f>IF($C9="","",INDEX(AllBatters[[#All],[STE]],MATCH($C9,AllBatters[[#All],[Name]],0)))</f>
        <v>10</v>
      </c>
      <c r="AK9" s="60">
        <f>IF($C9="","",INDEX(AllBatters[[#All],[nCPE Avg]],MATCH($C9,AllBatters[[#All],[Name]],0)))</f>
        <v>3.666666666666667</v>
      </c>
      <c r="AL9" s="46">
        <f t="shared" si="13"/>
        <v>0</v>
      </c>
      <c r="AM9" s="5">
        <f t="shared" si="14"/>
        <v>0</v>
      </c>
      <c r="AN9" s="5">
        <f t="shared" si="15"/>
        <v>0</v>
      </c>
      <c r="AO9" s="5">
        <f t="shared" si="16"/>
        <v>0</v>
      </c>
      <c r="AP9" s="5">
        <f t="shared" si="17"/>
        <v>0</v>
      </c>
      <c r="AQ9" s="5">
        <f t="shared" si="18"/>
        <v>0</v>
      </c>
      <c r="AR9" s="5">
        <f t="shared" si="19"/>
        <v>0</v>
      </c>
      <c r="AS9" s="5">
        <f t="shared" si="20"/>
        <v>0</v>
      </c>
      <c r="AT9" s="3">
        <f t="shared" si="21"/>
        <v>0</v>
      </c>
      <c r="AU9" s="51">
        <f>IF($C9="","",INDEX(AllBatters[[#All],[CON P]],MATCH($C9,AllBatters[[#All],[Name]],0)))</f>
        <v>4</v>
      </c>
      <c r="AV9" s="30">
        <f>IF($C9="","",INDEX(AllBatters[[#All],[GAP P]],MATCH($C9,AllBatters[[#All],[Name]],0)))</f>
        <v>5</v>
      </c>
      <c r="AW9" s="30">
        <f>IF($C9="","",INDEX(AllBatters[[#All],[POW P]],MATCH($C9,AllBatters[[#All],[Name]],0)))</f>
        <v>4</v>
      </c>
      <c r="AX9" s="30">
        <f>IF($C9="","",INDEX(AllBatters[[#All],[EYE P]],MATCH($C9,AllBatters[[#All],[Name]],0)))</f>
        <v>6</v>
      </c>
      <c r="AY9" s="31">
        <f>IF($C9="","",INDEX(AllBatters[[#All],[K P]],MATCH($C9,AllBatters[[#All],[Name]],0)))</f>
        <v>3</v>
      </c>
      <c r="AZ9" s="60">
        <f>IF($C9="","",INDEX(AllBatters[[#All],[fCPE Avg]],MATCH($C9,AllBatters[[#All],[Name]],0)))</f>
        <v>3.666666666666667</v>
      </c>
    </row>
    <row r="10" spans="1:52" x14ac:dyDescent="0.25">
      <c r="A10">
        <v>8</v>
      </c>
      <c r="B10" s="29" t="s">
        <v>80</v>
      </c>
      <c r="C10" s="58"/>
      <c r="D10" s="30" t="str">
        <f>IF($C10="","",INDEX(AllBatters[[#All],[Age]],MATCH($C10,AllBatters[[#All],[Name]],0)))</f>
        <v/>
      </c>
      <c r="E10" s="30" t="str">
        <f>IF($C10="","",INDEX(AllBatters[[#All],[B]],MATCH($C10,AllBatters[[#All],[Name]],0)))</f>
        <v/>
      </c>
      <c r="F10" s="46" t="str">
        <f t="shared" si="0"/>
        <v/>
      </c>
      <c r="G10" s="5" t="str">
        <f t="shared" si="1"/>
        <v/>
      </c>
      <c r="H10" s="5" t="str">
        <f t="shared" si="2"/>
        <v/>
      </c>
      <c r="I10" s="5" t="str">
        <f t="shared" si="3"/>
        <v/>
      </c>
      <c r="J10" s="51" t="str">
        <f>IF($C10="","",INDEX(AllBatters[[#All],[C ARM]],MATCH($C10,AllBatters[[#All],[Name]],0)))</f>
        <v/>
      </c>
      <c r="K10" s="30" t="str">
        <f>IF($C10="","",INDEX(AllBatters[[#All],[IF ARM]],MATCH($C10,AllBatters[[#All],[Name]],0)))</f>
        <v/>
      </c>
      <c r="L10" s="31" t="str">
        <f>IF($C10="","",INDEX(AllBatters[[#All],[OF ARM]],MATCH($C10,AllBatters[[#All],[Name]],0)))</f>
        <v/>
      </c>
      <c r="M10" s="30" t="str">
        <f>IF($C10="","",INDEX(AllBatters[[#All],[C]],MATCH($C10,AllBatters[[#All],[Name]],0)))</f>
        <v/>
      </c>
      <c r="N10" s="30" t="str">
        <f>IF($C10="","",INDEX(AllBatters[[#All],[1B]],MATCH($C10,AllBatters[[#All],[Name]],0)))</f>
        <v/>
      </c>
      <c r="O10" s="30" t="str">
        <f>IF($C10="","",INDEX(AllBatters[[#All],[2B]],MATCH($C10,AllBatters[[#All],[Name]],0)))</f>
        <v/>
      </c>
      <c r="P10" s="30" t="str">
        <f>IF($C10="","",INDEX(AllBatters[[#All],[3B]],MATCH($C10,AllBatters[[#All],[Name]],0)))</f>
        <v/>
      </c>
      <c r="Q10" s="30" t="str">
        <f>IF($C10="","",INDEX(AllBatters[[#All],[SS]],MATCH($C10,AllBatters[[#All],[Name]],0)))</f>
        <v/>
      </c>
      <c r="R10" s="30" t="str">
        <f>IF($C10="","",INDEX(AllBatters[[#All],[LF]],MATCH($C10,AllBatters[[#All],[Name]],0)))</f>
        <v/>
      </c>
      <c r="S10" s="30" t="str">
        <f>IF($C10="","",INDEX(AllBatters[[#All],[CF]],MATCH($C10,AllBatters[[#All],[Name]],0)))</f>
        <v/>
      </c>
      <c r="T10" s="31" t="str">
        <f>IF($C10="","",INDEX(AllBatters[[#All],[RF]],MATCH($C10,AllBatters[[#All],[Name]],0)))</f>
        <v/>
      </c>
      <c r="U10" s="46" t="str">
        <f t="shared" si="4"/>
        <v/>
      </c>
      <c r="V10" s="5" t="str">
        <f t="shared" si="5"/>
        <v/>
      </c>
      <c r="W10" s="5" t="str">
        <f t="shared" si="6"/>
        <v/>
      </c>
      <c r="X10" s="5" t="str">
        <f t="shared" si="7"/>
        <v/>
      </c>
      <c r="Y10" s="5" t="str">
        <f t="shared" si="8"/>
        <v/>
      </c>
      <c r="Z10" s="5" t="str">
        <f t="shared" si="9"/>
        <v/>
      </c>
      <c r="AA10" s="5" t="str">
        <f t="shared" si="10"/>
        <v/>
      </c>
      <c r="AB10" s="5" t="str">
        <f t="shared" si="11"/>
        <v/>
      </c>
      <c r="AC10" s="3" t="str">
        <f t="shared" si="12"/>
        <v/>
      </c>
      <c r="AD10" s="30" t="str">
        <f>IF($C10="","",INDEX(AllBatters[[#All],[CON]],MATCH($C10,AllBatters[[#All],[Name]],0)))</f>
        <v/>
      </c>
      <c r="AE10" s="30" t="str">
        <f>IF($C10="","",INDEX(AllBatters[[#All],[GAP]],MATCH($C10,AllBatters[[#All],[Name]],0)))</f>
        <v/>
      </c>
      <c r="AF10" s="30" t="str">
        <f>IF($C10="","",INDEX(AllBatters[[#All],[POW]],MATCH($C10,AllBatters[[#All],[Name]],0)))</f>
        <v/>
      </c>
      <c r="AG10" s="30" t="str">
        <f>IF($C10="","",INDEX(AllBatters[[#All],[EYE]],MATCH($C10,AllBatters[[#All],[Name]],0)))</f>
        <v/>
      </c>
      <c r="AH10" s="30" t="str">
        <f>IF($C10="","",INDEX(AllBatters[[#All],[K''s]],MATCH($C10,AllBatters[[#All],[Name]],0)))</f>
        <v/>
      </c>
      <c r="AI10" s="51" t="str">
        <f>IF($C10="","",INDEX(AllBatters[[#All],[SPE]],MATCH($C10,AllBatters[[#All],[Name]],0)))</f>
        <v/>
      </c>
      <c r="AJ10" s="31" t="str">
        <f>IF($C10="","",INDEX(AllBatters[[#All],[STE]],MATCH($C10,AllBatters[[#All],[Name]],0)))</f>
        <v/>
      </c>
      <c r="AK10" s="60" t="str">
        <f>IF($C10="","",INDEX(AllBatters[[#All],[nCPE Avg]],MATCH($C10,AllBatters[[#All],[Name]],0)))</f>
        <v/>
      </c>
      <c r="AL10" s="46" t="str">
        <f t="shared" si="13"/>
        <v/>
      </c>
      <c r="AM10" s="5" t="str">
        <f t="shared" si="14"/>
        <v/>
      </c>
      <c r="AN10" s="5" t="str">
        <f t="shared" si="15"/>
        <v/>
      </c>
      <c r="AO10" s="5" t="str">
        <f t="shared" si="16"/>
        <v/>
      </c>
      <c r="AP10" s="5" t="str">
        <f t="shared" si="17"/>
        <v/>
      </c>
      <c r="AQ10" s="5" t="str">
        <f t="shared" si="18"/>
        <v/>
      </c>
      <c r="AR10" s="5" t="str">
        <f t="shared" si="19"/>
        <v/>
      </c>
      <c r="AS10" s="5" t="str">
        <f t="shared" si="20"/>
        <v/>
      </c>
      <c r="AT10" s="3" t="str">
        <f t="shared" si="21"/>
        <v/>
      </c>
      <c r="AU10" s="51" t="str">
        <f>IF($C10="","",INDEX(AllBatters[[#All],[CON P]],MATCH($C10,AllBatters[[#All],[Name]],0)))</f>
        <v/>
      </c>
      <c r="AV10" s="30" t="str">
        <f>IF($C10="","",INDEX(AllBatters[[#All],[GAP P]],MATCH($C10,AllBatters[[#All],[Name]],0)))</f>
        <v/>
      </c>
      <c r="AW10" s="30" t="str">
        <f>IF($C10="","",INDEX(AllBatters[[#All],[POW P]],MATCH($C10,AllBatters[[#All],[Name]],0)))</f>
        <v/>
      </c>
      <c r="AX10" s="30" t="str">
        <f>IF($C10="","",INDEX(AllBatters[[#All],[EYE P]],MATCH($C10,AllBatters[[#All],[Name]],0)))</f>
        <v/>
      </c>
      <c r="AY10" s="31" t="str">
        <f>IF($C10="","",INDEX(AllBatters[[#All],[K P]],MATCH($C10,AllBatters[[#All],[Name]],0)))</f>
        <v/>
      </c>
      <c r="AZ10" s="60" t="str">
        <f>IF($C10="","",INDEX(AllBatters[[#All],[fCPE Avg]],MATCH($C10,AllBatters[[#All],[Name]],0)))</f>
        <v/>
      </c>
    </row>
    <row r="11" spans="1:52" x14ac:dyDescent="0.25">
      <c r="A11">
        <v>9</v>
      </c>
      <c r="B11" s="32" t="s">
        <v>80</v>
      </c>
      <c r="C11" s="33"/>
      <c r="D11" s="33" t="str">
        <f>IF($C11="","",INDEX(AllBatters[[#All],[Age]],MATCH($C11,AllBatters[[#All],[Name]],0)))</f>
        <v/>
      </c>
      <c r="E11" s="33" t="str">
        <f>IF($C11="","",INDEX(AllBatters[[#All],[B]],MATCH($C11,AllBatters[[#All],[Name]],0)))</f>
        <v/>
      </c>
      <c r="F11" s="47" t="str">
        <f t="shared" si="0"/>
        <v/>
      </c>
      <c r="G11" s="34" t="str">
        <f t="shared" si="1"/>
        <v/>
      </c>
      <c r="H11" s="34" t="str">
        <f t="shared" si="2"/>
        <v/>
      </c>
      <c r="I11" s="34" t="str">
        <f t="shared" si="3"/>
        <v/>
      </c>
      <c r="J11" s="52" t="str">
        <f>IF($C11="","",INDEX(AllBatters[[#All],[C ARM]],MATCH($C11,AllBatters[[#All],[Name]],0)))</f>
        <v/>
      </c>
      <c r="K11" s="33" t="str">
        <f>IF($C11="","",INDEX(AllBatters[[#All],[IF ARM]],MATCH($C11,AllBatters[[#All],[Name]],0)))</f>
        <v/>
      </c>
      <c r="L11" s="35" t="str">
        <f>IF($C11="","",INDEX(AllBatters[[#All],[OF ARM]],MATCH($C11,AllBatters[[#All],[Name]],0)))</f>
        <v/>
      </c>
      <c r="M11" s="33" t="str">
        <f>IF($C11="","",INDEX(AllBatters[[#All],[C]],MATCH($C11,AllBatters[[#All],[Name]],0)))</f>
        <v/>
      </c>
      <c r="N11" s="33" t="str">
        <f>IF($C11="","",INDEX(AllBatters[[#All],[1B]],MATCH($C11,AllBatters[[#All],[Name]],0)))</f>
        <v/>
      </c>
      <c r="O11" s="33" t="str">
        <f>IF($C11="","",INDEX(AllBatters[[#All],[2B]],MATCH($C11,AllBatters[[#All],[Name]],0)))</f>
        <v/>
      </c>
      <c r="P11" s="33" t="str">
        <f>IF($C11="","",INDEX(AllBatters[[#All],[3B]],MATCH($C11,AllBatters[[#All],[Name]],0)))</f>
        <v/>
      </c>
      <c r="Q11" s="33" t="str">
        <f>IF($C11="","",INDEX(AllBatters[[#All],[SS]],MATCH($C11,AllBatters[[#All],[Name]],0)))</f>
        <v/>
      </c>
      <c r="R11" s="33" t="str">
        <f>IF($C11="","",INDEX(AllBatters[[#All],[LF]],MATCH($C11,AllBatters[[#All],[Name]],0)))</f>
        <v/>
      </c>
      <c r="S11" s="33" t="str">
        <f>IF($C11="","",INDEX(AllBatters[[#All],[CF]],MATCH($C11,AllBatters[[#All],[Name]],0)))</f>
        <v/>
      </c>
      <c r="T11" s="35" t="str">
        <f>IF($C11="","",INDEX(AllBatters[[#All],[RF]],MATCH($C11,AllBatters[[#All],[Name]],0)))</f>
        <v/>
      </c>
      <c r="U11" s="47" t="str">
        <f t="shared" si="4"/>
        <v/>
      </c>
      <c r="V11" s="34" t="str">
        <f t="shared" si="5"/>
        <v/>
      </c>
      <c r="W11" s="34" t="str">
        <f t="shared" si="6"/>
        <v/>
      </c>
      <c r="X11" s="34" t="str">
        <f t="shared" si="7"/>
        <v/>
      </c>
      <c r="Y11" s="34" t="str">
        <f t="shared" si="8"/>
        <v/>
      </c>
      <c r="Z11" s="34" t="str">
        <f t="shared" si="9"/>
        <v/>
      </c>
      <c r="AA11" s="34" t="str">
        <f t="shared" si="10"/>
        <v/>
      </c>
      <c r="AB11" s="34" t="str">
        <f t="shared" si="11"/>
        <v/>
      </c>
      <c r="AC11" s="55" t="str">
        <f t="shared" si="12"/>
        <v/>
      </c>
      <c r="AD11" s="33" t="str">
        <f>IF($C11="","",INDEX(AllBatters[[#All],[CON]],MATCH($C11,AllBatters[[#All],[Name]],0)))</f>
        <v/>
      </c>
      <c r="AE11" s="33" t="str">
        <f>IF($C11="","",INDEX(AllBatters[[#All],[GAP]],MATCH($C11,AllBatters[[#All],[Name]],0)))</f>
        <v/>
      </c>
      <c r="AF11" s="33" t="str">
        <f>IF($C11="","",INDEX(AllBatters[[#All],[POW]],MATCH($C11,AllBatters[[#All],[Name]],0)))</f>
        <v/>
      </c>
      <c r="AG11" s="33" t="str">
        <f>IF($C11="","",INDEX(AllBatters[[#All],[EYE]],MATCH($C11,AllBatters[[#All],[Name]],0)))</f>
        <v/>
      </c>
      <c r="AH11" s="33" t="str">
        <f>IF($C11="","",INDEX(AllBatters[[#All],[K''s]],MATCH($C11,AllBatters[[#All],[Name]],0)))</f>
        <v/>
      </c>
      <c r="AI11" s="52" t="str">
        <f>IF($C11="","",INDEX(AllBatters[[#All],[SPE]],MATCH($C11,AllBatters[[#All],[Name]],0)))</f>
        <v/>
      </c>
      <c r="AJ11" s="35" t="str">
        <f>IF($C11="","",INDEX(AllBatters[[#All],[STE]],MATCH($C11,AllBatters[[#All],[Name]],0)))</f>
        <v/>
      </c>
      <c r="AK11" s="61" t="str">
        <f>IF($C11="","",INDEX(AllBatters[[#All],[nCPE Avg]],MATCH($C11,AllBatters[[#All],[Name]],0)))</f>
        <v/>
      </c>
      <c r="AL11" s="47" t="str">
        <f t="shared" si="13"/>
        <v/>
      </c>
      <c r="AM11" s="34" t="str">
        <f t="shared" si="14"/>
        <v/>
      </c>
      <c r="AN11" s="34" t="str">
        <f t="shared" si="15"/>
        <v/>
      </c>
      <c r="AO11" s="34" t="str">
        <f t="shared" si="16"/>
        <v/>
      </c>
      <c r="AP11" s="34" t="str">
        <f t="shared" si="17"/>
        <v/>
      </c>
      <c r="AQ11" s="34" t="str">
        <f t="shared" si="18"/>
        <v/>
      </c>
      <c r="AR11" s="34" t="str">
        <f t="shared" si="19"/>
        <v/>
      </c>
      <c r="AS11" s="34" t="str">
        <f t="shared" si="20"/>
        <v/>
      </c>
      <c r="AT11" s="55" t="str">
        <f t="shared" si="21"/>
        <v/>
      </c>
      <c r="AU11" s="52" t="str">
        <f>IF($C11="","",INDEX(AllBatters[[#All],[CON P]],MATCH($C11,AllBatters[[#All],[Name]],0)))</f>
        <v/>
      </c>
      <c r="AV11" s="33" t="str">
        <f>IF($C11="","",INDEX(AllBatters[[#All],[GAP P]],MATCH($C11,AllBatters[[#All],[Name]],0)))</f>
        <v/>
      </c>
      <c r="AW11" s="33" t="str">
        <f>IF($C11="","",INDEX(AllBatters[[#All],[POW P]],MATCH($C11,AllBatters[[#All],[Name]],0)))</f>
        <v/>
      </c>
      <c r="AX11" s="33" t="str">
        <f>IF($C11="","",INDEX(AllBatters[[#All],[EYE P]],MATCH($C11,AllBatters[[#All],[Name]],0)))</f>
        <v/>
      </c>
      <c r="AY11" s="35" t="str">
        <f>IF($C11="","",INDEX(AllBatters[[#All],[K P]],MATCH($C11,AllBatters[[#All],[Name]],0)))</f>
        <v/>
      </c>
      <c r="AZ11" s="61" t="str">
        <f>IF($C11="","",INDEX(AllBatters[[#All],[fCPE Avg]],MATCH($C11,AllBatters[[#All],[Name]],0)))</f>
        <v/>
      </c>
    </row>
    <row r="12" spans="1:52" x14ac:dyDescent="0.25"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AD12" s="305"/>
      <c r="AE12" s="305"/>
      <c r="AF12" s="305"/>
      <c r="AG12" s="305"/>
      <c r="AH12" s="305"/>
      <c r="AI12" s="305"/>
      <c r="AJ12" s="305"/>
      <c r="AU12" s="305"/>
      <c r="AV12" s="305"/>
      <c r="AW12" s="305"/>
      <c r="AX12" s="305"/>
      <c r="AY12" s="305"/>
    </row>
    <row r="13" spans="1:52" s="17" customFormat="1" ht="196.5" x14ac:dyDescent="0.25">
      <c r="A13" s="18" t="s">
        <v>170</v>
      </c>
      <c r="B13" s="36" t="s">
        <v>103</v>
      </c>
      <c r="C13" s="37" t="str">
        <f>"Player ("&amp;COUNTA(C14:C19)&amp;")"</f>
        <v>Player (5)</v>
      </c>
      <c r="D13" s="37" t="s">
        <v>70</v>
      </c>
      <c r="E13" s="37" t="s">
        <v>80</v>
      </c>
      <c r="F13" s="44" t="e">
        <f>"Only 1 guy who only plays 2B ("&amp;SUM(F14:F19)&amp;")"</f>
        <v>#N/A</v>
      </c>
      <c r="G13" s="39" t="e">
        <f>"2 Guys Who Play SS ("&amp;SUM(G14:G19)&amp;")"</f>
        <v>#N/A</v>
      </c>
      <c r="H13" s="39" t="e">
        <f>"2 guys with 3B arm ("&amp;SUM(H14:H19)&amp;")"</f>
        <v>#N/A</v>
      </c>
      <c r="I13" s="42" t="s">
        <v>32</v>
      </c>
      <c r="J13" s="40" t="s">
        <v>114</v>
      </c>
      <c r="K13" s="40" t="s">
        <v>112</v>
      </c>
      <c r="L13" s="40" t="s">
        <v>113</v>
      </c>
      <c r="M13" s="56" t="s">
        <v>71</v>
      </c>
      <c r="N13" s="41" t="s">
        <v>73</v>
      </c>
      <c r="O13" s="41" t="s">
        <v>74</v>
      </c>
      <c r="P13" s="41" t="s">
        <v>75</v>
      </c>
      <c r="Q13" s="41" t="s">
        <v>76</v>
      </c>
      <c r="R13" s="41" t="s">
        <v>77</v>
      </c>
      <c r="S13" s="41" t="s">
        <v>78</v>
      </c>
      <c r="T13" s="42" t="s">
        <v>79</v>
      </c>
      <c r="U13" s="38" t="s">
        <v>115</v>
      </c>
      <c r="V13" s="38" t="s">
        <v>158</v>
      </c>
      <c r="W13" s="38" t="s">
        <v>116</v>
      </c>
      <c r="X13" s="38" t="s">
        <v>117</v>
      </c>
      <c r="Y13" s="38" t="s">
        <v>118</v>
      </c>
      <c r="Z13" s="38" t="s">
        <v>119</v>
      </c>
      <c r="AA13" s="38" t="s">
        <v>120</v>
      </c>
      <c r="AB13" s="38" t="s">
        <v>122</v>
      </c>
      <c r="AC13" s="38" t="s">
        <v>121</v>
      </c>
      <c r="AD13" s="56" t="s">
        <v>125</v>
      </c>
      <c r="AE13" s="41" t="s">
        <v>126</v>
      </c>
      <c r="AF13" s="41" t="s">
        <v>127</v>
      </c>
      <c r="AG13" s="41" t="s">
        <v>128</v>
      </c>
      <c r="AH13" s="41" t="s">
        <v>21</v>
      </c>
      <c r="AI13" s="41" t="s">
        <v>129</v>
      </c>
      <c r="AJ13" s="42" t="s">
        <v>130</v>
      </c>
      <c r="AK13" s="59" t="s">
        <v>134</v>
      </c>
      <c r="AL13" s="38" t="s">
        <v>115</v>
      </c>
      <c r="AM13" s="38" t="s">
        <v>158</v>
      </c>
      <c r="AN13" s="38" t="s">
        <v>116</v>
      </c>
      <c r="AO13" s="38" t="s">
        <v>117</v>
      </c>
      <c r="AP13" s="38" t="s">
        <v>118</v>
      </c>
      <c r="AQ13" s="38" t="s">
        <v>119</v>
      </c>
      <c r="AR13" s="38" t="s">
        <v>120</v>
      </c>
      <c r="AS13" s="38" t="s">
        <v>122</v>
      </c>
      <c r="AT13" s="38" t="s">
        <v>121</v>
      </c>
      <c r="AU13" s="56" t="s">
        <v>125</v>
      </c>
      <c r="AV13" s="41" t="s">
        <v>126</v>
      </c>
      <c r="AW13" s="41" t="s">
        <v>127</v>
      </c>
      <c r="AX13" s="41" t="s">
        <v>128</v>
      </c>
      <c r="AY13" s="42" t="s">
        <v>21</v>
      </c>
      <c r="AZ13" s="59" t="s">
        <v>174</v>
      </c>
    </row>
    <row r="14" spans="1:52" x14ac:dyDescent="0.25">
      <c r="A14">
        <v>1</v>
      </c>
      <c r="B14" s="29" t="s">
        <v>74</v>
      </c>
      <c r="C14" s="30" t="s">
        <v>1035</v>
      </c>
      <c r="D14" s="30">
        <f>IF($C14="","",INDEX(AllBatters[[#All],[Age]],MATCH($C14,AllBatters[[#All],[Name]],0)))</f>
        <v>27</v>
      </c>
      <c r="E14" s="26" t="str">
        <f>IF($C14="","",INDEX(AllBatters[[#All],[B]],MATCH($C14,AllBatters[[#All],[Name]],0)))</f>
        <v>R</v>
      </c>
      <c r="F14" s="46">
        <f t="shared" ref="F14:F16" si="22">IF($C14="","",IF(AND(O14&gt;0,O14=SUM(M14:T14)),1,0))</f>
        <v>0</v>
      </c>
      <c r="G14" s="5">
        <f t="shared" ref="G14:G16" si="23">IF($C14="","",IF(Q14&lt;&gt;"-",1,0))</f>
        <v>1</v>
      </c>
      <c r="H14" s="5">
        <f t="shared" ref="H14:H16" si="24">IF($C14="","",IF(AND(K14&gt;5,P14&lt;&gt;"-"),1,0))</f>
        <v>1</v>
      </c>
      <c r="I14" s="3" t="str">
        <f t="shared" ref="I14:I19" si="25">IF($C14="","","-")</f>
        <v>-</v>
      </c>
      <c r="J14" s="30">
        <f>IF($C14="","",INDEX(AllBatters[[#All],[C ARM]],MATCH($C14,AllBatters[[#All],[Name]],0)))</f>
        <v>1</v>
      </c>
      <c r="K14" s="30">
        <f>IF($C14="","",INDEX(AllBatters[[#All],[IF ARM]],MATCH($C14,AllBatters[[#All],[Name]],0)))</f>
        <v>7</v>
      </c>
      <c r="L14" s="30">
        <f>IF($C14="","",INDEX(AllBatters[[#All],[OF ARM]],MATCH($C14,AllBatters[[#All],[Name]],0)))</f>
        <v>5</v>
      </c>
      <c r="M14" s="51" t="str">
        <f>IF($C14="","",INDEX(AllBatters[[#All],[C]],MATCH($C14,AllBatters[[#All],[Name]],0)))</f>
        <v>-</v>
      </c>
      <c r="N14" s="30" t="str">
        <f>IF($C14="","",INDEX(AllBatters[[#All],[1B]],MATCH($C14,AllBatters[[#All],[Name]],0)))</f>
        <v>-</v>
      </c>
      <c r="O14" s="30">
        <f>IF($C14="","",INDEX(AllBatters[[#All],[2B]],MATCH($C14,AllBatters[[#All],[Name]],0)))</f>
        <v>6</v>
      </c>
      <c r="P14" s="30">
        <f>IF($C14="","",INDEX(AllBatters[[#All],[3B]],MATCH($C14,AllBatters[[#All],[Name]],0)))</f>
        <v>3</v>
      </c>
      <c r="Q14" s="30">
        <f>IF($C14="","",INDEX(AllBatters[[#All],[SS]],MATCH($C14,AllBatters[[#All],[Name]],0)))</f>
        <v>3</v>
      </c>
      <c r="R14" s="30" t="str">
        <f>IF($C14="","",INDEX(AllBatters[[#All],[LF]],MATCH($C14,AllBatters[[#All],[Name]],0)))</f>
        <v>-</v>
      </c>
      <c r="S14" s="30" t="str">
        <f>IF($C14="","",INDEX(AllBatters[[#All],[CF]],MATCH($C14,AllBatters[[#All],[Name]],0)))</f>
        <v>-</v>
      </c>
      <c r="T14" s="31" t="str">
        <f>IF($C14="","",INDEX(AllBatters[[#All],[RF]],MATCH($C14,AllBatters[[#All],[Name]],0)))</f>
        <v>-</v>
      </c>
      <c r="U14" s="5">
        <f t="shared" ref="U14:U16" si="26">IF($C14="","",IF(OR(AD14+AG14&gt;14,AND(OR(AD14+AG14&gt;12,AND(AD14&gt;6,AG14&gt;6)),AI14&gt;6,OR(AJ14&gt;=AI14,AJ14&gt;6))),1,0))</f>
        <v>1</v>
      </c>
      <c r="V14" s="5">
        <f t="shared" ref="V14:V16" si="27">IF($C14="","",IF(OR(AND(AD14&gt;6,AH14&gt;6),AD14+AG14&gt;12),1,0))</f>
        <v>1</v>
      </c>
      <c r="W14" s="5">
        <f t="shared" ref="W14:W16" si="28">IF($C14="","",IF(AND(AD14&gt;6,AF14&gt;6,AG14&gt;6),1,0))</f>
        <v>0</v>
      </c>
      <c r="X14" s="5">
        <f t="shared" ref="X14:X16" si="29">IF($C14="","",IF(AND(AF14&gt;7,OR(AD14&gt;6,AG14&gt;6)),1,0))</f>
        <v>0</v>
      </c>
      <c r="Y14" s="5">
        <f t="shared" ref="Y14:Y16" si="30">IF($C14="","",IF(AND(AF14&gt;6,OR(AD14&gt;6,AG14&gt;6)),1,0))</f>
        <v>1</v>
      </c>
      <c r="Z14" s="5">
        <f t="shared" ref="Z14:Z16" si="31">IF($C14="","",IF(AND(OR(AD14&gt;6,AF14&gt;6),OR(AD14&gt;6,AG14&gt;6)),1,0))</f>
        <v>1</v>
      </c>
      <c r="AA14" s="5">
        <f t="shared" ref="AA14:AA16" si="32">IF($C14="","",IF(AND(AD14&gt;4,OR(AD14&gt;6,AF14&gt;6,AG14&gt;6)),1,0))</f>
        <v>1</v>
      </c>
      <c r="AB14" s="5">
        <f t="shared" ref="AB14:AB16" si="33">IF($C14="","",IF(AND(AD14&gt;4,OR(AD14&gt;6,AE14&gt;6,AF14&gt;6,AG14&gt;6)),1,0))</f>
        <v>1</v>
      </c>
      <c r="AC14" s="5">
        <f t="shared" ref="AC14:AC16" si="34">IF($C14="","",IF(AND(AD14&gt;4,MAX(AD14:AH14)&gt;6),1,0))</f>
        <v>1</v>
      </c>
      <c r="AD14" s="51">
        <f>IF($C14="","",INDEX(AllBatters[[#All],[CON]],MATCH($C14,AllBatters[[#All],[Name]],0)))</f>
        <v>5</v>
      </c>
      <c r="AE14" s="30">
        <f>IF($C14="","",INDEX(AllBatters[[#All],[GAP]],MATCH($C14,AllBatters[[#All],[Name]],0)))</f>
        <v>2</v>
      </c>
      <c r="AF14" s="30">
        <f>IF($C14="","",INDEX(AllBatters[[#All],[POW]],MATCH($C14,AllBatters[[#All],[Name]],0)))</f>
        <v>7</v>
      </c>
      <c r="AG14" s="30">
        <f>IF($C14="","",INDEX(AllBatters[[#All],[EYE]],MATCH($C14,AllBatters[[#All],[Name]],0)))</f>
        <v>8</v>
      </c>
      <c r="AH14" s="30">
        <f>IF($C14="","",INDEX(AllBatters[[#All],[K''s]],MATCH($C14,AllBatters[[#All],[Name]],0)))</f>
        <v>5</v>
      </c>
      <c r="AI14" s="30">
        <f>IF($C14="","",INDEX(AllBatters[[#All],[SPE]],MATCH($C14,AllBatters[[#All],[Name]],0)))</f>
        <v>9</v>
      </c>
      <c r="AJ14" s="31">
        <f>IF($C14="","",INDEX(AllBatters[[#All],[STE]],MATCH($C14,AllBatters[[#All],[Name]],0)))</f>
        <v>10</v>
      </c>
      <c r="AK14" s="60">
        <f>IF($C14="","",INDEX(AllBatters[[#All],[nCPE Avg]],MATCH($C14,AllBatters[[#All],[Name]],0)))</f>
        <v>6.166666666666667</v>
      </c>
      <c r="AL14" s="5">
        <f t="shared" ref="AL14:AL16" si="35">IF($C14="","",IF(AND(OR(AU14+AX14&gt;12,AND(AU14&gt;6,AX14&gt;6)),AI14&gt;6,OR(AJ14&gt;=AI14,AJ14&gt;6)),1,0))</f>
        <v>1</v>
      </c>
      <c r="AM14" s="5">
        <f t="shared" ref="AM14:AM16" si="36">IF($C14="","",IF(OR(AND(AU14&gt;6,AY14&gt;6),AU14+AX14&gt;12),1,0))</f>
        <v>1</v>
      </c>
      <c r="AN14" s="5">
        <f t="shared" ref="AN14:AN16" si="37">IF($C14="","",IF(AND(AU14&gt;6,AW14&gt;6,AX14&gt;6),1,0))</f>
        <v>0</v>
      </c>
      <c r="AO14" s="5">
        <f t="shared" ref="AO14:AO16" si="38">IF($C14="","",IF(AND(AW14&gt;7,OR(AU14&gt;6,AX14&gt;6)),1,0))</f>
        <v>0</v>
      </c>
      <c r="AP14" s="5">
        <f t="shared" ref="AP14:AP16" si="39">IF($C14="","",IF(AND(AW14&gt;6,OR(AU14&gt;6,AX14&gt;6)),1,0))</f>
        <v>1</v>
      </c>
      <c r="AQ14" s="5">
        <f t="shared" ref="AQ14:AQ16" si="40">IF($C14="","",IF(AND(OR(AU14&gt;6,AW14&gt;6),OR(AU14&gt;6,AX14&gt;6)),1,0))</f>
        <v>1</v>
      </c>
      <c r="AR14" s="5">
        <f t="shared" ref="AR14:AR16" si="41">IF($C14="","",IF(AND(AU14&gt;4,OR(AU14&gt;6,AW14&gt;6,AX14&gt;6)),1,0))</f>
        <v>1</v>
      </c>
      <c r="AS14" s="5">
        <f t="shared" ref="AS14:AS16" si="42">IF($C14="","",IF(AND(AU14&gt;4,OR(AU14&gt;6,AV14&gt;6,AW14&gt;6,AX14&gt;6)),1,0))</f>
        <v>1</v>
      </c>
      <c r="AT14" s="5">
        <f t="shared" ref="AT14:AT16" si="43">IF($C14="","",IF(AND(AU14&gt;4,MAX(AU14:AY14)&gt;6),1,0))</f>
        <v>1</v>
      </c>
      <c r="AU14" s="51">
        <f>IF($C14="","",INDEX(AllBatters[[#All],[CON P]],MATCH($C14,AllBatters[[#All],[Name]],0)))</f>
        <v>5</v>
      </c>
      <c r="AV14" s="30">
        <f>IF($C14="","",INDEX(AllBatters[[#All],[GAP P]],MATCH($C14,AllBatters[[#All],[Name]],0)))</f>
        <v>3</v>
      </c>
      <c r="AW14" s="30">
        <f>IF($C14="","",INDEX(AllBatters[[#All],[POW P]],MATCH($C14,AllBatters[[#All],[Name]],0)))</f>
        <v>7</v>
      </c>
      <c r="AX14" s="30">
        <f>IF($C14="","",INDEX(AllBatters[[#All],[EYE P]],MATCH($C14,AllBatters[[#All],[Name]],0)))</f>
        <v>8</v>
      </c>
      <c r="AY14" s="31">
        <f>IF($C14="","",INDEX(AllBatters[[#All],[K P]],MATCH($C14,AllBatters[[#All],[Name]],0)))</f>
        <v>6</v>
      </c>
      <c r="AZ14" s="60">
        <f>IF($C14="","",INDEX(AllBatters[[#All],[fCPE Avg]],MATCH($C14,AllBatters[[#All],[Name]],0)))</f>
        <v>6.166666666666667</v>
      </c>
    </row>
    <row r="15" spans="1:52" x14ac:dyDescent="0.25">
      <c r="A15">
        <v>2</v>
      </c>
      <c r="B15" s="29" t="s">
        <v>75</v>
      </c>
      <c r="C15" s="58" t="s">
        <v>1036</v>
      </c>
      <c r="D15" s="30">
        <f>IF($C15="","",INDEX(AllBatters[[#All],[Age]],MATCH($C15,AllBatters[[#All],[Name]],0)))</f>
        <v>25</v>
      </c>
      <c r="E15" s="30" t="str">
        <f>IF($C15="","",INDEX(AllBatters[[#All],[B]],MATCH($C15,AllBatters[[#All],[Name]],0)))</f>
        <v>S</v>
      </c>
      <c r="F15" s="345">
        <f t="shared" si="22"/>
        <v>0</v>
      </c>
      <c r="G15" s="339">
        <f t="shared" si="23"/>
        <v>0</v>
      </c>
      <c r="H15" s="339">
        <f t="shared" si="24"/>
        <v>1</v>
      </c>
      <c r="I15" s="340" t="str">
        <f t="shared" si="25"/>
        <v>-</v>
      </c>
      <c r="J15" s="30">
        <f>IF($C15="","",INDEX(AllBatters[[#All],[C ARM]],MATCH($C15,AllBatters[[#All],[Name]],0)))</f>
        <v>1</v>
      </c>
      <c r="K15" s="30">
        <f>IF($C15="","",INDEX(AllBatters[[#All],[IF ARM]],MATCH($C15,AllBatters[[#All],[Name]],0)))</f>
        <v>10</v>
      </c>
      <c r="L15" s="30">
        <f>IF($C15="","",INDEX(AllBatters[[#All],[OF ARM]],MATCH($C15,AllBatters[[#All],[Name]],0)))</f>
        <v>10</v>
      </c>
      <c r="M15" s="51" t="str">
        <f>IF($C15="","",INDEX(AllBatters[[#All],[C]],MATCH($C15,AllBatters[[#All],[Name]],0)))</f>
        <v>-</v>
      </c>
      <c r="N15" s="30" t="str">
        <f>IF($C15="","",INDEX(AllBatters[[#All],[1B]],MATCH($C15,AllBatters[[#All],[Name]],0)))</f>
        <v>-</v>
      </c>
      <c r="O15" s="30" t="str">
        <f>IF($C15="","",INDEX(AllBatters[[#All],[2B]],MATCH($C15,AllBatters[[#All],[Name]],0)))</f>
        <v>-</v>
      </c>
      <c r="P15" s="30">
        <f>IF($C15="","",INDEX(AllBatters[[#All],[3B]],MATCH($C15,AllBatters[[#All],[Name]],0)))</f>
        <v>7</v>
      </c>
      <c r="Q15" s="30" t="str">
        <f>IF($C15="","",INDEX(AllBatters[[#All],[SS]],MATCH($C15,AllBatters[[#All],[Name]],0)))</f>
        <v>-</v>
      </c>
      <c r="R15" s="30">
        <f>IF($C15="","",INDEX(AllBatters[[#All],[LF]],MATCH($C15,AllBatters[[#All],[Name]],0)))</f>
        <v>4</v>
      </c>
      <c r="S15" s="30" t="str">
        <f>IF($C15="","",INDEX(AllBatters[[#All],[CF]],MATCH($C15,AllBatters[[#All],[Name]],0)))</f>
        <v>-</v>
      </c>
      <c r="T15" s="31" t="str">
        <f>IF($C15="","",INDEX(AllBatters[[#All],[RF]],MATCH($C15,AllBatters[[#All],[Name]],0)))</f>
        <v>-</v>
      </c>
      <c r="U15" s="339">
        <f t="shared" si="26"/>
        <v>0</v>
      </c>
      <c r="V15" s="339">
        <f t="shared" si="27"/>
        <v>0</v>
      </c>
      <c r="W15" s="339">
        <f t="shared" si="28"/>
        <v>0</v>
      </c>
      <c r="X15" s="339">
        <f t="shared" si="29"/>
        <v>0</v>
      </c>
      <c r="Y15" s="339">
        <f t="shared" si="30"/>
        <v>0</v>
      </c>
      <c r="Z15" s="339">
        <f t="shared" si="31"/>
        <v>0</v>
      </c>
      <c r="AA15" s="339">
        <f t="shared" si="32"/>
        <v>0</v>
      </c>
      <c r="AB15" s="339">
        <f t="shared" si="33"/>
        <v>1</v>
      </c>
      <c r="AC15" s="339">
        <f t="shared" si="34"/>
        <v>1</v>
      </c>
      <c r="AD15" s="51">
        <f>IF($C15="","",INDEX(AllBatters[[#All],[CON]],MATCH($C15,AllBatters[[#All],[Name]],0)))</f>
        <v>5</v>
      </c>
      <c r="AE15" s="30">
        <f>IF($C15="","",INDEX(AllBatters[[#All],[GAP]],MATCH($C15,AllBatters[[#All],[Name]],0)))</f>
        <v>7</v>
      </c>
      <c r="AF15" s="30">
        <f>IF($C15="","",INDEX(AllBatters[[#All],[POW]],MATCH($C15,AllBatters[[#All],[Name]],0)))</f>
        <v>6</v>
      </c>
      <c r="AG15" s="30">
        <f>IF($C15="","",INDEX(AllBatters[[#All],[EYE]],MATCH($C15,AllBatters[[#All],[Name]],0)))</f>
        <v>5</v>
      </c>
      <c r="AH15" s="30">
        <f>IF($C15="","",INDEX(AllBatters[[#All],[K''s]],MATCH($C15,AllBatters[[#All],[Name]],0)))</f>
        <v>5</v>
      </c>
      <c r="AI15" s="30">
        <f>IF($C15="","",INDEX(AllBatters[[#All],[SPE]],MATCH($C15,AllBatters[[#All],[Name]],0)))</f>
        <v>3</v>
      </c>
      <c r="AJ15" s="31">
        <f>IF($C15="","",INDEX(AllBatters[[#All],[STE]],MATCH($C15,AllBatters[[#All],[Name]],0)))</f>
        <v>4</v>
      </c>
      <c r="AK15" s="60">
        <f>IF($C15="","",INDEX(AllBatters[[#All],[nCPE Avg]],MATCH($C15,AllBatters[[#All],[Name]],0)))</f>
        <v>4.833333333333333</v>
      </c>
      <c r="AL15" s="339">
        <f t="shared" si="35"/>
        <v>0</v>
      </c>
      <c r="AM15" s="339">
        <f t="shared" si="36"/>
        <v>0</v>
      </c>
      <c r="AN15" s="339">
        <f t="shared" si="37"/>
        <v>0</v>
      </c>
      <c r="AO15" s="339">
        <f t="shared" si="38"/>
        <v>0</v>
      </c>
      <c r="AP15" s="339">
        <f t="shared" si="39"/>
        <v>0</v>
      </c>
      <c r="AQ15" s="339">
        <f t="shared" si="40"/>
        <v>0</v>
      </c>
      <c r="AR15" s="339">
        <f t="shared" si="41"/>
        <v>0</v>
      </c>
      <c r="AS15" s="339">
        <f t="shared" si="42"/>
        <v>1</v>
      </c>
      <c r="AT15" s="339">
        <f t="shared" si="43"/>
        <v>1</v>
      </c>
      <c r="AU15" s="51">
        <f>IF($C15="","",INDEX(AllBatters[[#All],[CON P]],MATCH($C15,AllBatters[[#All],[Name]],0)))</f>
        <v>5</v>
      </c>
      <c r="AV15" s="30">
        <f>IF($C15="","",INDEX(AllBatters[[#All],[GAP P]],MATCH($C15,AllBatters[[#All],[Name]],0)))</f>
        <v>7</v>
      </c>
      <c r="AW15" s="30">
        <f>IF($C15="","",INDEX(AllBatters[[#All],[POW P]],MATCH($C15,AllBatters[[#All],[Name]],0)))</f>
        <v>6</v>
      </c>
      <c r="AX15" s="30">
        <f>IF($C15="","",INDEX(AllBatters[[#All],[EYE P]],MATCH($C15,AllBatters[[#All],[Name]],0)))</f>
        <v>5</v>
      </c>
      <c r="AY15" s="31">
        <f>IF($C15="","",INDEX(AllBatters[[#All],[K P]],MATCH($C15,AllBatters[[#All],[Name]],0)))</f>
        <v>5</v>
      </c>
      <c r="AZ15" s="60">
        <f>IF($C15="","",INDEX(AllBatters[[#All],[fCPE Avg]],MATCH($C15,AllBatters[[#All],[Name]],0)))</f>
        <v>4.833333333333333</v>
      </c>
    </row>
    <row r="16" spans="1:52" x14ac:dyDescent="0.25">
      <c r="A16">
        <v>3</v>
      </c>
      <c r="B16" s="29" t="s">
        <v>76</v>
      </c>
      <c r="C16" s="30" t="s">
        <v>1160</v>
      </c>
      <c r="D16" s="30">
        <f>IF($C16="","",INDEX(AllBatters[[#All],[Age]],MATCH($C16,AllBatters[[#All],[Name]],0)))</f>
        <v>36</v>
      </c>
      <c r="E16" s="30" t="str">
        <f>IF($C16="","",INDEX(AllBatters[[#All],[B]],MATCH($C16,AllBatters[[#All],[Name]],0)))</f>
        <v>R</v>
      </c>
      <c r="F16" s="345">
        <f t="shared" si="22"/>
        <v>0</v>
      </c>
      <c r="G16" s="339">
        <f t="shared" si="23"/>
        <v>1</v>
      </c>
      <c r="H16" s="339">
        <f t="shared" si="24"/>
        <v>1</v>
      </c>
      <c r="I16" s="340" t="str">
        <f t="shared" si="25"/>
        <v>-</v>
      </c>
      <c r="J16" s="30">
        <f>IF($C16="","",INDEX(AllBatters[[#All],[C ARM]],MATCH($C16,AllBatters[[#All],[Name]],0)))</f>
        <v>1</v>
      </c>
      <c r="K16" s="30">
        <f>IF($C16="","",INDEX(AllBatters[[#All],[IF ARM]],MATCH($C16,AllBatters[[#All],[Name]],0)))</f>
        <v>10</v>
      </c>
      <c r="L16" s="30">
        <f>IF($C16="","",INDEX(AllBatters[[#All],[OF ARM]],MATCH($C16,AllBatters[[#All],[Name]],0)))</f>
        <v>1</v>
      </c>
      <c r="M16" s="51" t="str">
        <f>IF($C16="","",INDEX(AllBatters[[#All],[C]],MATCH($C16,AllBatters[[#All],[Name]],0)))</f>
        <v>-</v>
      </c>
      <c r="N16" s="30" t="str">
        <f>IF($C16="","",INDEX(AllBatters[[#All],[1B]],MATCH($C16,AllBatters[[#All],[Name]],0)))</f>
        <v>-</v>
      </c>
      <c r="O16" s="30">
        <f>IF($C16="","",INDEX(AllBatters[[#All],[2B]],MATCH($C16,AllBatters[[#All],[Name]],0)))</f>
        <v>9</v>
      </c>
      <c r="P16" s="30">
        <f>IF($C16="","",INDEX(AllBatters[[#All],[3B]],MATCH($C16,AllBatters[[#All],[Name]],0)))</f>
        <v>9</v>
      </c>
      <c r="Q16" s="30">
        <f>IF($C16="","",INDEX(AllBatters[[#All],[SS]],MATCH($C16,AllBatters[[#All],[Name]],0)))</f>
        <v>7</v>
      </c>
      <c r="R16" s="30" t="str">
        <f>IF($C16="","",INDEX(AllBatters[[#All],[LF]],MATCH($C16,AllBatters[[#All],[Name]],0)))</f>
        <v>-</v>
      </c>
      <c r="S16" s="30" t="str">
        <f>IF($C16="","",INDEX(AllBatters[[#All],[CF]],MATCH($C16,AllBatters[[#All],[Name]],0)))</f>
        <v>-</v>
      </c>
      <c r="T16" s="31" t="str">
        <f>IF($C16="","",INDEX(AllBatters[[#All],[RF]],MATCH($C16,AllBatters[[#All],[Name]],0)))</f>
        <v>-</v>
      </c>
      <c r="U16" s="339">
        <f t="shared" si="26"/>
        <v>0</v>
      </c>
      <c r="V16" s="339">
        <f t="shared" si="27"/>
        <v>0</v>
      </c>
      <c r="W16" s="339">
        <f t="shared" si="28"/>
        <v>0</v>
      </c>
      <c r="X16" s="339">
        <f t="shared" si="29"/>
        <v>0</v>
      </c>
      <c r="Y16" s="339">
        <f t="shared" si="30"/>
        <v>0</v>
      </c>
      <c r="Z16" s="339">
        <f t="shared" si="31"/>
        <v>0</v>
      </c>
      <c r="AA16" s="339">
        <f t="shared" si="32"/>
        <v>0</v>
      </c>
      <c r="AB16" s="339">
        <f t="shared" si="33"/>
        <v>0</v>
      </c>
      <c r="AC16" s="339">
        <f t="shared" si="34"/>
        <v>1</v>
      </c>
      <c r="AD16" s="51">
        <f>IF($C16="","",INDEX(AllBatters[[#All],[CON]],MATCH($C16,AllBatters[[#All],[Name]],0)))</f>
        <v>5</v>
      </c>
      <c r="AE16" s="30">
        <f>IF($C16="","",INDEX(AllBatters[[#All],[GAP]],MATCH($C16,AllBatters[[#All],[Name]],0)))</f>
        <v>5</v>
      </c>
      <c r="AF16" s="30">
        <f>IF($C16="","",INDEX(AllBatters[[#All],[POW]],MATCH($C16,AllBatters[[#All],[Name]],0)))</f>
        <v>2</v>
      </c>
      <c r="AG16" s="30">
        <f>IF($C16="","",INDEX(AllBatters[[#All],[EYE]],MATCH($C16,AllBatters[[#All],[Name]],0)))</f>
        <v>6</v>
      </c>
      <c r="AH16" s="30">
        <f>IF($C16="","",INDEX(AllBatters[[#All],[K''s]],MATCH($C16,AllBatters[[#All],[Name]],0)))</f>
        <v>9</v>
      </c>
      <c r="AI16" s="30">
        <f>IF($C16="","",INDEX(AllBatters[[#All],[SPE]],MATCH($C16,AllBatters[[#All],[Name]],0)))</f>
        <v>5</v>
      </c>
      <c r="AJ16" s="31">
        <f>IF($C16="","",INDEX(AllBatters[[#All],[STE]],MATCH($C16,AllBatters[[#All],[Name]],0)))</f>
        <v>9</v>
      </c>
      <c r="AK16" s="60">
        <f>IF($C16="","",INDEX(AllBatters[[#All],[nCPE Avg]],MATCH($C16,AllBatters[[#All],[Name]],0)))</f>
        <v>3.833333333333333</v>
      </c>
      <c r="AL16" s="339">
        <f t="shared" si="35"/>
        <v>0</v>
      </c>
      <c r="AM16" s="339">
        <f t="shared" si="36"/>
        <v>0</v>
      </c>
      <c r="AN16" s="339">
        <f t="shared" si="37"/>
        <v>0</v>
      </c>
      <c r="AO16" s="339">
        <f t="shared" si="38"/>
        <v>0</v>
      </c>
      <c r="AP16" s="339">
        <f t="shared" si="39"/>
        <v>0</v>
      </c>
      <c r="AQ16" s="339">
        <f t="shared" si="40"/>
        <v>0</v>
      </c>
      <c r="AR16" s="339">
        <f t="shared" si="41"/>
        <v>0</v>
      </c>
      <c r="AS16" s="339">
        <f t="shared" si="42"/>
        <v>0</v>
      </c>
      <c r="AT16" s="339">
        <f t="shared" si="43"/>
        <v>1</v>
      </c>
      <c r="AU16" s="51">
        <f>IF($C16="","",INDEX(AllBatters[[#All],[CON P]],MATCH($C16,AllBatters[[#All],[Name]],0)))</f>
        <v>5</v>
      </c>
      <c r="AV16" s="30">
        <f>IF($C16="","",INDEX(AllBatters[[#All],[GAP P]],MATCH($C16,AllBatters[[#All],[Name]],0)))</f>
        <v>5</v>
      </c>
      <c r="AW16" s="30">
        <f>IF($C16="","",INDEX(AllBatters[[#All],[POW P]],MATCH($C16,AllBatters[[#All],[Name]],0)))</f>
        <v>2</v>
      </c>
      <c r="AX16" s="30">
        <f>IF($C16="","",INDEX(AllBatters[[#All],[EYE P]],MATCH($C16,AllBatters[[#All],[Name]],0)))</f>
        <v>6</v>
      </c>
      <c r="AY16" s="31">
        <f>IF($C16="","",INDEX(AllBatters[[#All],[K P]],MATCH($C16,AllBatters[[#All],[Name]],0)))</f>
        <v>9</v>
      </c>
      <c r="AZ16" s="60">
        <f>IF($C16="","",INDEX(AllBatters[[#All],[fCPE Avg]],MATCH($C16,AllBatters[[#All],[Name]],0)))</f>
        <v>3.833333333333333</v>
      </c>
    </row>
    <row r="17" spans="1:52" x14ac:dyDescent="0.25">
      <c r="A17">
        <v>4</v>
      </c>
      <c r="B17" s="29" t="s">
        <v>80</v>
      </c>
      <c r="C17" s="58" t="s">
        <v>1214</v>
      </c>
      <c r="D17" s="30">
        <f>IF($C17="","",INDEX(AllBatters[[#All],[Age]],MATCH($C17,AllBatters[[#All],[Name]],0)))</f>
        <v>32</v>
      </c>
      <c r="E17" s="30" t="str">
        <f>IF($C17="","",INDEX(AllBatters[[#All],[B]],MATCH($C17,AllBatters[[#All],[Name]],0)))</f>
        <v>R</v>
      </c>
      <c r="F17" s="46">
        <f t="shared" ref="F17:F19" si="44">IF($C17="","",IF(AND(O17&gt;0,O17=SUM(M17:T17)),1,0))</f>
        <v>0</v>
      </c>
      <c r="G17" s="5">
        <f t="shared" ref="G17:G19" si="45">IF($C17="","",IF(Q17&lt;&gt;"-",1,0))</f>
        <v>1</v>
      </c>
      <c r="H17" s="5">
        <f t="shared" ref="H17:H19" si="46">IF($C17="","",IF(AND(K17&gt;5,P17&lt;&gt;"-"),1,0))</f>
        <v>0</v>
      </c>
      <c r="I17" s="3" t="str">
        <f t="shared" si="25"/>
        <v>-</v>
      </c>
      <c r="J17" s="30">
        <f>IF($C17="","",INDEX(AllBatters[[#All],[C ARM]],MATCH($C17,AllBatters[[#All],[Name]],0)))</f>
        <v>1</v>
      </c>
      <c r="K17" s="30">
        <f>IF($C17="","",INDEX(AllBatters[[#All],[IF ARM]],MATCH($C17,AllBatters[[#All],[Name]],0)))</f>
        <v>5</v>
      </c>
      <c r="L17" s="30">
        <f>IF($C17="","",INDEX(AllBatters[[#All],[OF ARM]],MATCH($C17,AllBatters[[#All],[Name]],0)))</f>
        <v>1</v>
      </c>
      <c r="M17" s="51" t="str">
        <f>IF($C17="","",INDEX(AllBatters[[#All],[C]],MATCH($C17,AllBatters[[#All],[Name]],0)))</f>
        <v>-</v>
      </c>
      <c r="N17" s="30" t="str">
        <f>IF($C17="","",INDEX(AllBatters[[#All],[1B]],MATCH($C17,AllBatters[[#All],[Name]],0)))</f>
        <v>-</v>
      </c>
      <c r="O17" s="30">
        <f>IF($C17="","",INDEX(AllBatters[[#All],[2B]],MATCH($C17,AllBatters[[#All],[Name]],0)))</f>
        <v>9</v>
      </c>
      <c r="P17" s="30" t="str">
        <f>IF($C17="","",INDEX(AllBatters[[#All],[3B]],MATCH($C17,AllBatters[[#All],[Name]],0)))</f>
        <v>-</v>
      </c>
      <c r="Q17" s="30">
        <f>IF($C17="","",INDEX(AllBatters[[#All],[SS]],MATCH($C17,AllBatters[[#All],[Name]],0)))</f>
        <v>7</v>
      </c>
      <c r="R17" s="30" t="str">
        <f>IF($C17="","",INDEX(AllBatters[[#All],[LF]],MATCH($C17,AllBatters[[#All],[Name]],0)))</f>
        <v>-</v>
      </c>
      <c r="S17" s="30" t="str">
        <f>IF($C17="","",INDEX(AllBatters[[#All],[CF]],MATCH($C17,AllBatters[[#All],[Name]],0)))</f>
        <v>-</v>
      </c>
      <c r="T17" s="31" t="str">
        <f>IF($C17="","",INDEX(AllBatters[[#All],[RF]],MATCH($C17,AllBatters[[#All],[Name]],0)))</f>
        <v>-</v>
      </c>
      <c r="U17" s="5">
        <f t="shared" ref="U17:U19" si="47">IF($C17="","",IF(OR(AD17+AG17&gt;14,AND(OR(AD17+AG17&gt;12,AND(AD17&gt;6,AG17&gt;6)),AI17&gt;6,OR(AJ17&gt;=AI17,AJ17&gt;6))),1,0))</f>
        <v>1</v>
      </c>
      <c r="V17" s="5">
        <f t="shared" ref="V17:V19" si="48">IF($C17="","",IF(OR(AND(AD17&gt;6,AH17&gt;6),AD17+AG17&gt;12),1,0))</f>
        <v>1</v>
      </c>
      <c r="W17" s="5">
        <f t="shared" ref="W17:W19" si="49">IF($C17="","",IF(AND(AD17&gt;6,AF17&gt;6,AG17&gt;6),1,0))</f>
        <v>0</v>
      </c>
      <c r="X17" s="5">
        <f t="shared" ref="X17:X19" si="50">IF($C17="","",IF(AND(AF17&gt;7,OR(AD17&gt;6,AG17&gt;6)),1,0))</f>
        <v>0</v>
      </c>
      <c r="Y17" s="5">
        <f t="shared" ref="Y17:Y19" si="51">IF($C17="","",IF(AND(AF17&gt;6,OR(AD17&gt;6,AG17&gt;6)),1,0))</f>
        <v>0</v>
      </c>
      <c r="Z17" s="5">
        <f t="shared" ref="Z17:Z19" si="52">IF($C17="","",IF(AND(OR(AD17&gt;6,AF17&gt;6),OR(AD17&gt;6,AG17&gt;6)),1,0))</f>
        <v>0</v>
      </c>
      <c r="AA17" s="5">
        <f t="shared" ref="AA17:AA19" si="53">IF($C17="","",IF(AND(AD17&gt;4,OR(AD17&gt;6,AF17&gt;6,AG17&gt;6)),1,0))</f>
        <v>1</v>
      </c>
      <c r="AB17" s="5">
        <f t="shared" ref="AB17:AB19" si="54">IF($C17="","",IF(AND(AD17&gt;4,OR(AD17&gt;6,AE17&gt;6,AF17&gt;6,AG17&gt;6)),1,0))</f>
        <v>1</v>
      </c>
      <c r="AC17" s="5">
        <f t="shared" ref="AC17:AC19" si="55">IF($C17="","",IF(AND(AD17&gt;4,MAX(AD17:AH17)&gt;6),1,0))</f>
        <v>1</v>
      </c>
      <c r="AD17" s="51">
        <f>IF($C17="","",INDEX(AllBatters[[#All],[CON]],MATCH($C17,AllBatters[[#All],[Name]],0)))</f>
        <v>5</v>
      </c>
      <c r="AE17" s="30">
        <f>IF($C17="","",INDEX(AllBatters[[#All],[GAP]],MATCH($C17,AllBatters[[#All],[Name]],0)))</f>
        <v>5</v>
      </c>
      <c r="AF17" s="30">
        <f>IF($C17="","",INDEX(AllBatters[[#All],[POW]],MATCH($C17,AllBatters[[#All],[Name]],0)))</f>
        <v>3</v>
      </c>
      <c r="AG17" s="30">
        <f>IF($C17="","",INDEX(AllBatters[[#All],[EYE]],MATCH($C17,AllBatters[[#All],[Name]],0)))</f>
        <v>8</v>
      </c>
      <c r="AH17" s="30">
        <f>IF($C17="","",INDEX(AllBatters[[#All],[K''s]],MATCH($C17,AllBatters[[#All],[Name]],0)))</f>
        <v>4</v>
      </c>
      <c r="AI17" s="30">
        <f>IF($C17="","",INDEX(AllBatters[[#All],[SPE]],MATCH($C17,AllBatters[[#All],[Name]],0)))</f>
        <v>8</v>
      </c>
      <c r="AJ17" s="31">
        <f>IF($C17="","",INDEX(AllBatters[[#All],[STE]],MATCH($C17,AllBatters[[#All],[Name]],0)))</f>
        <v>9</v>
      </c>
      <c r="AK17" s="60">
        <f>IF($C17="","",INDEX(AllBatters[[#All],[nCPE Avg]],MATCH($C17,AllBatters[[#All],[Name]],0)))</f>
        <v>4.833333333333333</v>
      </c>
      <c r="AL17" s="5">
        <f t="shared" ref="AL17:AL19" si="56">IF($C17="","",IF(AND(OR(AU17+AX17&gt;12,AND(AU17&gt;6,AX17&gt;6)),AI17&gt;6,OR(AJ17&gt;=AI17,AJ17&gt;6)),1,0))</f>
        <v>1</v>
      </c>
      <c r="AM17" s="5">
        <f t="shared" ref="AM17:AM19" si="57">IF($C17="","",IF(OR(AND(AU17&gt;6,AY17&gt;6),AU17+AX17&gt;12),1,0))</f>
        <v>1</v>
      </c>
      <c r="AN17" s="5">
        <f t="shared" ref="AN17:AN19" si="58">IF($C17="","",IF(AND(AU17&gt;6,AW17&gt;6,AX17&gt;6),1,0))</f>
        <v>0</v>
      </c>
      <c r="AO17" s="5">
        <f t="shared" ref="AO17:AO19" si="59">IF($C17="","",IF(AND(AW17&gt;7,OR(AU17&gt;6,AX17&gt;6)),1,0))</f>
        <v>0</v>
      </c>
      <c r="AP17" s="5">
        <f t="shared" ref="AP17:AP19" si="60">IF($C17="","",IF(AND(AW17&gt;6,OR(AU17&gt;6,AX17&gt;6)),1,0))</f>
        <v>0</v>
      </c>
      <c r="AQ17" s="5">
        <f t="shared" ref="AQ17:AQ19" si="61">IF($C17="","",IF(AND(OR(AU17&gt;6,AW17&gt;6),OR(AU17&gt;6,AX17&gt;6)),1,0))</f>
        <v>0</v>
      </c>
      <c r="AR17" s="5">
        <f t="shared" ref="AR17:AR19" si="62">IF($C17="","",IF(AND(AU17&gt;4,OR(AU17&gt;6,AW17&gt;6,AX17&gt;6)),1,0))</f>
        <v>1</v>
      </c>
      <c r="AS17" s="5">
        <f t="shared" ref="AS17:AS19" si="63">IF($C17="","",IF(AND(AU17&gt;4,OR(AU17&gt;6,AV17&gt;6,AW17&gt;6,AX17&gt;6)),1,0))</f>
        <v>1</v>
      </c>
      <c r="AT17" s="5">
        <f t="shared" ref="AT17:AT19" si="64">IF($C17="","",IF(AND(AU17&gt;4,MAX(AU17:AY17)&gt;6),1,0))</f>
        <v>1</v>
      </c>
      <c r="AU17" s="51">
        <f>IF($C17="","",INDEX(AllBatters[[#All],[CON P]],MATCH($C17,AllBatters[[#All],[Name]],0)))</f>
        <v>5</v>
      </c>
      <c r="AV17" s="30">
        <f>IF($C17="","",INDEX(AllBatters[[#All],[GAP P]],MATCH($C17,AllBatters[[#All],[Name]],0)))</f>
        <v>5</v>
      </c>
      <c r="AW17" s="30">
        <f>IF($C17="","",INDEX(AllBatters[[#All],[POW P]],MATCH($C17,AllBatters[[#All],[Name]],0)))</f>
        <v>3</v>
      </c>
      <c r="AX17" s="30">
        <f>IF($C17="","",INDEX(AllBatters[[#All],[EYE P]],MATCH($C17,AllBatters[[#All],[Name]],0)))</f>
        <v>8</v>
      </c>
      <c r="AY17" s="31">
        <f>IF($C17="","",INDEX(AllBatters[[#All],[K P]],MATCH($C17,AllBatters[[#All],[Name]],0)))</f>
        <v>4</v>
      </c>
      <c r="AZ17" s="60">
        <f>IF($C17="","",INDEX(AllBatters[[#All],[fCPE Avg]],MATCH($C17,AllBatters[[#All],[Name]],0)))</f>
        <v>4.833333333333333</v>
      </c>
    </row>
    <row r="18" spans="1:52" x14ac:dyDescent="0.25">
      <c r="A18">
        <v>5</v>
      </c>
      <c r="B18" s="29" t="s">
        <v>80</v>
      </c>
      <c r="C18" s="58" t="s">
        <v>1216</v>
      </c>
      <c r="D18" s="30" t="e">
        <f>IF($C18="","",INDEX(AllBatters[[#All],[Age]],MATCH($C18,AllBatters[[#All],[Name]],0)))</f>
        <v>#N/A</v>
      </c>
      <c r="E18" s="30" t="e">
        <f>IF($C18="","",INDEX(AllBatters[[#All],[B]],MATCH($C18,AllBatters[[#All],[Name]],0)))</f>
        <v>#N/A</v>
      </c>
      <c r="F18" s="46" t="e">
        <f t="shared" si="44"/>
        <v>#N/A</v>
      </c>
      <c r="G18" s="5" t="e">
        <f t="shared" si="45"/>
        <v>#N/A</v>
      </c>
      <c r="H18" s="5" t="e">
        <f t="shared" si="46"/>
        <v>#N/A</v>
      </c>
      <c r="I18" s="3" t="str">
        <f t="shared" si="25"/>
        <v>-</v>
      </c>
      <c r="J18" s="30" t="e">
        <f>IF($C18="","",INDEX(AllBatters[[#All],[C ARM]],MATCH($C18,AllBatters[[#All],[Name]],0)))</f>
        <v>#N/A</v>
      </c>
      <c r="K18" s="30" t="e">
        <f>IF($C18="","",INDEX(AllBatters[[#All],[IF ARM]],MATCH($C18,AllBatters[[#All],[Name]],0)))</f>
        <v>#N/A</v>
      </c>
      <c r="L18" s="30" t="e">
        <f>IF($C18="","",INDEX(AllBatters[[#All],[OF ARM]],MATCH($C18,AllBatters[[#All],[Name]],0)))</f>
        <v>#N/A</v>
      </c>
      <c r="M18" s="51" t="e">
        <f>IF($C18="","",INDEX(AllBatters[[#All],[C]],MATCH($C18,AllBatters[[#All],[Name]],0)))</f>
        <v>#N/A</v>
      </c>
      <c r="N18" s="30" t="e">
        <f>IF($C18="","",INDEX(AllBatters[[#All],[1B]],MATCH($C18,AllBatters[[#All],[Name]],0)))</f>
        <v>#N/A</v>
      </c>
      <c r="O18" s="30" t="e">
        <f>IF($C18="","",INDEX(AllBatters[[#All],[2B]],MATCH($C18,AllBatters[[#All],[Name]],0)))</f>
        <v>#N/A</v>
      </c>
      <c r="P18" s="30" t="e">
        <f>IF($C18="","",INDEX(AllBatters[[#All],[3B]],MATCH($C18,AllBatters[[#All],[Name]],0)))</f>
        <v>#N/A</v>
      </c>
      <c r="Q18" s="30" t="e">
        <f>IF($C18="","",INDEX(AllBatters[[#All],[SS]],MATCH($C18,AllBatters[[#All],[Name]],0)))</f>
        <v>#N/A</v>
      </c>
      <c r="R18" s="30" t="e">
        <f>IF($C18="","",INDEX(AllBatters[[#All],[LF]],MATCH($C18,AllBatters[[#All],[Name]],0)))</f>
        <v>#N/A</v>
      </c>
      <c r="S18" s="30" t="e">
        <f>IF($C18="","",INDEX(AllBatters[[#All],[CF]],MATCH($C18,AllBatters[[#All],[Name]],0)))</f>
        <v>#N/A</v>
      </c>
      <c r="T18" s="31" t="e">
        <f>IF($C18="","",INDEX(AllBatters[[#All],[RF]],MATCH($C18,AllBatters[[#All],[Name]],0)))</f>
        <v>#N/A</v>
      </c>
      <c r="U18" s="5" t="e">
        <f t="shared" si="47"/>
        <v>#N/A</v>
      </c>
      <c r="V18" s="5" t="e">
        <f t="shared" si="48"/>
        <v>#N/A</v>
      </c>
      <c r="W18" s="5" t="e">
        <f t="shared" si="49"/>
        <v>#N/A</v>
      </c>
      <c r="X18" s="5" t="e">
        <f t="shared" si="50"/>
        <v>#N/A</v>
      </c>
      <c r="Y18" s="5" t="e">
        <f t="shared" si="51"/>
        <v>#N/A</v>
      </c>
      <c r="Z18" s="5" t="e">
        <f t="shared" si="52"/>
        <v>#N/A</v>
      </c>
      <c r="AA18" s="5" t="e">
        <f t="shared" si="53"/>
        <v>#N/A</v>
      </c>
      <c r="AB18" s="5" t="e">
        <f t="shared" si="54"/>
        <v>#N/A</v>
      </c>
      <c r="AC18" s="5" t="e">
        <f t="shared" si="55"/>
        <v>#N/A</v>
      </c>
      <c r="AD18" s="51" t="e">
        <f>IF($C18="","",INDEX(AllBatters[[#All],[CON]],MATCH($C18,AllBatters[[#All],[Name]],0)))</f>
        <v>#N/A</v>
      </c>
      <c r="AE18" s="30" t="e">
        <f>IF($C18="","",INDEX(AllBatters[[#All],[GAP]],MATCH($C18,AllBatters[[#All],[Name]],0)))</f>
        <v>#N/A</v>
      </c>
      <c r="AF18" s="30" t="e">
        <f>IF($C18="","",INDEX(AllBatters[[#All],[POW]],MATCH($C18,AllBatters[[#All],[Name]],0)))</f>
        <v>#N/A</v>
      </c>
      <c r="AG18" s="30" t="e">
        <f>IF($C18="","",INDEX(AllBatters[[#All],[EYE]],MATCH($C18,AllBatters[[#All],[Name]],0)))</f>
        <v>#N/A</v>
      </c>
      <c r="AH18" s="30" t="e">
        <f>IF($C18="","",INDEX(AllBatters[[#All],[K''s]],MATCH($C18,AllBatters[[#All],[Name]],0)))</f>
        <v>#N/A</v>
      </c>
      <c r="AI18" s="30" t="e">
        <f>IF($C18="","",INDEX(AllBatters[[#All],[SPE]],MATCH($C18,AllBatters[[#All],[Name]],0)))</f>
        <v>#N/A</v>
      </c>
      <c r="AJ18" s="31" t="e">
        <f>IF($C18="","",INDEX(AllBatters[[#All],[STE]],MATCH($C18,AllBatters[[#All],[Name]],0)))</f>
        <v>#N/A</v>
      </c>
      <c r="AK18" s="60" t="e">
        <f>IF($C18="","",INDEX(AllBatters[[#All],[nCPE Avg]],MATCH($C18,AllBatters[[#All],[Name]],0)))</f>
        <v>#N/A</v>
      </c>
      <c r="AL18" s="5" t="e">
        <f t="shared" si="56"/>
        <v>#N/A</v>
      </c>
      <c r="AM18" s="5" t="e">
        <f t="shared" si="57"/>
        <v>#N/A</v>
      </c>
      <c r="AN18" s="5" t="e">
        <f t="shared" si="58"/>
        <v>#N/A</v>
      </c>
      <c r="AO18" s="5" t="e">
        <f t="shared" si="59"/>
        <v>#N/A</v>
      </c>
      <c r="AP18" s="5" t="e">
        <f t="shared" si="60"/>
        <v>#N/A</v>
      </c>
      <c r="AQ18" s="5" t="e">
        <f t="shared" si="61"/>
        <v>#N/A</v>
      </c>
      <c r="AR18" s="5" t="e">
        <f t="shared" si="62"/>
        <v>#N/A</v>
      </c>
      <c r="AS18" s="5" t="e">
        <f t="shared" si="63"/>
        <v>#N/A</v>
      </c>
      <c r="AT18" s="5" t="e">
        <f t="shared" si="64"/>
        <v>#N/A</v>
      </c>
      <c r="AU18" s="51" t="e">
        <f>IF($C18="","",INDEX(AllBatters[[#All],[CON P]],MATCH($C18,AllBatters[[#All],[Name]],0)))</f>
        <v>#N/A</v>
      </c>
      <c r="AV18" s="30" t="e">
        <f>IF($C18="","",INDEX(AllBatters[[#All],[GAP P]],MATCH($C18,AllBatters[[#All],[Name]],0)))</f>
        <v>#N/A</v>
      </c>
      <c r="AW18" s="30" t="e">
        <f>IF($C18="","",INDEX(AllBatters[[#All],[POW P]],MATCH($C18,AllBatters[[#All],[Name]],0)))</f>
        <v>#N/A</v>
      </c>
      <c r="AX18" s="30" t="e">
        <f>IF($C18="","",INDEX(AllBatters[[#All],[EYE P]],MATCH($C18,AllBatters[[#All],[Name]],0)))</f>
        <v>#N/A</v>
      </c>
      <c r="AY18" s="31" t="e">
        <f>IF($C18="","",INDEX(AllBatters[[#All],[K P]],MATCH($C18,AllBatters[[#All],[Name]],0)))</f>
        <v>#N/A</v>
      </c>
      <c r="AZ18" s="60" t="e">
        <f>IF($C18="","",INDEX(AllBatters[[#All],[fCPE Avg]],MATCH($C18,AllBatters[[#All],[Name]],0)))</f>
        <v>#N/A</v>
      </c>
    </row>
    <row r="19" spans="1:52" x14ac:dyDescent="0.25">
      <c r="A19">
        <v>6</v>
      </c>
      <c r="B19" s="32" t="s">
        <v>80</v>
      </c>
      <c r="C19" s="33"/>
      <c r="D19" s="33" t="str">
        <f>IF($C19="","",INDEX(AllBatters[[#All],[Age]],MATCH($C19,AllBatters[[#All],[Name]],0)))</f>
        <v/>
      </c>
      <c r="E19" s="33" t="str">
        <f>IF($C19="","",INDEX(AllBatters[[#All],[B]],MATCH($C19,AllBatters[[#All],[Name]],0)))</f>
        <v/>
      </c>
      <c r="F19" s="47" t="str">
        <f t="shared" si="44"/>
        <v/>
      </c>
      <c r="G19" s="34" t="str">
        <f t="shared" si="45"/>
        <v/>
      </c>
      <c r="H19" s="34" t="str">
        <f t="shared" si="46"/>
        <v/>
      </c>
      <c r="I19" s="55" t="str">
        <f t="shared" si="25"/>
        <v/>
      </c>
      <c r="J19" s="33" t="str">
        <f>IF($C19="","",INDEX(AllBatters[[#All],[C ARM]],MATCH($C19,AllBatters[[#All],[Name]],0)))</f>
        <v/>
      </c>
      <c r="K19" s="33" t="str">
        <f>IF($C19="","",INDEX(AllBatters[[#All],[IF ARM]],MATCH($C19,AllBatters[[#All],[Name]],0)))</f>
        <v/>
      </c>
      <c r="L19" s="33" t="str">
        <f>IF($C19="","",INDEX(AllBatters[[#All],[OF ARM]],MATCH($C19,AllBatters[[#All],[Name]],0)))</f>
        <v/>
      </c>
      <c r="M19" s="52" t="str">
        <f>IF($C19="","",INDEX(AllBatters[[#All],[C]],MATCH($C19,AllBatters[[#All],[Name]],0)))</f>
        <v/>
      </c>
      <c r="N19" s="33" t="str">
        <f>IF($C19="","",INDEX(AllBatters[[#All],[1B]],MATCH($C19,AllBatters[[#All],[Name]],0)))</f>
        <v/>
      </c>
      <c r="O19" s="33" t="str">
        <f>IF($C19="","",INDEX(AllBatters[[#All],[2B]],MATCH($C19,AllBatters[[#All],[Name]],0)))</f>
        <v/>
      </c>
      <c r="P19" s="33" t="str">
        <f>IF($C19="","",INDEX(AllBatters[[#All],[3B]],MATCH($C19,AllBatters[[#All],[Name]],0)))</f>
        <v/>
      </c>
      <c r="Q19" s="33" t="str">
        <f>IF($C19="","",INDEX(AllBatters[[#All],[SS]],MATCH($C19,AllBatters[[#All],[Name]],0)))</f>
        <v/>
      </c>
      <c r="R19" s="33" t="str">
        <f>IF($C19="","",INDEX(AllBatters[[#All],[LF]],MATCH($C19,AllBatters[[#All],[Name]],0)))</f>
        <v/>
      </c>
      <c r="S19" s="33" t="str">
        <f>IF($C19="","",INDEX(AllBatters[[#All],[CF]],MATCH($C19,AllBatters[[#All],[Name]],0)))</f>
        <v/>
      </c>
      <c r="T19" s="35" t="str">
        <f>IF($C19="","",INDEX(AllBatters[[#All],[RF]],MATCH($C19,AllBatters[[#All],[Name]],0)))</f>
        <v/>
      </c>
      <c r="U19" s="34" t="str">
        <f t="shared" si="47"/>
        <v/>
      </c>
      <c r="V19" s="34" t="str">
        <f t="shared" si="48"/>
        <v/>
      </c>
      <c r="W19" s="34" t="str">
        <f t="shared" si="49"/>
        <v/>
      </c>
      <c r="X19" s="34" t="str">
        <f t="shared" si="50"/>
        <v/>
      </c>
      <c r="Y19" s="34" t="str">
        <f t="shared" si="51"/>
        <v/>
      </c>
      <c r="Z19" s="34" t="str">
        <f t="shared" si="52"/>
        <v/>
      </c>
      <c r="AA19" s="34" t="str">
        <f t="shared" si="53"/>
        <v/>
      </c>
      <c r="AB19" s="34" t="str">
        <f t="shared" si="54"/>
        <v/>
      </c>
      <c r="AC19" s="34" t="str">
        <f t="shared" si="55"/>
        <v/>
      </c>
      <c r="AD19" s="52" t="str">
        <f>IF($C19="","",INDEX(AllBatters[[#All],[CON]],MATCH($C19,AllBatters[[#All],[Name]],0)))</f>
        <v/>
      </c>
      <c r="AE19" s="33" t="str">
        <f>IF($C19="","",INDEX(AllBatters[[#All],[GAP]],MATCH($C19,AllBatters[[#All],[Name]],0)))</f>
        <v/>
      </c>
      <c r="AF19" s="33" t="str">
        <f>IF($C19="","",INDEX(AllBatters[[#All],[POW]],MATCH($C19,AllBatters[[#All],[Name]],0)))</f>
        <v/>
      </c>
      <c r="AG19" s="33" t="str">
        <f>IF($C19="","",INDEX(AllBatters[[#All],[EYE]],MATCH($C19,AllBatters[[#All],[Name]],0)))</f>
        <v/>
      </c>
      <c r="AH19" s="33" t="str">
        <f>IF($C19="","",INDEX(AllBatters[[#All],[K''s]],MATCH($C19,AllBatters[[#All],[Name]],0)))</f>
        <v/>
      </c>
      <c r="AI19" s="33" t="str">
        <f>IF($C19="","",INDEX(AllBatters[[#All],[SPE]],MATCH($C19,AllBatters[[#All],[Name]],0)))</f>
        <v/>
      </c>
      <c r="AJ19" s="35" t="str">
        <f>IF($C19="","",INDEX(AllBatters[[#All],[STE]],MATCH($C19,AllBatters[[#All],[Name]],0)))</f>
        <v/>
      </c>
      <c r="AK19" s="61" t="str">
        <f>IF($C19="","",INDEX(AllBatters[[#All],[nCPE Avg]],MATCH($C19,AllBatters[[#All],[Name]],0)))</f>
        <v/>
      </c>
      <c r="AL19" s="34" t="str">
        <f t="shared" si="56"/>
        <v/>
      </c>
      <c r="AM19" s="34" t="str">
        <f t="shared" si="57"/>
        <v/>
      </c>
      <c r="AN19" s="34" t="str">
        <f t="shared" si="58"/>
        <v/>
      </c>
      <c r="AO19" s="34" t="str">
        <f t="shared" si="59"/>
        <v/>
      </c>
      <c r="AP19" s="34" t="str">
        <f t="shared" si="60"/>
        <v/>
      </c>
      <c r="AQ19" s="34" t="str">
        <f t="shared" si="61"/>
        <v/>
      </c>
      <c r="AR19" s="34" t="str">
        <f t="shared" si="62"/>
        <v/>
      </c>
      <c r="AS19" s="34" t="str">
        <f t="shared" si="63"/>
        <v/>
      </c>
      <c r="AT19" s="34" t="str">
        <f t="shared" si="64"/>
        <v/>
      </c>
      <c r="AU19" s="52" t="str">
        <f>IF($C19="","",INDEX(AllBatters[[#All],[CON P]],MATCH($C19,AllBatters[[#All],[Name]],0)))</f>
        <v/>
      </c>
      <c r="AV19" s="33" t="str">
        <f>IF($C19="","",INDEX(AllBatters[[#All],[GAP P]],MATCH($C19,AllBatters[[#All],[Name]],0)))</f>
        <v/>
      </c>
      <c r="AW19" s="33" t="str">
        <f>IF($C19="","",INDEX(AllBatters[[#All],[POW P]],MATCH($C19,AllBatters[[#All],[Name]],0)))</f>
        <v/>
      </c>
      <c r="AX19" s="33" t="str">
        <f>IF($C19="","",INDEX(AllBatters[[#All],[EYE P]],MATCH($C19,AllBatters[[#All],[Name]],0)))</f>
        <v/>
      </c>
      <c r="AY19" s="35" t="str">
        <f>IF($C19="","",INDEX(AllBatters[[#All],[K P]],MATCH($C19,AllBatters[[#All],[Name]],0)))</f>
        <v/>
      </c>
      <c r="AZ19" s="61" t="str">
        <f>IF($C19="","",INDEX(AllBatters[[#All],[fCPE Avg]],MATCH($C19,AllBatters[[#All],[Name]],0)))</f>
        <v/>
      </c>
    </row>
    <row r="21" spans="1:52" ht="196.5" x14ac:dyDescent="0.25">
      <c r="A21" s="18" t="s">
        <v>170</v>
      </c>
      <c r="B21" s="36" t="s">
        <v>111</v>
      </c>
      <c r="C21" s="37" t="str">
        <f>"Player ("&amp;COUNTA(C22:C24)&amp;")"</f>
        <v>Player (3)</v>
      </c>
      <c r="D21" s="37" t="s">
        <v>70</v>
      </c>
      <c r="E21" s="37" t="s">
        <v>80</v>
      </c>
      <c r="F21" s="57" t="e">
        <f>"Strong C Arm ("&amp;SUM(F22:F24)&amp;")"</f>
        <v>#N/A</v>
      </c>
      <c r="G21" s="41" t="s">
        <v>32</v>
      </c>
      <c r="H21" s="41" t="s">
        <v>32</v>
      </c>
      <c r="I21" s="41" t="s">
        <v>32</v>
      </c>
      <c r="J21" s="48" t="s">
        <v>114</v>
      </c>
      <c r="K21" s="40" t="s">
        <v>112</v>
      </c>
      <c r="L21" s="49" t="s">
        <v>113</v>
      </c>
      <c r="M21" s="41" t="s">
        <v>71</v>
      </c>
      <c r="N21" s="41" t="s">
        <v>73</v>
      </c>
      <c r="O21" s="41" t="s">
        <v>74</v>
      </c>
      <c r="P21" s="41" t="s">
        <v>75</v>
      </c>
      <c r="Q21" s="41" t="s">
        <v>76</v>
      </c>
      <c r="R21" s="41" t="s">
        <v>77</v>
      </c>
      <c r="S21" s="41" t="s">
        <v>78</v>
      </c>
      <c r="T21" s="42" t="s">
        <v>79</v>
      </c>
      <c r="U21" s="38" t="s">
        <v>115</v>
      </c>
      <c r="V21" s="38" t="s">
        <v>158</v>
      </c>
      <c r="W21" s="38" t="s">
        <v>116</v>
      </c>
      <c r="X21" s="38" t="s">
        <v>117</v>
      </c>
      <c r="Y21" s="38" t="s">
        <v>118</v>
      </c>
      <c r="Z21" s="38" t="s">
        <v>119</v>
      </c>
      <c r="AA21" s="38" t="s">
        <v>120</v>
      </c>
      <c r="AB21" s="38" t="s">
        <v>122</v>
      </c>
      <c r="AC21" s="53" t="s">
        <v>121</v>
      </c>
      <c r="AD21" s="41" t="s">
        <v>125</v>
      </c>
      <c r="AE21" s="41" t="s">
        <v>126</v>
      </c>
      <c r="AF21" s="41" t="s">
        <v>127</v>
      </c>
      <c r="AG21" s="41" t="s">
        <v>128</v>
      </c>
      <c r="AH21" s="41" t="s">
        <v>21</v>
      </c>
      <c r="AI21" s="41" t="s">
        <v>129</v>
      </c>
      <c r="AJ21" s="42" t="s">
        <v>130</v>
      </c>
      <c r="AK21" s="59" t="s">
        <v>134</v>
      </c>
      <c r="AL21" s="38" t="s">
        <v>115</v>
      </c>
      <c r="AM21" s="38" t="s">
        <v>158</v>
      </c>
      <c r="AN21" s="38" t="s">
        <v>116</v>
      </c>
      <c r="AO21" s="38" t="s">
        <v>117</v>
      </c>
      <c r="AP21" s="38" t="s">
        <v>118</v>
      </c>
      <c r="AQ21" s="38" t="s">
        <v>119</v>
      </c>
      <c r="AR21" s="38" t="s">
        <v>120</v>
      </c>
      <c r="AS21" s="38" t="s">
        <v>122</v>
      </c>
      <c r="AT21" s="53" t="s">
        <v>121</v>
      </c>
      <c r="AU21" s="56" t="s">
        <v>125</v>
      </c>
      <c r="AV21" s="41" t="s">
        <v>126</v>
      </c>
      <c r="AW21" s="41" t="s">
        <v>127</v>
      </c>
      <c r="AX21" s="41" t="s">
        <v>128</v>
      </c>
      <c r="AY21" s="42" t="s">
        <v>21</v>
      </c>
      <c r="AZ21" s="59" t="s">
        <v>174</v>
      </c>
    </row>
    <row r="22" spans="1:52" x14ac:dyDescent="0.25">
      <c r="A22">
        <v>1</v>
      </c>
      <c r="B22" s="29" t="s">
        <v>71</v>
      </c>
      <c r="C22" s="30" t="s">
        <v>1213</v>
      </c>
      <c r="D22" s="30" t="e">
        <f>IF($C22="","",INDEX(AllBatters[[#All],[Age]],MATCH($C22,AllBatters[[#All],[Name]],0)))</f>
        <v>#N/A</v>
      </c>
      <c r="E22" s="30" t="e">
        <f>IF($C22="","",INDEX(AllBatters[[#All],[B]],MATCH($C22,AllBatters[[#All],[Name]],0)))</f>
        <v>#N/A</v>
      </c>
      <c r="F22" s="46" t="e">
        <f t="shared" ref="F22:F24" si="65">IF($C22="","",IF(AND(O22&gt;0,O22=SUM(M22:T22)),1,0))</f>
        <v>#N/A</v>
      </c>
      <c r="G22" s="5" t="e">
        <f t="shared" ref="G22:G24" si="66">IF($C22="","",IF(Q22&lt;&gt;"-",1,0))</f>
        <v>#N/A</v>
      </c>
      <c r="H22" s="5" t="e">
        <f t="shared" ref="H22:H24" si="67">IF($C22="","",IF(AND(K22&gt;5,P22&lt;&gt;"-"),1,0))</f>
        <v>#N/A</v>
      </c>
      <c r="I22" s="5" t="str">
        <f t="shared" ref="I22:I24" si="68">IF($C22="","","-")</f>
        <v>-</v>
      </c>
      <c r="J22" s="51" t="e">
        <f>IF($C22="","",INDEX(AllBatters[[#All],[C ARM]],MATCH($C22,AllBatters[[#All],[Name]],0)))</f>
        <v>#N/A</v>
      </c>
      <c r="K22" s="30" t="e">
        <f>IF($C22="","",INDEX(AllBatters[[#All],[IF ARM]],MATCH($C22,AllBatters[[#All],[Name]],0)))</f>
        <v>#N/A</v>
      </c>
      <c r="L22" s="31" t="e">
        <f>IF($C22="","",INDEX(AllBatters[[#All],[OF ARM]],MATCH($C22,AllBatters[[#All],[Name]],0)))</f>
        <v>#N/A</v>
      </c>
      <c r="M22" s="30" t="e">
        <f>IF($C22="","",INDEX(AllBatters[[#All],[C]],MATCH($C22,AllBatters[[#All],[Name]],0)))</f>
        <v>#N/A</v>
      </c>
      <c r="N22" s="30" t="e">
        <f>IF($C22="","",INDEX(AllBatters[[#All],[1B]],MATCH($C22,AllBatters[[#All],[Name]],0)))</f>
        <v>#N/A</v>
      </c>
      <c r="O22" s="30" t="e">
        <f>IF($C22="","",INDEX(AllBatters[[#All],[2B]],MATCH($C22,AllBatters[[#All],[Name]],0)))</f>
        <v>#N/A</v>
      </c>
      <c r="P22" s="30" t="e">
        <f>IF($C22="","",INDEX(AllBatters[[#All],[3B]],MATCH($C22,AllBatters[[#All],[Name]],0)))</f>
        <v>#N/A</v>
      </c>
      <c r="Q22" s="30" t="e">
        <f>IF($C22="","",INDEX(AllBatters[[#All],[SS]],MATCH($C22,AllBatters[[#All],[Name]],0)))</f>
        <v>#N/A</v>
      </c>
      <c r="R22" s="30" t="e">
        <f>IF($C22="","",INDEX(AllBatters[[#All],[LF]],MATCH($C22,AllBatters[[#All],[Name]],0)))</f>
        <v>#N/A</v>
      </c>
      <c r="S22" s="30" t="e">
        <f>IF($C22="","",INDEX(AllBatters[[#All],[CF]],MATCH($C22,AllBatters[[#All],[Name]],0)))</f>
        <v>#N/A</v>
      </c>
      <c r="T22" s="31" t="e">
        <f>IF($C22="","",INDEX(AllBatters[[#All],[RF]],MATCH($C22,AllBatters[[#All],[Name]],0)))</f>
        <v>#N/A</v>
      </c>
      <c r="U22" s="5" t="e">
        <f t="shared" ref="U22:U24" si="69">IF($C22="","",IF(OR(AD22+AG22&gt;14,AND(OR(AD22+AG22&gt;12,AND(AD22&gt;6,AG22&gt;6)),AI22&gt;6,OR(AJ22&gt;=AI22,AJ22&gt;6))),1,0))</f>
        <v>#N/A</v>
      </c>
      <c r="V22" s="5" t="e">
        <f t="shared" ref="V22:V24" si="70">IF($C22="","",IF(OR(AND(AD22&gt;6,AH22&gt;6),AD22+AG22&gt;12),1,0))</f>
        <v>#N/A</v>
      </c>
      <c r="W22" s="5" t="e">
        <f t="shared" ref="W22:W24" si="71">IF($C22="","",IF(AND(AD22&gt;6,AF22&gt;6,AG22&gt;6),1,0))</f>
        <v>#N/A</v>
      </c>
      <c r="X22" s="5" t="e">
        <f t="shared" ref="X22:X24" si="72">IF($C22="","",IF(AND(AF22&gt;7,OR(AD22&gt;6,AG22&gt;6)),1,0))</f>
        <v>#N/A</v>
      </c>
      <c r="Y22" s="5" t="e">
        <f t="shared" ref="Y22:Y24" si="73">IF($C22="","",IF(AND(AF22&gt;6,OR(AD22&gt;6,AG22&gt;6)),1,0))</f>
        <v>#N/A</v>
      </c>
      <c r="Z22" s="5" t="e">
        <f t="shared" ref="Z22:Z24" si="74">IF($C22="","",IF(AND(OR(AD22&gt;6,AF22&gt;6),OR(AD22&gt;6,AG22&gt;6)),1,0))</f>
        <v>#N/A</v>
      </c>
      <c r="AA22" s="5" t="e">
        <f t="shared" ref="AA22:AA24" si="75">IF($C22="","",IF(AND(AD22&gt;4,OR(AD22&gt;6,AF22&gt;6,AG22&gt;6)),1,0))</f>
        <v>#N/A</v>
      </c>
      <c r="AB22" s="5" t="e">
        <f t="shared" ref="AB22:AB24" si="76">IF($C22="","",IF(AND(AD22&gt;4,OR(AD22&gt;6,AE22&gt;6,AF22&gt;6,AG22&gt;6)),1,0))</f>
        <v>#N/A</v>
      </c>
      <c r="AC22" s="3" t="e">
        <f t="shared" ref="AC22:AC24" si="77">IF($C22="","",IF(AND(AD22&gt;4,MAX(AD22:AH22)&gt;6),1,0))</f>
        <v>#N/A</v>
      </c>
      <c r="AD22" s="30" t="e">
        <f>IF($C22="","",INDEX(AllBatters[[#All],[CON]],MATCH($C22,AllBatters[[#All],[Name]],0)))</f>
        <v>#N/A</v>
      </c>
      <c r="AE22" s="30" t="e">
        <f>IF($C22="","",INDEX(AllBatters[[#All],[GAP]],MATCH($C22,AllBatters[[#All],[Name]],0)))</f>
        <v>#N/A</v>
      </c>
      <c r="AF22" s="30" t="e">
        <f>IF($C22="","",INDEX(AllBatters[[#All],[POW]],MATCH($C22,AllBatters[[#All],[Name]],0)))</f>
        <v>#N/A</v>
      </c>
      <c r="AG22" s="30" t="e">
        <f>IF($C22="","",INDEX(AllBatters[[#All],[EYE]],MATCH($C22,AllBatters[[#All],[Name]],0)))</f>
        <v>#N/A</v>
      </c>
      <c r="AH22" s="30" t="e">
        <f>IF($C22="","",INDEX(AllBatters[[#All],[K''s]],MATCH($C22,AllBatters[[#All],[Name]],0)))</f>
        <v>#N/A</v>
      </c>
      <c r="AI22" s="30" t="e">
        <f>IF($C22="","",INDEX(AllBatters[[#All],[SPE]],MATCH($C22,AllBatters[[#All],[Name]],0)))</f>
        <v>#N/A</v>
      </c>
      <c r="AJ22" s="31" t="e">
        <f>IF($C22="","",INDEX(AllBatters[[#All],[STE]],MATCH($C22,AllBatters[[#All],[Name]],0)))</f>
        <v>#N/A</v>
      </c>
      <c r="AK22" s="60" t="e">
        <f>IF($C22="","",INDEX(AllBatters[[#All],[nCPE Avg]],MATCH($C22,AllBatters[[#All],[Name]],0)))</f>
        <v>#N/A</v>
      </c>
      <c r="AL22" s="5" t="e">
        <f t="shared" ref="AL22:AL24" si="78">IF($C22="","",IF(AND(OR(AU22+AX22&gt;12,AND(AU22&gt;6,AX22&gt;6)),AI22&gt;6,OR(AJ22&gt;=AI22,AJ22&gt;6)),1,0))</f>
        <v>#N/A</v>
      </c>
      <c r="AM22" s="5" t="e">
        <f t="shared" ref="AM22:AM24" si="79">IF($C22="","",IF(OR(AND(AU22&gt;6,AY22&gt;6),AU22+AX22&gt;12),1,0))</f>
        <v>#N/A</v>
      </c>
      <c r="AN22" s="5" t="e">
        <f t="shared" ref="AN22:AN24" si="80">IF($C22="","",IF(AND(AU22&gt;6,AW22&gt;6,AX22&gt;6),1,0))</f>
        <v>#N/A</v>
      </c>
      <c r="AO22" s="5" t="e">
        <f t="shared" ref="AO22:AO24" si="81">IF($C22="","",IF(AND(AW22&gt;7,OR(AU22&gt;6,AX22&gt;6)),1,0))</f>
        <v>#N/A</v>
      </c>
      <c r="AP22" s="5" t="e">
        <f t="shared" ref="AP22:AP24" si="82">IF($C22="","",IF(AND(AW22&gt;6,OR(AU22&gt;6,AX22&gt;6)),1,0))</f>
        <v>#N/A</v>
      </c>
      <c r="AQ22" s="5" t="e">
        <f t="shared" ref="AQ22:AQ24" si="83">IF($C22="","",IF(AND(OR(AU22&gt;6,AW22&gt;6),OR(AU22&gt;6,AX22&gt;6)),1,0))</f>
        <v>#N/A</v>
      </c>
      <c r="AR22" s="5" t="e">
        <f t="shared" ref="AR22:AR24" si="84">IF($C22="","",IF(AND(AU22&gt;4,OR(AU22&gt;6,AW22&gt;6,AX22&gt;6)),1,0))</f>
        <v>#N/A</v>
      </c>
      <c r="AS22" s="5" t="e">
        <f t="shared" ref="AS22:AS24" si="85">IF($C22="","",IF(AND(AU22&gt;4,OR(AU22&gt;6,AV22&gt;6,AW22&gt;6,AX22&gt;6)),1,0))</f>
        <v>#N/A</v>
      </c>
      <c r="AT22" s="3" t="e">
        <f t="shared" ref="AT22:AT24" si="86">IF($C22="","",IF(AND(AU22&gt;4,MAX(AU22:AY22)&gt;6),1,0))</f>
        <v>#N/A</v>
      </c>
      <c r="AU22" s="51" t="e">
        <f>IF($C22="","",INDEX(AllBatters[[#All],[CON P]],MATCH($C22,AllBatters[[#All],[Name]],0)))</f>
        <v>#N/A</v>
      </c>
      <c r="AV22" s="30" t="e">
        <f>IF($C22="","",INDEX(AllBatters[[#All],[GAP P]],MATCH($C22,AllBatters[[#All],[Name]],0)))</f>
        <v>#N/A</v>
      </c>
      <c r="AW22" s="30" t="e">
        <f>IF($C22="","",INDEX(AllBatters[[#All],[POW P]],MATCH($C22,AllBatters[[#All],[Name]],0)))</f>
        <v>#N/A</v>
      </c>
      <c r="AX22" s="30" t="e">
        <f>IF($C22="","",INDEX(AllBatters[[#All],[EYE P]],MATCH($C22,AllBatters[[#All],[Name]],0)))</f>
        <v>#N/A</v>
      </c>
      <c r="AY22" s="31" t="e">
        <f>IF($C22="","",INDEX(AllBatters[[#All],[K P]],MATCH($C22,AllBatters[[#All],[Name]],0)))</f>
        <v>#N/A</v>
      </c>
      <c r="AZ22" s="60" t="e">
        <f>IF($C22="","",INDEX(AllBatters[[#All],[fCPE Avg]],MATCH($C22,AllBatters[[#All],[Name]],0)))</f>
        <v>#N/A</v>
      </c>
    </row>
    <row r="23" spans="1:52" x14ac:dyDescent="0.25">
      <c r="A23">
        <v>2</v>
      </c>
      <c r="B23" s="29" t="s">
        <v>80</v>
      </c>
      <c r="C23" s="30" t="s">
        <v>1037</v>
      </c>
      <c r="D23" s="30">
        <f>IF($C23="","",INDEX(AllBatters[[#All],[Age]],MATCH($C23,AllBatters[[#All],[Name]],0)))</f>
        <v>27</v>
      </c>
      <c r="E23" s="30" t="str">
        <f>IF($C23="","",INDEX(AllBatters[[#All],[B]],MATCH($C23,AllBatters[[#All],[Name]],0)))</f>
        <v>R</v>
      </c>
      <c r="F23" s="46">
        <f t="shared" si="65"/>
        <v>0</v>
      </c>
      <c r="G23" s="5">
        <f t="shared" si="66"/>
        <v>0</v>
      </c>
      <c r="H23" s="5">
        <f t="shared" si="67"/>
        <v>0</v>
      </c>
      <c r="I23" s="5" t="str">
        <f t="shared" si="68"/>
        <v>-</v>
      </c>
      <c r="J23" s="51">
        <f>IF($C23="","",INDEX(AllBatters[[#All],[C ARM]],MATCH($C23,AllBatters[[#All],[Name]],0)))</f>
        <v>7</v>
      </c>
      <c r="K23" s="30">
        <f>IF($C23="","",INDEX(AllBatters[[#All],[IF ARM]],MATCH($C23,AllBatters[[#All],[Name]],0)))</f>
        <v>4</v>
      </c>
      <c r="L23" s="31">
        <f>IF($C23="","",INDEX(AllBatters[[#All],[OF ARM]],MATCH($C23,AllBatters[[#All],[Name]],0)))</f>
        <v>4</v>
      </c>
      <c r="M23" s="30">
        <f>IF($C23="","",INDEX(AllBatters[[#All],[C]],MATCH($C23,AllBatters[[#All],[Name]],0)))</f>
        <v>5</v>
      </c>
      <c r="N23" s="30" t="str">
        <f>IF($C23="","",INDEX(AllBatters[[#All],[1B]],MATCH($C23,AllBatters[[#All],[Name]],0)))</f>
        <v>-</v>
      </c>
      <c r="O23" s="30" t="str">
        <f>IF($C23="","",INDEX(AllBatters[[#All],[2B]],MATCH($C23,AllBatters[[#All],[Name]],0)))</f>
        <v>-</v>
      </c>
      <c r="P23" s="30" t="str">
        <f>IF($C23="","",INDEX(AllBatters[[#All],[3B]],MATCH($C23,AllBatters[[#All],[Name]],0)))</f>
        <v>-</v>
      </c>
      <c r="Q23" s="30" t="str">
        <f>IF($C23="","",INDEX(AllBatters[[#All],[SS]],MATCH($C23,AllBatters[[#All],[Name]],0)))</f>
        <v>-</v>
      </c>
      <c r="R23" s="30" t="str">
        <f>IF($C23="","",INDEX(AllBatters[[#All],[LF]],MATCH($C23,AllBatters[[#All],[Name]],0)))</f>
        <v>-</v>
      </c>
      <c r="S23" s="30" t="str">
        <f>IF($C23="","",INDEX(AllBatters[[#All],[CF]],MATCH($C23,AllBatters[[#All],[Name]],0)))</f>
        <v>-</v>
      </c>
      <c r="T23" s="31" t="str">
        <f>IF($C23="","",INDEX(AllBatters[[#All],[RF]],MATCH($C23,AllBatters[[#All],[Name]],0)))</f>
        <v>-</v>
      </c>
      <c r="U23" s="5">
        <f t="shared" si="69"/>
        <v>0</v>
      </c>
      <c r="V23" s="5">
        <f t="shared" si="70"/>
        <v>0</v>
      </c>
      <c r="W23" s="5">
        <f t="shared" si="71"/>
        <v>0</v>
      </c>
      <c r="X23" s="5">
        <f t="shared" si="72"/>
        <v>0</v>
      </c>
      <c r="Y23" s="5">
        <f t="shared" si="73"/>
        <v>0</v>
      </c>
      <c r="Z23" s="5">
        <f t="shared" si="74"/>
        <v>0</v>
      </c>
      <c r="AA23" s="5">
        <f t="shared" si="75"/>
        <v>0</v>
      </c>
      <c r="AB23" s="5">
        <f t="shared" si="76"/>
        <v>1</v>
      </c>
      <c r="AC23" s="3">
        <f t="shared" si="77"/>
        <v>1</v>
      </c>
      <c r="AD23" s="30">
        <f>IF($C23="","",INDEX(AllBatters[[#All],[CON]],MATCH($C23,AllBatters[[#All],[Name]],0)))</f>
        <v>5</v>
      </c>
      <c r="AE23" s="30">
        <f>IF($C23="","",INDEX(AllBatters[[#All],[GAP]],MATCH($C23,AllBatters[[#All],[Name]],0)))</f>
        <v>9</v>
      </c>
      <c r="AF23" s="30">
        <f>IF($C23="","",INDEX(AllBatters[[#All],[POW]],MATCH($C23,AllBatters[[#All],[Name]],0)))</f>
        <v>6</v>
      </c>
      <c r="AG23" s="30">
        <f>IF($C23="","",INDEX(AllBatters[[#All],[EYE]],MATCH($C23,AllBatters[[#All],[Name]],0)))</f>
        <v>3</v>
      </c>
      <c r="AH23" s="30">
        <f>IF($C23="","",INDEX(AllBatters[[#All],[K''s]],MATCH($C23,AllBatters[[#All],[Name]],0)))</f>
        <v>7</v>
      </c>
      <c r="AI23" s="30">
        <f>IF($C23="","",INDEX(AllBatters[[#All],[SPE]],MATCH($C23,AllBatters[[#All],[Name]],0)))</f>
        <v>1</v>
      </c>
      <c r="AJ23" s="31">
        <f>IF($C23="","",INDEX(AllBatters[[#All],[STE]],MATCH($C23,AllBatters[[#All],[Name]],0)))</f>
        <v>4</v>
      </c>
      <c r="AK23" s="60">
        <f>IF($C23="","",INDEX(AllBatters[[#All],[nCPE Avg]],MATCH($C23,AllBatters[[#All],[Name]],0)))</f>
        <v>4.166666666666667</v>
      </c>
      <c r="AL23" s="5">
        <f t="shared" si="78"/>
        <v>0</v>
      </c>
      <c r="AM23" s="5">
        <f t="shared" si="79"/>
        <v>0</v>
      </c>
      <c r="AN23" s="5">
        <f t="shared" si="80"/>
        <v>0</v>
      </c>
      <c r="AO23" s="5">
        <f t="shared" si="81"/>
        <v>0</v>
      </c>
      <c r="AP23" s="5">
        <f t="shared" si="82"/>
        <v>0</v>
      </c>
      <c r="AQ23" s="5">
        <f t="shared" si="83"/>
        <v>0</v>
      </c>
      <c r="AR23" s="5">
        <f t="shared" si="84"/>
        <v>0</v>
      </c>
      <c r="AS23" s="5">
        <f t="shared" si="85"/>
        <v>1</v>
      </c>
      <c r="AT23" s="3">
        <f t="shared" si="86"/>
        <v>1</v>
      </c>
      <c r="AU23" s="51">
        <f>IF($C23="","",INDEX(AllBatters[[#All],[CON P]],MATCH($C23,AllBatters[[#All],[Name]],0)))</f>
        <v>5</v>
      </c>
      <c r="AV23" s="30">
        <f>IF($C23="","",INDEX(AllBatters[[#All],[GAP P]],MATCH($C23,AllBatters[[#All],[Name]],0)))</f>
        <v>9</v>
      </c>
      <c r="AW23" s="30">
        <f>IF($C23="","",INDEX(AllBatters[[#All],[POW P]],MATCH($C23,AllBatters[[#All],[Name]],0)))</f>
        <v>6</v>
      </c>
      <c r="AX23" s="30">
        <f>IF($C23="","",INDEX(AllBatters[[#All],[EYE P]],MATCH($C23,AllBatters[[#All],[Name]],0)))</f>
        <v>4</v>
      </c>
      <c r="AY23" s="31">
        <f>IF($C23="","",INDEX(AllBatters[[#All],[K P]],MATCH($C23,AllBatters[[#All],[Name]],0)))</f>
        <v>7</v>
      </c>
      <c r="AZ23" s="60">
        <f>IF($C23="","",INDEX(AllBatters[[#All],[fCPE Avg]],MATCH($C23,AllBatters[[#All],[Name]],0)))</f>
        <v>4.5</v>
      </c>
    </row>
    <row r="24" spans="1:52" x14ac:dyDescent="0.25">
      <c r="A24">
        <v>3</v>
      </c>
      <c r="B24" s="32" t="s">
        <v>80</v>
      </c>
      <c r="C24" s="33" t="s">
        <v>1070</v>
      </c>
      <c r="D24" s="33">
        <f>IF($C24="","",INDEX(AllBatters[[#All],[Age]],MATCH($C24,AllBatters[[#All],[Name]],0)))</f>
        <v>32</v>
      </c>
      <c r="E24" s="33" t="str">
        <f>IF($C24="","",INDEX(AllBatters[[#All],[B]],MATCH($C24,AllBatters[[#All],[Name]],0)))</f>
        <v>R</v>
      </c>
      <c r="F24" s="47">
        <f t="shared" si="65"/>
        <v>0</v>
      </c>
      <c r="G24" s="34">
        <f t="shared" si="66"/>
        <v>0</v>
      </c>
      <c r="H24" s="34">
        <f t="shared" si="67"/>
        <v>0</v>
      </c>
      <c r="I24" s="34" t="str">
        <f t="shared" si="68"/>
        <v>-</v>
      </c>
      <c r="J24" s="52">
        <f>IF($C24="","",INDEX(AllBatters[[#All],[C ARM]],MATCH($C24,AllBatters[[#All],[Name]],0)))</f>
        <v>8</v>
      </c>
      <c r="K24" s="33">
        <f>IF($C24="","",INDEX(AllBatters[[#All],[IF ARM]],MATCH($C24,AllBatters[[#All],[Name]],0)))</f>
        <v>5</v>
      </c>
      <c r="L24" s="35">
        <f>IF($C24="","",INDEX(AllBatters[[#All],[OF ARM]],MATCH($C24,AllBatters[[#All],[Name]],0)))</f>
        <v>4</v>
      </c>
      <c r="M24" s="33">
        <f>IF($C24="","",INDEX(AllBatters[[#All],[C]],MATCH($C24,AllBatters[[#All],[Name]],0)))</f>
        <v>7</v>
      </c>
      <c r="N24" s="33" t="str">
        <f>IF($C24="","",INDEX(AllBatters[[#All],[1B]],MATCH($C24,AllBatters[[#All],[Name]],0)))</f>
        <v>-</v>
      </c>
      <c r="O24" s="33" t="str">
        <f>IF($C24="","",INDEX(AllBatters[[#All],[2B]],MATCH($C24,AllBatters[[#All],[Name]],0)))</f>
        <v>-</v>
      </c>
      <c r="P24" s="33" t="str">
        <f>IF($C24="","",INDEX(AllBatters[[#All],[3B]],MATCH($C24,AllBatters[[#All],[Name]],0)))</f>
        <v>-</v>
      </c>
      <c r="Q24" s="33" t="str">
        <f>IF($C24="","",INDEX(AllBatters[[#All],[SS]],MATCH($C24,AllBatters[[#All],[Name]],0)))</f>
        <v>-</v>
      </c>
      <c r="R24" s="33" t="str">
        <f>IF($C24="","",INDEX(AllBatters[[#All],[LF]],MATCH($C24,AllBatters[[#All],[Name]],0)))</f>
        <v>-</v>
      </c>
      <c r="S24" s="33" t="str">
        <f>IF($C24="","",INDEX(AllBatters[[#All],[CF]],MATCH($C24,AllBatters[[#All],[Name]],0)))</f>
        <v>-</v>
      </c>
      <c r="T24" s="35" t="str">
        <f>IF($C24="","",INDEX(AllBatters[[#All],[RF]],MATCH($C24,AllBatters[[#All],[Name]],0)))</f>
        <v>-</v>
      </c>
      <c r="U24" s="34">
        <f t="shared" si="69"/>
        <v>0</v>
      </c>
      <c r="V24" s="34">
        <f t="shared" si="70"/>
        <v>0</v>
      </c>
      <c r="W24" s="34">
        <f t="shared" si="71"/>
        <v>0</v>
      </c>
      <c r="X24" s="34">
        <f t="shared" si="72"/>
        <v>0</v>
      </c>
      <c r="Y24" s="34">
        <f t="shared" si="73"/>
        <v>0</v>
      </c>
      <c r="Z24" s="34">
        <f t="shared" si="74"/>
        <v>0</v>
      </c>
      <c r="AA24" s="34">
        <f t="shared" si="75"/>
        <v>0</v>
      </c>
      <c r="AB24" s="34">
        <f t="shared" si="76"/>
        <v>0</v>
      </c>
      <c r="AC24" s="55">
        <f t="shared" si="77"/>
        <v>0</v>
      </c>
      <c r="AD24" s="33">
        <f>IF($C24="","",INDEX(AllBatters[[#All],[CON]],MATCH($C24,AllBatters[[#All],[Name]],0)))</f>
        <v>4</v>
      </c>
      <c r="AE24" s="33">
        <f>IF($C24="","",INDEX(AllBatters[[#All],[GAP]],MATCH($C24,AllBatters[[#All],[Name]],0)))</f>
        <v>2</v>
      </c>
      <c r="AF24" s="33">
        <f>IF($C24="","",INDEX(AllBatters[[#All],[POW]],MATCH($C24,AllBatters[[#All],[Name]],0)))</f>
        <v>5</v>
      </c>
      <c r="AG24" s="33">
        <f>IF($C24="","",INDEX(AllBatters[[#All],[EYE]],MATCH($C24,AllBatters[[#All],[Name]],0)))</f>
        <v>5</v>
      </c>
      <c r="AH24" s="33">
        <f>IF($C24="","",INDEX(AllBatters[[#All],[K''s]],MATCH($C24,AllBatters[[#All],[Name]],0)))</f>
        <v>3</v>
      </c>
      <c r="AI24" s="33">
        <f>IF($C24="","",INDEX(AllBatters[[#All],[SPE]],MATCH($C24,AllBatters[[#All],[Name]],0)))</f>
        <v>1</v>
      </c>
      <c r="AJ24" s="35">
        <f>IF($C24="","",INDEX(AllBatters[[#All],[STE]],MATCH($C24,AllBatters[[#All],[Name]],0)))</f>
        <v>1</v>
      </c>
      <c r="AK24" s="61">
        <f>IF($C24="","",INDEX(AllBatters[[#All],[nCPE Avg]],MATCH($C24,AllBatters[[#All],[Name]],0)))</f>
        <v>3.666666666666667</v>
      </c>
      <c r="AL24" s="34">
        <f t="shared" si="78"/>
        <v>0</v>
      </c>
      <c r="AM24" s="34">
        <f t="shared" si="79"/>
        <v>0</v>
      </c>
      <c r="AN24" s="34">
        <f t="shared" si="80"/>
        <v>0</v>
      </c>
      <c r="AO24" s="34">
        <f t="shared" si="81"/>
        <v>0</v>
      </c>
      <c r="AP24" s="34">
        <f t="shared" si="82"/>
        <v>0</v>
      </c>
      <c r="AQ24" s="34">
        <f t="shared" si="83"/>
        <v>0</v>
      </c>
      <c r="AR24" s="34">
        <f t="shared" si="84"/>
        <v>0</v>
      </c>
      <c r="AS24" s="34">
        <f t="shared" si="85"/>
        <v>0</v>
      </c>
      <c r="AT24" s="55">
        <f t="shared" si="86"/>
        <v>0</v>
      </c>
      <c r="AU24" s="52">
        <f>IF($C24="","",INDEX(AllBatters[[#All],[CON P]],MATCH($C24,AllBatters[[#All],[Name]],0)))</f>
        <v>4</v>
      </c>
      <c r="AV24" s="33">
        <f>IF($C24="","",INDEX(AllBatters[[#All],[GAP P]],MATCH($C24,AllBatters[[#All],[Name]],0)))</f>
        <v>2</v>
      </c>
      <c r="AW24" s="33">
        <f>IF($C24="","",INDEX(AllBatters[[#All],[POW P]],MATCH($C24,AllBatters[[#All],[Name]],0)))</f>
        <v>5</v>
      </c>
      <c r="AX24" s="33">
        <f>IF($C24="","",INDEX(AllBatters[[#All],[EYE P]],MATCH($C24,AllBatters[[#All],[Name]],0)))</f>
        <v>5</v>
      </c>
      <c r="AY24" s="35">
        <f>IF($C24="","",INDEX(AllBatters[[#All],[K P]],MATCH($C24,AllBatters[[#All],[Name]],0)))</f>
        <v>3</v>
      </c>
      <c r="AZ24" s="61">
        <f>IF($C24="","",INDEX(AllBatters[[#All],[fCPE Avg]],MATCH($C24,AllBatters[[#All],[Name]],0)))</f>
        <v>3.666666666666667</v>
      </c>
    </row>
    <row r="26" spans="1:52" s="1" customFormat="1" x14ac:dyDescent="0.25">
      <c r="B26" s="225" t="s">
        <v>347</v>
      </c>
      <c r="C26" s="37" t="s">
        <v>96</v>
      </c>
      <c r="D26" s="37" t="s">
        <v>97</v>
      </c>
      <c r="E26" s="43" t="s">
        <v>80</v>
      </c>
      <c r="F26" s="14" t="s">
        <v>133</v>
      </c>
      <c r="G26" s="14" t="s">
        <v>137</v>
      </c>
      <c r="H26" s="63" t="s">
        <v>135</v>
      </c>
      <c r="I26" s="81" t="s">
        <v>159</v>
      </c>
      <c r="J26" s="36" t="s">
        <v>71</v>
      </c>
      <c r="K26" s="14" t="s">
        <v>123</v>
      </c>
      <c r="L26" s="14" t="s">
        <v>124</v>
      </c>
      <c r="M26" s="14" t="s">
        <v>180</v>
      </c>
      <c r="N26" s="14" t="s">
        <v>72</v>
      </c>
      <c r="O26" s="36" t="s">
        <v>181</v>
      </c>
      <c r="P26" s="63" t="s">
        <v>182</v>
      </c>
      <c r="Q26" s="36" t="s">
        <v>190</v>
      </c>
      <c r="R26" s="80" t="s">
        <v>203</v>
      </c>
      <c r="T26" s="36" t="s">
        <v>97</v>
      </c>
      <c r="U26" s="36" t="s">
        <v>191</v>
      </c>
      <c r="V26" s="63" t="s">
        <v>204</v>
      </c>
      <c r="W26" s="14" t="s">
        <v>190</v>
      </c>
      <c r="X26" s="63" t="s">
        <v>203</v>
      </c>
      <c r="Z26" s="1" t="s">
        <v>336</v>
      </c>
      <c r="AG26" s="400" t="s">
        <v>1171</v>
      </c>
      <c r="AH26" s="401"/>
      <c r="AI26" s="401"/>
      <c r="AJ26" s="401"/>
      <c r="AK26" s="401"/>
      <c r="AL26" s="401"/>
      <c r="AM26" s="401"/>
      <c r="AN26" s="401"/>
      <c r="AO26" s="401"/>
      <c r="AP26" s="401"/>
      <c r="AQ26" s="401"/>
      <c r="AR26" s="401"/>
      <c r="AS26" s="401"/>
      <c r="AT26" s="402"/>
    </row>
    <row r="27" spans="1:52" x14ac:dyDescent="0.25">
      <c r="B27" s="29">
        <v>1</v>
      </c>
      <c r="C27" s="50" t="s">
        <v>1033</v>
      </c>
      <c r="D27" s="26" t="s">
        <v>79</v>
      </c>
      <c r="E27" s="31" t="str">
        <f>IF($C27="","",VLOOKUP($C27,$C$3:$AK$24,3,FALSE))</f>
        <v>L</v>
      </c>
      <c r="F27" s="5">
        <f t="shared" ref="F27:F35" si="87">IF($C27="","",VLOOKUP($C27,$C$3:$AK$24,18+$B27,FALSE))</f>
        <v>1</v>
      </c>
      <c r="G27" s="5">
        <f>IF($C27="","",IF(VLOOKUP($C27,$C$3:$AK$24,18+3,FALSE)=1,3,IF(VLOOKUP($C27,$C$3:$AK$24,18+4,FALSE)=1,4,IF(VLOOKUP($C27,$C$3:$AK$24,18+1,FALSE)=1,1,IF(VLOOKUP($C27,$C$3:$AK$24,18+5,FALSE)=1,5,IF(VLOOKUP($C27,$C$3:$AK$24,18+2,FALSE)=1,2,IF(VLOOKUP($C27,$C$3:$AK$24,18+6,FALSE)=1,6,IF(VLOOKUP($C27,$C$3:$AK$24,18+7,FALSE)=1,7,IF(VLOOKUP($C27,$C$3:$AK$24,18+8,FALSE)=1,8,9)))))))))</f>
        <v>1</v>
      </c>
      <c r="H27" s="8">
        <f>IF($C27="","",INDEX(AllBatters[[#All],[nCPE Avg]],MATCH($C27,AllBatters[[#All],[Name]],0)))</f>
        <v>6.833333333333333</v>
      </c>
      <c r="I27" s="82">
        <v>3</v>
      </c>
      <c r="J27" s="46">
        <f>IF($C27="","",INDEX(AllBatters[[#All],[CON]],MATCH($C27,AllBatters[[#All],[Name]],0)))</f>
        <v>8</v>
      </c>
      <c r="K27" s="5">
        <f>IF($C27="","",INDEX(AllBatters[[#All],[GAP]],MATCH($C27,AllBatters[[#All],[Name]],0)))</f>
        <v>8</v>
      </c>
      <c r="L27" s="5">
        <f>IF($C27="","",INDEX(AllBatters[[#All],[POW]],MATCH($C27,AllBatters[[#All],[Name]],0)))</f>
        <v>3</v>
      </c>
      <c r="M27" s="5">
        <f>IF($C27="","",INDEX(AllBatters[[#All],[EYE]],MATCH($C27,AllBatters[[#All],[Name]],0)))</f>
        <v>8</v>
      </c>
      <c r="N27" s="5">
        <f>IF($C27="","",INDEX(AllBatters[[#All],[K''s]],MATCH($C27,AllBatters[[#All],[Name]],0)))</f>
        <v>8</v>
      </c>
      <c r="O27" s="46">
        <f>IF($C27="","",INDEX(AllBatters[[#All],[SPE]],MATCH($C27,AllBatters[[#All],[Name]],0)))</f>
        <v>10</v>
      </c>
      <c r="P27" s="3">
        <f>IF($C27="","",INDEX(AllBatters[[#All],[STE]],MATCH($C27,AllBatters[[#All],[Name]],0)))</f>
        <v>10</v>
      </c>
      <c r="Q27" s="107">
        <f t="shared" ref="Q27:Q35" si="88">IF($C27="","",IF($D27="DH","-",VLOOKUP($C27,$C$2:$AZ$24,9+VLOOKUP($D27,$T$26:$U$34,2,FALSE),FALSE)))</f>
        <v>5</v>
      </c>
      <c r="R27" s="94">
        <f t="shared" ref="R27:R35" si="89">IF($C27="","",IF($D27="DH","-",VLOOKUP($C27,$C$2:$AZ$24,VLOOKUP($D27,$T$26:$V$34,3,FALSE),FALSE)))</f>
        <v>10</v>
      </c>
      <c r="T27" s="46" t="s">
        <v>71</v>
      </c>
      <c r="U27" s="46">
        <v>2</v>
      </c>
      <c r="V27" s="3">
        <v>8</v>
      </c>
      <c r="W27" s="5" t="e">
        <f>VLOOKUP($T27,$D$26:$R$35,14,FALSE)</f>
        <v>#N/A</v>
      </c>
      <c r="X27" s="3" t="e">
        <f>VLOOKUP($T27,$D$26:$R$35,15,FALSE)</f>
        <v>#N/A</v>
      </c>
      <c r="Z27" t="s">
        <v>337</v>
      </c>
      <c r="AA27">
        <v>1</v>
      </c>
      <c r="AG27" s="192">
        <v>1</v>
      </c>
      <c r="AH27" s="393" t="s">
        <v>513</v>
      </c>
      <c r="AI27" s="393"/>
      <c r="AJ27" s="393"/>
      <c r="AK27" s="393"/>
      <c r="AL27" s="393"/>
      <c r="AM27" s="393"/>
      <c r="AN27" s="393"/>
      <c r="AO27" s="393"/>
      <c r="AP27" s="393"/>
      <c r="AQ27" s="393"/>
      <c r="AR27" s="393"/>
      <c r="AS27" s="393"/>
      <c r="AT27" s="394"/>
    </row>
    <row r="28" spans="1:52" x14ac:dyDescent="0.25">
      <c r="B28" s="29">
        <v>2</v>
      </c>
      <c r="C28" s="51" t="s">
        <v>1159</v>
      </c>
      <c r="D28" s="30" t="s">
        <v>10</v>
      </c>
      <c r="E28" s="31" t="str">
        <f t="shared" ref="E28:E35" si="90">IF($C28="","",VLOOKUP($C28,$C$3:$AK$24,3,FALSE))</f>
        <v>R</v>
      </c>
      <c r="F28" s="5">
        <f t="shared" si="87"/>
        <v>1</v>
      </c>
      <c r="G28" s="5">
        <f t="shared" ref="G28:G35" si="91">IF($C28="","",IF(VLOOKUP($C28,$C$3:$AK$24,18+3,FALSE)=1,3,IF(VLOOKUP($C28,$C$3:$AK$24,18+4,FALSE)=1,4,IF(VLOOKUP($C28,$C$3:$AK$24,18+1,FALSE)=1,1,IF(VLOOKUP($C28,$C$3:$AK$24,18+5,FALSE)=1,5,IF(VLOOKUP($C28,$C$3:$AK$24,18+2,FALSE)=1,2,IF(VLOOKUP($C28,$C$3:$AK$24,18+6,FALSE)=1,6,IF(VLOOKUP($C28,$C$3:$AK$24,18+7,FALSE)=1,7,IF(VLOOKUP($C28,$C$3:$AK$24,18+8,FALSE)=1,8,9)))))))))</f>
        <v>4</v>
      </c>
      <c r="H28" s="8">
        <f>IF($C28="","",INDEX(AllBatters[[#All],[nCPE Avg]],MATCH($C28,AllBatters[[#All],[Name]],0)))</f>
        <v>6.75</v>
      </c>
      <c r="I28" s="82">
        <v>5</v>
      </c>
      <c r="J28" s="46">
        <f>IF($C28="","",INDEX(AllBatters[[#All],[CON]],MATCH($C28,AllBatters[[#All],[Name]],0)))</f>
        <v>5</v>
      </c>
      <c r="K28" s="5">
        <f>IF($C28="","",INDEX(AllBatters[[#All],[GAP]],MATCH($C28,AllBatters[[#All],[Name]],0)))</f>
        <v>6</v>
      </c>
      <c r="L28" s="5">
        <f>IF($C28="","",INDEX(AllBatters[[#All],[POW]],MATCH($C28,AllBatters[[#All],[Name]],0)))</f>
        <v>8</v>
      </c>
      <c r="M28" s="5">
        <f>IF($C28="","",INDEX(AllBatters[[#All],[EYE]],MATCH($C28,AllBatters[[#All],[Name]],0)))</f>
        <v>8</v>
      </c>
      <c r="N28" s="5">
        <f>IF($C28="","",INDEX(AllBatters[[#All],[K''s]],MATCH($C28,AllBatters[[#All],[Name]],0)))</f>
        <v>4</v>
      </c>
      <c r="O28" s="46">
        <f>IF($C28="","",INDEX(AllBatters[[#All],[SPE]],MATCH($C28,AllBatters[[#All],[Name]],0)))</f>
        <v>3</v>
      </c>
      <c r="P28" s="3">
        <f>IF($C28="","",INDEX(AllBatters[[#All],[STE]],MATCH($C28,AllBatters[[#All],[Name]],0)))</f>
        <v>5</v>
      </c>
      <c r="Q28" s="108" t="str">
        <f t="shared" si="88"/>
        <v>-</v>
      </c>
      <c r="R28" s="94" t="str">
        <f t="shared" si="89"/>
        <v>-</v>
      </c>
      <c r="T28" s="46" t="s">
        <v>73</v>
      </c>
      <c r="U28" s="46">
        <v>3</v>
      </c>
      <c r="V28" s="3">
        <v>9</v>
      </c>
      <c r="W28" s="5">
        <f t="shared" ref="W28:W34" si="92">VLOOKUP($T28,$D$26:$R$35,14,FALSE)</f>
        <v>8</v>
      </c>
      <c r="X28" s="3">
        <f t="shared" ref="X28:X34" si="93">VLOOKUP($T28,$D$26:$R$35,15,FALSE)</f>
        <v>3</v>
      </c>
      <c r="Z28" t="s">
        <v>338</v>
      </c>
      <c r="AA28">
        <v>3</v>
      </c>
      <c r="AG28" s="70">
        <v>2</v>
      </c>
      <c r="AH28" s="393" t="s">
        <v>296</v>
      </c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4"/>
    </row>
    <row r="29" spans="1:52" x14ac:dyDescent="0.25">
      <c r="B29" s="29">
        <v>3</v>
      </c>
      <c r="C29" s="51" t="s">
        <v>1035</v>
      </c>
      <c r="D29" s="58" t="s">
        <v>74</v>
      </c>
      <c r="E29" s="31" t="str">
        <f t="shared" si="90"/>
        <v>R</v>
      </c>
      <c r="F29" s="5">
        <f t="shared" si="87"/>
        <v>0</v>
      </c>
      <c r="G29" s="5">
        <f t="shared" si="91"/>
        <v>1</v>
      </c>
      <c r="H29" s="8">
        <f>IF($C29="","",INDEX(AllBatters[[#All],[nCPE Avg]],MATCH($C29,AllBatters[[#All],[Name]],0)))</f>
        <v>6.166666666666667</v>
      </c>
      <c r="I29" s="82">
        <v>1</v>
      </c>
      <c r="J29" s="46">
        <f>IF($C29="","",INDEX(AllBatters[[#All],[CON]],MATCH($C29,AllBatters[[#All],[Name]],0)))</f>
        <v>5</v>
      </c>
      <c r="K29" s="5">
        <f>IF($C29="","",INDEX(AllBatters[[#All],[GAP]],MATCH($C29,AllBatters[[#All],[Name]],0)))</f>
        <v>2</v>
      </c>
      <c r="L29" s="5">
        <f>IF($C29="","",INDEX(AllBatters[[#All],[POW]],MATCH($C29,AllBatters[[#All],[Name]],0)))</f>
        <v>7</v>
      </c>
      <c r="M29" s="5">
        <f>IF($C29="","",INDEX(AllBatters[[#All],[EYE]],MATCH($C29,AllBatters[[#All],[Name]],0)))</f>
        <v>8</v>
      </c>
      <c r="N29" s="5">
        <f>IF($C29="","",INDEX(AllBatters[[#All],[K''s]],MATCH($C29,AllBatters[[#All],[Name]],0)))</f>
        <v>5</v>
      </c>
      <c r="O29" s="46">
        <f>IF($C29="","",INDEX(AllBatters[[#All],[SPE]],MATCH($C29,AllBatters[[#All],[Name]],0)))</f>
        <v>9</v>
      </c>
      <c r="P29" s="3">
        <f>IF($C29="","",INDEX(AllBatters[[#All],[STE]],MATCH($C29,AllBatters[[#All],[Name]],0)))</f>
        <v>10</v>
      </c>
      <c r="Q29" s="108">
        <f t="shared" si="88"/>
        <v>6</v>
      </c>
      <c r="R29" s="94">
        <f t="shared" si="89"/>
        <v>7</v>
      </c>
      <c r="T29" s="46" t="s">
        <v>74</v>
      </c>
      <c r="U29" s="46">
        <v>4</v>
      </c>
      <c r="V29" s="3">
        <v>9</v>
      </c>
      <c r="W29" s="5">
        <f t="shared" si="92"/>
        <v>6</v>
      </c>
      <c r="X29" s="3">
        <f t="shared" si="93"/>
        <v>7</v>
      </c>
      <c r="Z29" t="s">
        <v>341</v>
      </c>
      <c r="AA29">
        <v>5</v>
      </c>
      <c r="AG29" s="70">
        <v>3</v>
      </c>
      <c r="AH29" s="393" t="s">
        <v>1072</v>
      </c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4"/>
    </row>
    <row r="30" spans="1:52" x14ac:dyDescent="0.25">
      <c r="B30" s="29">
        <v>4</v>
      </c>
      <c r="C30" s="51" t="s">
        <v>1032</v>
      </c>
      <c r="D30" s="58" t="s">
        <v>73</v>
      </c>
      <c r="E30" s="31" t="str">
        <f t="shared" si="90"/>
        <v>L</v>
      </c>
      <c r="F30" s="5">
        <f t="shared" si="87"/>
        <v>1</v>
      </c>
      <c r="G30" s="5">
        <f t="shared" si="91"/>
        <v>4</v>
      </c>
      <c r="H30" s="8">
        <f>IF($C30="","",INDEX(AllBatters[[#All],[nCPE Avg]],MATCH($C30,AllBatters[[#All],[Name]],0)))</f>
        <v>7.75</v>
      </c>
      <c r="I30" s="82">
        <v>2</v>
      </c>
      <c r="J30" s="46">
        <f>IF($C30="","",INDEX(AllBatters[[#All],[CON]],MATCH($C30,AllBatters[[#All],[Name]],0)))</f>
        <v>8</v>
      </c>
      <c r="K30" s="5">
        <f>IF($C30="","",INDEX(AllBatters[[#All],[GAP]],MATCH($C30,AllBatters[[#All],[Name]],0)))</f>
        <v>6</v>
      </c>
      <c r="L30" s="5">
        <f>IF($C30="","",INDEX(AllBatters[[#All],[POW]],MATCH($C30,AllBatters[[#All],[Name]],0)))</f>
        <v>8</v>
      </c>
      <c r="M30" s="5">
        <f>IF($C30="","",INDEX(AllBatters[[#All],[EYE]],MATCH($C30,AllBatters[[#All],[Name]],0)))</f>
        <v>5</v>
      </c>
      <c r="N30" s="5">
        <f>IF($C30="","",INDEX(AllBatters[[#All],[K''s]],MATCH($C30,AllBatters[[#All],[Name]],0)))</f>
        <v>10</v>
      </c>
      <c r="O30" s="46">
        <f>IF($C30="","",INDEX(AllBatters[[#All],[SPE]],MATCH($C30,AllBatters[[#All],[Name]],0)))</f>
        <v>1</v>
      </c>
      <c r="P30" s="3">
        <f>IF($C30="","",INDEX(AllBatters[[#All],[STE]],MATCH($C30,AllBatters[[#All],[Name]],0)))</f>
        <v>1</v>
      </c>
      <c r="Q30" s="108">
        <f t="shared" si="88"/>
        <v>8</v>
      </c>
      <c r="R30" s="94">
        <f t="shared" si="89"/>
        <v>3</v>
      </c>
      <c r="T30" s="46" t="s">
        <v>75</v>
      </c>
      <c r="U30" s="46">
        <v>5</v>
      </c>
      <c r="V30" s="3">
        <v>9</v>
      </c>
      <c r="W30" s="5">
        <f t="shared" si="92"/>
        <v>7</v>
      </c>
      <c r="X30" s="3">
        <f t="shared" si="93"/>
        <v>10</v>
      </c>
      <c r="Z30" t="s">
        <v>340</v>
      </c>
      <c r="AA30">
        <v>2</v>
      </c>
      <c r="AG30" s="70">
        <v>4</v>
      </c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4"/>
    </row>
    <row r="31" spans="1:52" x14ac:dyDescent="0.25">
      <c r="B31" s="29">
        <v>5</v>
      </c>
      <c r="C31" s="58" t="s">
        <v>1174</v>
      </c>
      <c r="D31" s="58" t="s">
        <v>77</v>
      </c>
      <c r="E31" s="31" t="e">
        <f t="shared" si="90"/>
        <v>#N/A</v>
      </c>
      <c r="F31" s="5" t="e">
        <f t="shared" si="87"/>
        <v>#N/A</v>
      </c>
      <c r="G31" s="5" t="e">
        <f t="shared" si="91"/>
        <v>#N/A</v>
      </c>
      <c r="H31" s="8" t="e">
        <f>IF($C31="","",INDEX(AllBatters[[#All],[nCPE Avg]],MATCH($C31,AllBatters[[#All],[Name]],0)))</f>
        <v>#N/A</v>
      </c>
      <c r="I31" s="82">
        <v>4</v>
      </c>
      <c r="J31" s="46" t="e">
        <f>IF($C31="","",INDEX(AllBatters[[#All],[CON]],MATCH($C31,AllBatters[[#All],[Name]],0)))</f>
        <v>#N/A</v>
      </c>
      <c r="K31" s="5" t="e">
        <f>IF($C31="","",INDEX(AllBatters[[#All],[GAP]],MATCH($C31,AllBatters[[#All],[Name]],0)))</f>
        <v>#N/A</v>
      </c>
      <c r="L31" s="5" t="e">
        <f>IF($C31="","",INDEX(AllBatters[[#All],[POW]],MATCH($C31,AllBatters[[#All],[Name]],0)))</f>
        <v>#N/A</v>
      </c>
      <c r="M31" s="5" t="e">
        <f>IF($C31="","",INDEX(AllBatters[[#All],[EYE]],MATCH($C31,AllBatters[[#All],[Name]],0)))</f>
        <v>#N/A</v>
      </c>
      <c r="N31" s="5" t="e">
        <f>IF($C31="","",INDEX(AllBatters[[#All],[K''s]],MATCH($C31,AllBatters[[#All],[Name]],0)))</f>
        <v>#N/A</v>
      </c>
      <c r="O31" s="46" t="e">
        <f>IF($C31="","",INDEX(AllBatters[[#All],[SPE]],MATCH($C31,AllBatters[[#All],[Name]],0)))</f>
        <v>#N/A</v>
      </c>
      <c r="P31" s="3" t="e">
        <f>IF($C31="","",INDEX(AllBatters[[#All],[STE]],MATCH($C31,AllBatters[[#All],[Name]],0)))</f>
        <v>#N/A</v>
      </c>
      <c r="Q31" s="108" t="e">
        <f t="shared" si="88"/>
        <v>#N/A</v>
      </c>
      <c r="R31" s="94" t="e">
        <f t="shared" si="89"/>
        <v>#N/A</v>
      </c>
      <c r="T31" s="46" t="s">
        <v>76</v>
      </c>
      <c r="U31" s="46">
        <v>6</v>
      </c>
      <c r="V31" s="3">
        <v>9</v>
      </c>
      <c r="W31" s="5">
        <f t="shared" si="92"/>
        <v>7</v>
      </c>
      <c r="X31" s="3">
        <f t="shared" si="93"/>
        <v>10</v>
      </c>
      <c r="Z31" t="s">
        <v>339</v>
      </c>
      <c r="AA31">
        <v>4</v>
      </c>
      <c r="AG31" s="70">
        <v>5</v>
      </c>
      <c r="AH31" s="403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5"/>
    </row>
    <row r="32" spans="1:52" x14ac:dyDescent="0.25">
      <c r="B32" s="29">
        <v>6</v>
      </c>
      <c r="C32" s="58" t="s">
        <v>1034</v>
      </c>
      <c r="D32" s="58" t="s">
        <v>78</v>
      </c>
      <c r="E32" s="31" t="str">
        <f t="shared" si="90"/>
        <v>R</v>
      </c>
      <c r="F32" s="5">
        <f t="shared" si="87"/>
        <v>0</v>
      </c>
      <c r="G32" s="5">
        <f t="shared" si="91"/>
        <v>7</v>
      </c>
      <c r="H32" s="8">
        <f>IF($C32="","",INDEX(AllBatters[[#All],[nCPE Avg]],MATCH($C32,AllBatters[[#All],[Name]],0)))</f>
        <v>5.083333333333333</v>
      </c>
      <c r="I32" s="82">
        <v>6</v>
      </c>
      <c r="J32" s="46">
        <f>IF($C32="","",INDEX(AllBatters[[#All],[CON]],MATCH($C32,AllBatters[[#All],[Name]],0)))</f>
        <v>5</v>
      </c>
      <c r="K32" s="5">
        <f>IF($C32="","",INDEX(AllBatters[[#All],[GAP]],MATCH($C32,AllBatters[[#All],[Name]],0)))</f>
        <v>3</v>
      </c>
      <c r="L32" s="5">
        <f>IF($C32="","",INDEX(AllBatters[[#All],[POW]],MATCH($C32,AllBatters[[#All],[Name]],0)))</f>
        <v>8</v>
      </c>
      <c r="M32" s="5">
        <f>IF($C32="","",INDEX(AllBatters[[#All],[EYE]],MATCH($C32,AllBatters[[#All],[Name]],0)))</f>
        <v>3</v>
      </c>
      <c r="N32" s="5">
        <f>IF($C32="","",INDEX(AllBatters[[#All],[K''s]],MATCH($C32,AllBatters[[#All],[Name]],0)))</f>
        <v>4</v>
      </c>
      <c r="O32" s="46">
        <f>IF($C32="","",INDEX(AllBatters[[#All],[SPE]],MATCH($C32,AllBatters[[#All],[Name]],0)))</f>
        <v>7</v>
      </c>
      <c r="P32" s="3">
        <f>IF($C32="","",INDEX(AllBatters[[#All],[STE]],MATCH($C32,AllBatters[[#All],[Name]],0)))</f>
        <v>10</v>
      </c>
      <c r="Q32" s="108">
        <f t="shared" si="88"/>
        <v>7</v>
      </c>
      <c r="R32" s="94">
        <f t="shared" si="89"/>
        <v>7</v>
      </c>
      <c r="T32" s="46" t="s">
        <v>77</v>
      </c>
      <c r="U32" s="46">
        <v>7</v>
      </c>
      <c r="V32" s="3">
        <v>10</v>
      </c>
      <c r="W32" s="5" t="e">
        <f t="shared" si="92"/>
        <v>#N/A</v>
      </c>
      <c r="X32" s="3" t="e">
        <f t="shared" si="93"/>
        <v>#N/A</v>
      </c>
      <c r="Z32" t="s">
        <v>343</v>
      </c>
      <c r="AA32">
        <v>6</v>
      </c>
      <c r="AG32" s="70">
        <v>6</v>
      </c>
      <c r="AH32" s="392" t="s">
        <v>1217</v>
      </c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4"/>
    </row>
    <row r="33" spans="2:46" x14ac:dyDescent="0.25">
      <c r="B33" s="29">
        <v>7</v>
      </c>
      <c r="C33" s="51" t="s">
        <v>1160</v>
      </c>
      <c r="D33" s="58" t="s">
        <v>76</v>
      </c>
      <c r="E33" s="31" t="str">
        <f t="shared" si="90"/>
        <v>R</v>
      </c>
      <c r="F33" s="5">
        <f t="shared" si="87"/>
        <v>0</v>
      </c>
      <c r="G33" s="5">
        <f t="shared" si="91"/>
        <v>9</v>
      </c>
      <c r="H33" s="8">
        <f>IF($C33="","",INDEX(AllBatters[[#All],[nCPE Avg]],MATCH($C33,AllBatters[[#All],[Name]],0)))</f>
        <v>3.833333333333333</v>
      </c>
      <c r="I33" s="82">
        <v>7</v>
      </c>
      <c r="J33" s="46">
        <f>IF($C33="","",INDEX(AllBatters[[#All],[CON]],MATCH($C33,AllBatters[[#All],[Name]],0)))</f>
        <v>5</v>
      </c>
      <c r="K33" s="5">
        <f>IF($C33="","",INDEX(AllBatters[[#All],[GAP]],MATCH($C33,AllBatters[[#All],[Name]],0)))</f>
        <v>5</v>
      </c>
      <c r="L33" s="5">
        <f>IF($C33="","",INDEX(AllBatters[[#All],[POW]],MATCH($C33,AllBatters[[#All],[Name]],0)))</f>
        <v>2</v>
      </c>
      <c r="M33" s="5">
        <f>IF($C33="","",INDEX(AllBatters[[#All],[EYE]],MATCH($C33,AllBatters[[#All],[Name]],0)))</f>
        <v>6</v>
      </c>
      <c r="N33" s="5">
        <f>IF($C33="","",INDEX(AllBatters[[#All],[K''s]],MATCH($C33,AllBatters[[#All],[Name]],0)))</f>
        <v>9</v>
      </c>
      <c r="O33" s="46">
        <f>IF($C33="","",INDEX(AllBatters[[#All],[SPE]],MATCH($C33,AllBatters[[#All],[Name]],0)))</f>
        <v>5</v>
      </c>
      <c r="P33" s="3">
        <f>IF($C33="","",INDEX(AllBatters[[#All],[STE]],MATCH($C33,AllBatters[[#All],[Name]],0)))</f>
        <v>9</v>
      </c>
      <c r="Q33" s="108">
        <f t="shared" si="88"/>
        <v>7</v>
      </c>
      <c r="R33" s="94">
        <f t="shared" si="89"/>
        <v>10</v>
      </c>
      <c r="T33" s="46" t="s">
        <v>78</v>
      </c>
      <c r="U33" s="46">
        <v>8</v>
      </c>
      <c r="V33" s="3">
        <v>10</v>
      </c>
      <c r="W33" s="5">
        <f t="shared" si="92"/>
        <v>7</v>
      </c>
      <c r="X33" s="3">
        <f t="shared" si="93"/>
        <v>7</v>
      </c>
      <c r="Z33" t="s">
        <v>344</v>
      </c>
      <c r="AA33">
        <v>7</v>
      </c>
      <c r="AG33" s="70">
        <v>7</v>
      </c>
      <c r="AH33" s="392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4"/>
    </row>
    <row r="34" spans="2:46" x14ac:dyDescent="0.25">
      <c r="B34" s="29">
        <v>8</v>
      </c>
      <c r="C34" s="51" t="s">
        <v>1036</v>
      </c>
      <c r="D34" s="58" t="s">
        <v>75</v>
      </c>
      <c r="E34" s="31" t="str">
        <f t="shared" si="90"/>
        <v>S</v>
      </c>
      <c r="F34" s="5">
        <f t="shared" si="87"/>
        <v>1</v>
      </c>
      <c r="G34" s="5">
        <f t="shared" si="91"/>
        <v>8</v>
      </c>
      <c r="H34" s="8">
        <f>IF($C34="","",INDEX(AllBatters[[#All],[nCPE Avg]],MATCH($C34,AllBatters[[#All],[Name]],0)))</f>
        <v>4.833333333333333</v>
      </c>
      <c r="I34" s="82">
        <v>8</v>
      </c>
      <c r="J34" s="46">
        <f>IF($C34="","",INDEX(AllBatters[[#All],[CON]],MATCH($C34,AllBatters[[#All],[Name]],0)))</f>
        <v>5</v>
      </c>
      <c r="K34" s="5">
        <f>IF($C34="","",INDEX(AllBatters[[#All],[GAP]],MATCH($C34,AllBatters[[#All],[Name]],0)))</f>
        <v>7</v>
      </c>
      <c r="L34" s="5">
        <f>IF($C34="","",INDEX(AllBatters[[#All],[POW]],MATCH($C34,AllBatters[[#All],[Name]],0)))</f>
        <v>6</v>
      </c>
      <c r="M34" s="5">
        <f>IF($C34="","",INDEX(AllBatters[[#All],[EYE]],MATCH($C34,AllBatters[[#All],[Name]],0)))</f>
        <v>5</v>
      </c>
      <c r="N34" s="5">
        <f>IF($C34="","",INDEX(AllBatters[[#All],[K''s]],MATCH($C34,AllBatters[[#All],[Name]],0)))</f>
        <v>5</v>
      </c>
      <c r="O34" s="46">
        <f>IF($C34="","",INDEX(AllBatters[[#All],[SPE]],MATCH($C34,AllBatters[[#All],[Name]],0)))</f>
        <v>3</v>
      </c>
      <c r="P34" s="3">
        <f>IF($C34="","",INDEX(AllBatters[[#All],[STE]],MATCH($C34,AllBatters[[#All],[Name]],0)))</f>
        <v>4</v>
      </c>
      <c r="Q34" s="108">
        <f t="shared" si="88"/>
        <v>7</v>
      </c>
      <c r="R34" s="94">
        <f t="shared" si="89"/>
        <v>10</v>
      </c>
      <c r="T34" s="47" t="s">
        <v>79</v>
      </c>
      <c r="U34" s="47">
        <v>9</v>
      </c>
      <c r="V34" s="55">
        <v>10</v>
      </c>
      <c r="W34" s="34">
        <f t="shared" si="92"/>
        <v>5</v>
      </c>
      <c r="X34" s="55">
        <f t="shared" si="93"/>
        <v>10</v>
      </c>
      <c r="Z34" t="s">
        <v>345</v>
      </c>
      <c r="AA34">
        <v>8</v>
      </c>
      <c r="AG34" s="70">
        <v>8</v>
      </c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</row>
    <row r="35" spans="2:46" x14ac:dyDescent="0.25">
      <c r="B35" s="32">
        <v>9</v>
      </c>
      <c r="C35" s="52" t="s">
        <v>1213</v>
      </c>
      <c r="D35" s="33" t="s">
        <v>71</v>
      </c>
      <c r="E35" s="35" t="e">
        <f t="shared" si="90"/>
        <v>#N/A</v>
      </c>
      <c r="F35" s="34" t="e">
        <f t="shared" si="87"/>
        <v>#N/A</v>
      </c>
      <c r="G35" s="34" t="e">
        <f t="shared" si="91"/>
        <v>#N/A</v>
      </c>
      <c r="H35" s="62" t="e">
        <f>IF($C35="","",INDEX(AllBatters[[#All],[nCPE Avg]],MATCH($C35,AllBatters[[#All],[Name]],0)))</f>
        <v>#N/A</v>
      </c>
      <c r="I35" s="83">
        <v>9</v>
      </c>
      <c r="J35" s="47" t="e">
        <f>IF($C35="","",INDEX(AllBatters[[#All],[CON]],MATCH($C35,AllBatters[[#All],[Name]],0)))</f>
        <v>#N/A</v>
      </c>
      <c r="K35" s="34" t="e">
        <f>IF($C35="","",INDEX(AllBatters[[#All],[GAP]],MATCH($C35,AllBatters[[#All],[Name]],0)))</f>
        <v>#N/A</v>
      </c>
      <c r="L35" s="34" t="e">
        <f>IF($C35="","",INDEX(AllBatters[[#All],[POW]],MATCH($C35,AllBatters[[#All],[Name]],0)))</f>
        <v>#N/A</v>
      </c>
      <c r="M35" s="34" t="e">
        <f>IF($C35="","",INDEX(AllBatters[[#All],[EYE]],MATCH($C35,AllBatters[[#All],[Name]],0)))</f>
        <v>#N/A</v>
      </c>
      <c r="N35" s="34" t="e">
        <f>IF($C35="","",INDEX(AllBatters[[#All],[K''s]],MATCH($C35,AllBatters[[#All],[Name]],0)))</f>
        <v>#N/A</v>
      </c>
      <c r="O35" s="47" t="e">
        <f>IF($C35="","",INDEX(AllBatters[[#All],[SPE]],MATCH($C35,AllBatters[[#All],[Name]],0)))</f>
        <v>#N/A</v>
      </c>
      <c r="P35" s="55" t="e">
        <f>IF($C35="","",INDEX(AllBatters[[#All],[STE]],MATCH($C35,AllBatters[[#All],[Name]],0)))</f>
        <v>#N/A</v>
      </c>
      <c r="Q35" s="109" t="e">
        <f t="shared" si="88"/>
        <v>#N/A</v>
      </c>
      <c r="R35" s="95" t="e">
        <f t="shared" si="89"/>
        <v>#N/A</v>
      </c>
      <c r="Z35" t="s">
        <v>342</v>
      </c>
      <c r="AA35">
        <v>9</v>
      </c>
      <c r="AG35" s="70">
        <v>9</v>
      </c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7"/>
    </row>
    <row r="36" spans="2:46" x14ac:dyDescent="0.25">
      <c r="B36" s="4"/>
      <c r="C36" s="30"/>
      <c r="D36" s="30"/>
      <c r="E36" s="30"/>
      <c r="F36" s="5"/>
      <c r="G36" s="5"/>
      <c r="H36" s="9"/>
      <c r="AG36" s="71">
        <v>10</v>
      </c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9"/>
    </row>
    <row r="37" spans="2:46" s="1" customFormat="1" x14ac:dyDescent="0.25">
      <c r="B37" s="225" t="s">
        <v>348</v>
      </c>
      <c r="C37" s="37" t="s">
        <v>96</v>
      </c>
      <c r="D37" s="37" t="s">
        <v>97</v>
      </c>
      <c r="E37" s="43" t="s">
        <v>80</v>
      </c>
      <c r="F37" s="226" t="s">
        <v>133</v>
      </c>
      <c r="G37" s="226" t="s">
        <v>137</v>
      </c>
      <c r="H37" s="227" t="s">
        <v>135</v>
      </c>
      <c r="I37" s="81" t="s">
        <v>159</v>
      </c>
      <c r="J37" s="225" t="s">
        <v>71</v>
      </c>
      <c r="K37" s="226" t="s">
        <v>123</v>
      </c>
      <c r="L37" s="226" t="s">
        <v>124</v>
      </c>
      <c r="M37" s="226" t="s">
        <v>180</v>
      </c>
      <c r="N37" s="226" t="s">
        <v>72</v>
      </c>
      <c r="O37" s="225" t="s">
        <v>181</v>
      </c>
      <c r="P37" s="227" t="s">
        <v>182</v>
      </c>
      <c r="Q37" s="225" t="s">
        <v>190</v>
      </c>
      <c r="R37" s="80" t="s">
        <v>203</v>
      </c>
      <c r="T37" s="225" t="s">
        <v>97</v>
      </c>
      <c r="U37" s="225" t="s">
        <v>191</v>
      </c>
      <c r="V37" s="227" t="s">
        <v>204</v>
      </c>
      <c r="W37" s="226" t="s">
        <v>190</v>
      </c>
      <c r="X37" s="227" t="s">
        <v>203</v>
      </c>
      <c r="Z37" s="1" t="s">
        <v>336</v>
      </c>
    </row>
    <row r="38" spans="2:46" x14ac:dyDescent="0.25">
      <c r="B38" s="29">
        <v>1</v>
      </c>
      <c r="C38" s="50" t="s">
        <v>1033</v>
      </c>
      <c r="D38" s="26" t="s">
        <v>79</v>
      </c>
      <c r="E38" s="31" t="str">
        <f t="shared" ref="E38" si="94">IF($C38="","",VLOOKUP($C38,$C$3:$AK$24,$E$1-2,FALSE))</f>
        <v>-</v>
      </c>
      <c r="F38" s="230">
        <f t="shared" ref="F38:F46" si="95">IF($C38="","",VLOOKUP($C38,$C$3:$AK$24,18+$B38,FALSE))</f>
        <v>1</v>
      </c>
      <c r="G38" s="230">
        <f>IF($C38="","",IF(VLOOKUP($C38,$C$3:$AK$24,18+3,FALSE)=1,3,IF(VLOOKUP($C38,$C$3:$AK$24,18+4,FALSE)=1,4,IF(VLOOKUP($C38,$C$3:$AK$24,18+1,FALSE)=1,1,IF(VLOOKUP($C38,$C$3:$AK$24,18+5,FALSE)=1,5,IF(VLOOKUP($C38,$C$3:$AK$24,18+2,FALSE)=1,2,IF(VLOOKUP($C38,$C$3:$AK$24,18+6,FALSE)=1,6,IF(VLOOKUP($C38,$C$3:$AK$24,18+7,FALSE)=1,7,IF(VLOOKUP($C38,$C$3:$AK$24,18+8,FALSE)=1,8,9)))))))))</f>
        <v>1</v>
      </c>
      <c r="H38" s="8">
        <f>IF($C38="","",VLOOKUP($C38,$C$3:$AK$24,35,FALSE))</f>
        <v>6.833333333333333</v>
      </c>
      <c r="I38" s="82">
        <v>3</v>
      </c>
      <c r="J38" s="369">
        <f>IF($C38="","",INDEX(AllBatters[[#All],[CON]],MATCH($C38,AllBatters[[#All],[Name]],0)))</f>
        <v>8</v>
      </c>
      <c r="K38" s="365">
        <f>IF($C38="","",INDEX(AllBatters[[#All],[GAP]],MATCH($C38,AllBatters[[#All],[Name]],0)))</f>
        <v>8</v>
      </c>
      <c r="L38" s="365">
        <f>IF($C38="","",INDEX(AllBatters[[#All],[POW]],MATCH($C38,AllBatters[[#All],[Name]],0)))</f>
        <v>3</v>
      </c>
      <c r="M38" s="365">
        <f>IF($C38="","",INDEX(AllBatters[[#All],[EYE]],MATCH($C38,AllBatters[[#All],[Name]],0)))</f>
        <v>8</v>
      </c>
      <c r="N38" s="365">
        <f>IF($C38="","",INDEX(AllBatters[[#All],[K''s]],MATCH($C38,AllBatters[[#All],[Name]],0)))</f>
        <v>8</v>
      </c>
      <c r="O38" s="369">
        <f>IF($C38="","",INDEX(AllBatters[[#All],[SPE]],MATCH($C38,AllBatters[[#All],[Name]],0)))</f>
        <v>10</v>
      </c>
      <c r="P38" s="366">
        <f>IF($C38="","",INDEX(AllBatters[[#All],[STE]],MATCH($C38,AllBatters[[#All],[Name]],0)))</f>
        <v>10</v>
      </c>
      <c r="Q38" s="107">
        <f t="shared" ref="Q38:Q46" si="96">IF($C38="","",IF($D38="DH","-",VLOOKUP($C38,$C$2:$AZ$24,9+VLOOKUP($D38,$T$26:$U$34,2,FALSE),FALSE)))</f>
        <v>5</v>
      </c>
      <c r="R38" s="94">
        <f t="shared" ref="R38:R46" si="97">IF($C38="","",IF($D38="DH","-",VLOOKUP($C38,$C$2:$AZ$24,VLOOKUP($D38,$T$26:$V$34,3,FALSE),FALSE)))</f>
        <v>10</v>
      </c>
      <c r="T38" s="46" t="s">
        <v>71</v>
      </c>
      <c r="U38" s="46">
        <v>2</v>
      </c>
      <c r="V38" s="231">
        <v>8</v>
      </c>
      <c r="W38" s="230">
        <f>VLOOKUP($T38,$D$37:$R$46,14,FALSE)</f>
        <v>5</v>
      </c>
      <c r="X38" s="231">
        <f>VLOOKUP($T38,$D$37:$R$46,15,FALSE)</f>
        <v>7</v>
      </c>
      <c r="Z38" t="s">
        <v>337</v>
      </c>
      <c r="AA38">
        <v>1</v>
      </c>
      <c r="AG38" s="400" t="s">
        <v>1172</v>
      </c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2"/>
    </row>
    <row r="39" spans="2:46" x14ac:dyDescent="0.25">
      <c r="B39" s="29">
        <v>2</v>
      </c>
      <c r="C39" s="51" t="s">
        <v>1159</v>
      </c>
      <c r="D39" s="30" t="s">
        <v>10</v>
      </c>
      <c r="E39" s="31" t="str">
        <f>IF($C39="","",VLOOKUP($C39,$C$3:$AK$24,$E$1-2,FALSE))</f>
        <v>-</v>
      </c>
      <c r="F39" s="230">
        <f t="shared" si="95"/>
        <v>1</v>
      </c>
      <c r="G39" s="230">
        <f t="shared" ref="G39:G46" si="98">IF($C39="","",IF(VLOOKUP($C39,$C$3:$AK$24,18+3,FALSE)=1,3,IF(VLOOKUP($C39,$C$3:$AK$24,18+4,FALSE)=1,4,IF(VLOOKUP($C39,$C$3:$AK$24,18+1,FALSE)=1,1,IF(VLOOKUP($C39,$C$3:$AK$24,18+5,FALSE)=1,5,IF(VLOOKUP($C39,$C$3:$AK$24,18+2,FALSE)=1,2,IF(VLOOKUP($C39,$C$3:$AK$24,18+6,FALSE)=1,6,IF(VLOOKUP($C39,$C$3:$AK$24,18+7,FALSE)=1,7,IF(VLOOKUP($C39,$C$3:$AK$24,18+8,FALSE)=1,8,9)))))))))</f>
        <v>4</v>
      </c>
      <c r="H39" s="8">
        <f t="shared" ref="H39:H46" si="99">IF($C39="","",VLOOKUP($C39,$C$3:$AK$24,35,FALSE))</f>
        <v>6.75</v>
      </c>
      <c r="I39" s="82">
        <v>5</v>
      </c>
      <c r="J39" s="369">
        <f>IF($C39="","",INDEX(AllBatters[[#All],[CON]],MATCH($C39,AllBatters[[#All],[Name]],0)))</f>
        <v>5</v>
      </c>
      <c r="K39" s="365">
        <f>IF($C39="","",INDEX(AllBatters[[#All],[GAP]],MATCH($C39,AllBatters[[#All],[Name]],0)))</f>
        <v>6</v>
      </c>
      <c r="L39" s="365">
        <f>IF($C39="","",INDEX(AllBatters[[#All],[POW]],MATCH($C39,AllBatters[[#All],[Name]],0)))</f>
        <v>8</v>
      </c>
      <c r="M39" s="365">
        <f>IF($C39="","",INDEX(AllBatters[[#All],[EYE]],MATCH($C39,AllBatters[[#All],[Name]],0)))</f>
        <v>8</v>
      </c>
      <c r="N39" s="365">
        <f>IF($C39="","",INDEX(AllBatters[[#All],[K''s]],MATCH($C39,AllBatters[[#All],[Name]],0)))</f>
        <v>4</v>
      </c>
      <c r="O39" s="369">
        <f>IF($C39="","",INDEX(AllBatters[[#All],[SPE]],MATCH($C39,AllBatters[[#All],[Name]],0)))</f>
        <v>3</v>
      </c>
      <c r="P39" s="366">
        <f>IF($C39="","",INDEX(AllBatters[[#All],[STE]],MATCH($C39,AllBatters[[#All],[Name]],0)))</f>
        <v>5</v>
      </c>
      <c r="Q39" s="108" t="str">
        <f t="shared" si="96"/>
        <v>-</v>
      </c>
      <c r="R39" s="94" t="str">
        <f t="shared" si="97"/>
        <v>-</v>
      </c>
      <c r="T39" s="46" t="s">
        <v>73</v>
      </c>
      <c r="U39" s="46">
        <v>3</v>
      </c>
      <c r="V39" s="231">
        <v>9</v>
      </c>
      <c r="W39" s="230">
        <f t="shared" ref="W39:W45" si="100">VLOOKUP($T39,$D$37:$R$46,14,FALSE)</f>
        <v>8</v>
      </c>
      <c r="X39" s="231">
        <f t="shared" ref="X39:X45" si="101">VLOOKUP($T39,$D$37:$R$46,15,FALSE)</f>
        <v>3</v>
      </c>
      <c r="Z39" t="s">
        <v>338</v>
      </c>
      <c r="AA39">
        <v>3</v>
      </c>
      <c r="AG39" s="192">
        <v>1</v>
      </c>
      <c r="AH39" s="396" t="s">
        <v>1173</v>
      </c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4"/>
    </row>
    <row r="40" spans="2:46" x14ac:dyDescent="0.25">
      <c r="B40" s="29">
        <v>3</v>
      </c>
      <c r="C40" s="51" t="s">
        <v>1035</v>
      </c>
      <c r="D40" s="58" t="s">
        <v>74</v>
      </c>
      <c r="E40" s="31" t="str">
        <f t="shared" ref="E40:E46" si="102">IF($C40="","",VLOOKUP($C40,$C$3:$AK$24,$E$1-2,FALSE))</f>
        <v>-</v>
      </c>
      <c r="F40" s="230">
        <f t="shared" si="95"/>
        <v>0</v>
      </c>
      <c r="G40" s="230">
        <f t="shared" si="98"/>
        <v>1</v>
      </c>
      <c r="H40" s="8">
        <f t="shared" si="99"/>
        <v>6.166666666666667</v>
      </c>
      <c r="I40" s="82">
        <v>1</v>
      </c>
      <c r="J40" s="369">
        <f>IF($C40="","",INDEX(AllBatters[[#All],[CON]],MATCH($C40,AllBatters[[#All],[Name]],0)))</f>
        <v>5</v>
      </c>
      <c r="K40" s="365">
        <f>IF($C40="","",INDEX(AllBatters[[#All],[GAP]],MATCH($C40,AllBatters[[#All],[Name]],0)))</f>
        <v>2</v>
      </c>
      <c r="L40" s="365">
        <f>IF($C40="","",INDEX(AllBatters[[#All],[POW]],MATCH($C40,AllBatters[[#All],[Name]],0)))</f>
        <v>7</v>
      </c>
      <c r="M40" s="365">
        <f>IF($C40="","",INDEX(AllBatters[[#All],[EYE]],MATCH($C40,AllBatters[[#All],[Name]],0)))</f>
        <v>8</v>
      </c>
      <c r="N40" s="365">
        <f>IF($C40="","",INDEX(AllBatters[[#All],[K''s]],MATCH($C40,AllBatters[[#All],[Name]],0)))</f>
        <v>5</v>
      </c>
      <c r="O40" s="369">
        <f>IF($C40="","",INDEX(AllBatters[[#All],[SPE]],MATCH($C40,AllBatters[[#All],[Name]],0)))</f>
        <v>9</v>
      </c>
      <c r="P40" s="366">
        <f>IF($C40="","",INDEX(AllBatters[[#All],[STE]],MATCH($C40,AllBatters[[#All],[Name]],0)))</f>
        <v>10</v>
      </c>
      <c r="Q40" s="108">
        <f t="shared" si="96"/>
        <v>6</v>
      </c>
      <c r="R40" s="94">
        <f t="shared" si="97"/>
        <v>7</v>
      </c>
      <c r="T40" s="46" t="s">
        <v>74</v>
      </c>
      <c r="U40" s="46">
        <v>4</v>
      </c>
      <c r="V40" s="231">
        <v>9</v>
      </c>
      <c r="W40" s="230">
        <f t="shared" si="100"/>
        <v>6</v>
      </c>
      <c r="X40" s="231">
        <f t="shared" si="101"/>
        <v>7</v>
      </c>
      <c r="Z40" t="s">
        <v>341</v>
      </c>
      <c r="AA40">
        <v>5</v>
      </c>
      <c r="AG40" s="70">
        <v>2</v>
      </c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4"/>
    </row>
    <row r="41" spans="2:46" x14ac:dyDescent="0.25">
      <c r="B41" s="29">
        <v>4</v>
      </c>
      <c r="C41" s="51" t="s">
        <v>1032</v>
      </c>
      <c r="D41" s="58" t="s">
        <v>73</v>
      </c>
      <c r="E41" s="31" t="str">
        <f t="shared" si="102"/>
        <v>-</v>
      </c>
      <c r="F41" s="230">
        <f t="shared" si="95"/>
        <v>1</v>
      </c>
      <c r="G41" s="230">
        <f t="shared" si="98"/>
        <v>4</v>
      </c>
      <c r="H41" s="8">
        <f t="shared" si="99"/>
        <v>7.75</v>
      </c>
      <c r="I41" s="82">
        <v>2</v>
      </c>
      <c r="J41" s="369">
        <f>IF($C41="","",INDEX(AllBatters[[#All],[CON]],MATCH($C41,AllBatters[[#All],[Name]],0)))</f>
        <v>8</v>
      </c>
      <c r="K41" s="365">
        <f>IF($C41="","",INDEX(AllBatters[[#All],[GAP]],MATCH($C41,AllBatters[[#All],[Name]],0)))</f>
        <v>6</v>
      </c>
      <c r="L41" s="365">
        <f>IF($C41="","",INDEX(AllBatters[[#All],[POW]],MATCH($C41,AllBatters[[#All],[Name]],0)))</f>
        <v>8</v>
      </c>
      <c r="M41" s="365">
        <f>IF($C41="","",INDEX(AllBatters[[#All],[EYE]],MATCH($C41,AllBatters[[#All],[Name]],0)))</f>
        <v>5</v>
      </c>
      <c r="N41" s="365">
        <f>IF($C41="","",INDEX(AllBatters[[#All],[K''s]],MATCH($C41,AllBatters[[#All],[Name]],0)))</f>
        <v>10</v>
      </c>
      <c r="O41" s="369">
        <f>IF($C41="","",INDEX(AllBatters[[#All],[SPE]],MATCH($C41,AllBatters[[#All],[Name]],0)))</f>
        <v>1</v>
      </c>
      <c r="P41" s="366">
        <f>IF($C41="","",INDEX(AllBatters[[#All],[STE]],MATCH($C41,AllBatters[[#All],[Name]],0)))</f>
        <v>1</v>
      </c>
      <c r="Q41" s="108">
        <f t="shared" si="96"/>
        <v>8</v>
      </c>
      <c r="R41" s="94">
        <f t="shared" si="97"/>
        <v>3</v>
      </c>
      <c r="T41" s="46" t="s">
        <v>75</v>
      </c>
      <c r="U41" s="46">
        <v>5</v>
      </c>
      <c r="V41" s="231">
        <v>9</v>
      </c>
      <c r="W41" s="230">
        <f t="shared" si="100"/>
        <v>7</v>
      </c>
      <c r="X41" s="231">
        <f t="shared" si="101"/>
        <v>10</v>
      </c>
      <c r="Z41" t="s">
        <v>340</v>
      </c>
      <c r="AA41">
        <v>2</v>
      </c>
      <c r="AG41" s="70">
        <v>3</v>
      </c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4"/>
    </row>
    <row r="42" spans="2:46" x14ac:dyDescent="0.25">
      <c r="B42" s="29">
        <v>5</v>
      </c>
      <c r="C42" s="51" t="s">
        <v>1174</v>
      </c>
      <c r="D42" s="58" t="s">
        <v>77</v>
      </c>
      <c r="E42" s="31" t="e">
        <f t="shared" si="102"/>
        <v>#N/A</v>
      </c>
      <c r="F42" s="230" t="e">
        <f t="shared" si="95"/>
        <v>#N/A</v>
      </c>
      <c r="G42" s="230" t="e">
        <f t="shared" si="98"/>
        <v>#N/A</v>
      </c>
      <c r="H42" s="8" t="e">
        <f t="shared" si="99"/>
        <v>#N/A</v>
      </c>
      <c r="I42" s="82">
        <v>4</v>
      </c>
      <c r="J42" s="369" t="e">
        <f>IF($C42="","",INDEX(AllBatters[[#All],[CON]],MATCH($C42,AllBatters[[#All],[Name]],0)))</f>
        <v>#N/A</v>
      </c>
      <c r="K42" s="365" t="e">
        <f>IF($C42="","",INDEX(AllBatters[[#All],[GAP]],MATCH($C42,AllBatters[[#All],[Name]],0)))</f>
        <v>#N/A</v>
      </c>
      <c r="L42" s="365" t="e">
        <f>IF($C42="","",INDEX(AllBatters[[#All],[POW]],MATCH($C42,AllBatters[[#All],[Name]],0)))</f>
        <v>#N/A</v>
      </c>
      <c r="M42" s="365" t="e">
        <f>IF($C42="","",INDEX(AllBatters[[#All],[EYE]],MATCH($C42,AllBatters[[#All],[Name]],0)))</f>
        <v>#N/A</v>
      </c>
      <c r="N42" s="365" t="e">
        <f>IF($C42="","",INDEX(AllBatters[[#All],[K''s]],MATCH($C42,AllBatters[[#All],[Name]],0)))</f>
        <v>#N/A</v>
      </c>
      <c r="O42" s="369" t="e">
        <f>IF($C42="","",INDEX(AllBatters[[#All],[SPE]],MATCH($C42,AllBatters[[#All],[Name]],0)))</f>
        <v>#N/A</v>
      </c>
      <c r="P42" s="366" t="e">
        <f>IF($C42="","",INDEX(AllBatters[[#All],[STE]],MATCH($C42,AllBatters[[#All],[Name]],0)))</f>
        <v>#N/A</v>
      </c>
      <c r="Q42" s="108" t="e">
        <f t="shared" si="96"/>
        <v>#N/A</v>
      </c>
      <c r="R42" s="94" t="e">
        <f t="shared" si="97"/>
        <v>#N/A</v>
      </c>
      <c r="T42" s="46" t="s">
        <v>76</v>
      </c>
      <c r="U42" s="46">
        <v>6</v>
      </c>
      <c r="V42" s="231">
        <v>9</v>
      </c>
      <c r="W42" s="230">
        <f t="shared" si="100"/>
        <v>7</v>
      </c>
      <c r="X42" s="231">
        <f t="shared" si="101"/>
        <v>10</v>
      </c>
      <c r="Z42" t="s">
        <v>339</v>
      </c>
      <c r="AA42">
        <v>4</v>
      </c>
      <c r="AG42" s="70">
        <v>4</v>
      </c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4"/>
    </row>
    <row r="43" spans="2:46" x14ac:dyDescent="0.25">
      <c r="B43" s="29">
        <v>6</v>
      </c>
      <c r="C43" s="51" t="s">
        <v>1034</v>
      </c>
      <c r="D43" s="58" t="s">
        <v>78</v>
      </c>
      <c r="E43" s="31" t="str">
        <f t="shared" si="102"/>
        <v>-</v>
      </c>
      <c r="F43" s="230">
        <f t="shared" si="95"/>
        <v>0</v>
      </c>
      <c r="G43" s="230">
        <f t="shared" si="98"/>
        <v>7</v>
      </c>
      <c r="H43" s="8">
        <f t="shared" si="99"/>
        <v>5.083333333333333</v>
      </c>
      <c r="I43" s="82">
        <v>6</v>
      </c>
      <c r="J43" s="369">
        <f>IF($C43="","",INDEX(AllBatters[[#All],[CON]],MATCH($C43,AllBatters[[#All],[Name]],0)))</f>
        <v>5</v>
      </c>
      <c r="K43" s="365">
        <f>IF($C43="","",INDEX(AllBatters[[#All],[GAP]],MATCH($C43,AllBatters[[#All],[Name]],0)))</f>
        <v>3</v>
      </c>
      <c r="L43" s="365">
        <f>IF($C43="","",INDEX(AllBatters[[#All],[POW]],MATCH($C43,AllBatters[[#All],[Name]],0)))</f>
        <v>8</v>
      </c>
      <c r="M43" s="365">
        <f>IF($C43="","",INDEX(AllBatters[[#All],[EYE]],MATCH($C43,AllBatters[[#All],[Name]],0)))</f>
        <v>3</v>
      </c>
      <c r="N43" s="365">
        <f>IF($C43="","",INDEX(AllBatters[[#All],[K''s]],MATCH($C43,AllBatters[[#All],[Name]],0)))</f>
        <v>4</v>
      </c>
      <c r="O43" s="369">
        <f>IF($C43="","",INDEX(AllBatters[[#All],[SPE]],MATCH($C43,AllBatters[[#All],[Name]],0)))</f>
        <v>7</v>
      </c>
      <c r="P43" s="366">
        <f>IF($C43="","",INDEX(AllBatters[[#All],[STE]],MATCH($C43,AllBatters[[#All],[Name]],0)))</f>
        <v>10</v>
      </c>
      <c r="Q43" s="108">
        <f t="shared" si="96"/>
        <v>7</v>
      </c>
      <c r="R43" s="94">
        <f t="shared" si="97"/>
        <v>7</v>
      </c>
      <c r="T43" s="46" t="s">
        <v>77</v>
      </c>
      <c r="U43" s="46">
        <v>7</v>
      </c>
      <c r="V43" s="231">
        <v>10</v>
      </c>
      <c r="W43" s="230" t="e">
        <f t="shared" si="100"/>
        <v>#N/A</v>
      </c>
      <c r="X43" s="231" t="e">
        <f t="shared" si="101"/>
        <v>#N/A</v>
      </c>
      <c r="Z43" t="s">
        <v>343</v>
      </c>
      <c r="AA43">
        <v>6</v>
      </c>
      <c r="AG43" s="70">
        <v>5</v>
      </c>
      <c r="AH43" s="403"/>
      <c r="AI43" s="404"/>
      <c r="AJ43" s="404"/>
      <c r="AK43" s="404"/>
      <c r="AL43" s="404"/>
      <c r="AM43" s="404"/>
      <c r="AN43" s="404"/>
      <c r="AO43" s="404"/>
      <c r="AP43" s="404"/>
      <c r="AQ43" s="404"/>
      <c r="AR43" s="404"/>
      <c r="AS43" s="404"/>
      <c r="AT43" s="405"/>
    </row>
    <row r="44" spans="2:46" x14ac:dyDescent="0.25">
      <c r="B44" s="29">
        <v>7</v>
      </c>
      <c r="C44" s="51" t="s">
        <v>1160</v>
      </c>
      <c r="D44" s="58" t="s">
        <v>76</v>
      </c>
      <c r="E44" s="31" t="str">
        <f t="shared" si="102"/>
        <v>-</v>
      </c>
      <c r="F44" s="230">
        <f t="shared" si="95"/>
        <v>0</v>
      </c>
      <c r="G44" s="230">
        <f t="shared" si="98"/>
        <v>9</v>
      </c>
      <c r="H44" s="8">
        <f t="shared" si="99"/>
        <v>3.833333333333333</v>
      </c>
      <c r="I44" s="82">
        <v>7</v>
      </c>
      <c r="J44" s="369">
        <f>IF($C44="","",INDEX(AllBatters[[#All],[CON]],MATCH($C44,AllBatters[[#All],[Name]],0)))</f>
        <v>5</v>
      </c>
      <c r="K44" s="365">
        <f>IF($C44="","",INDEX(AllBatters[[#All],[GAP]],MATCH($C44,AllBatters[[#All],[Name]],0)))</f>
        <v>5</v>
      </c>
      <c r="L44" s="365">
        <f>IF($C44="","",INDEX(AllBatters[[#All],[POW]],MATCH($C44,AllBatters[[#All],[Name]],0)))</f>
        <v>2</v>
      </c>
      <c r="M44" s="365">
        <f>IF($C44="","",INDEX(AllBatters[[#All],[EYE]],MATCH($C44,AllBatters[[#All],[Name]],0)))</f>
        <v>6</v>
      </c>
      <c r="N44" s="365">
        <f>IF($C44="","",INDEX(AllBatters[[#All],[K''s]],MATCH($C44,AllBatters[[#All],[Name]],0)))</f>
        <v>9</v>
      </c>
      <c r="O44" s="369">
        <f>IF($C44="","",INDEX(AllBatters[[#All],[SPE]],MATCH($C44,AllBatters[[#All],[Name]],0)))</f>
        <v>5</v>
      </c>
      <c r="P44" s="366">
        <f>IF($C44="","",INDEX(AllBatters[[#All],[STE]],MATCH($C44,AllBatters[[#All],[Name]],0)))</f>
        <v>9</v>
      </c>
      <c r="Q44" s="108">
        <f t="shared" si="96"/>
        <v>7</v>
      </c>
      <c r="R44" s="94">
        <f t="shared" si="97"/>
        <v>10</v>
      </c>
      <c r="T44" s="46" t="s">
        <v>78</v>
      </c>
      <c r="U44" s="46">
        <v>8</v>
      </c>
      <c r="V44" s="231">
        <v>10</v>
      </c>
      <c r="W44" s="230">
        <f t="shared" si="100"/>
        <v>7</v>
      </c>
      <c r="X44" s="231">
        <f t="shared" si="101"/>
        <v>7</v>
      </c>
      <c r="Z44" t="s">
        <v>344</v>
      </c>
      <c r="AA44">
        <v>7</v>
      </c>
      <c r="AG44" s="70">
        <v>6</v>
      </c>
      <c r="AH44" s="392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4"/>
    </row>
    <row r="45" spans="2:46" x14ac:dyDescent="0.25">
      <c r="B45" s="29">
        <v>8</v>
      </c>
      <c r="C45" s="51" t="s">
        <v>1036</v>
      </c>
      <c r="D45" s="58" t="s">
        <v>75</v>
      </c>
      <c r="E45" s="31" t="str">
        <f t="shared" si="102"/>
        <v>-</v>
      </c>
      <c r="F45" s="230">
        <f t="shared" si="95"/>
        <v>1</v>
      </c>
      <c r="G45" s="230">
        <f t="shared" si="98"/>
        <v>8</v>
      </c>
      <c r="H45" s="8">
        <f t="shared" si="99"/>
        <v>4.833333333333333</v>
      </c>
      <c r="I45" s="82">
        <v>8</v>
      </c>
      <c r="J45" s="369">
        <f>IF($C45="","",INDEX(AllBatters[[#All],[CON]],MATCH($C45,AllBatters[[#All],[Name]],0)))</f>
        <v>5</v>
      </c>
      <c r="K45" s="365">
        <f>IF($C45="","",INDEX(AllBatters[[#All],[GAP]],MATCH($C45,AllBatters[[#All],[Name]],0)))</f>
        <v>7</v>
      </c>
      <c r="L45" s="365">
        <f>IF($C45="","",INDEX(AllBatters[[#All],[POW]],MATCH($C45,AllBatters[[#All],[Name]],0)))</f>
        <v>6</v>
      </c>
      <c r="M45" s="365">
        <f>IF($C45="","",INDEX(AllBatters[[#All],[EYE]],MATCH($C45,AllBatters[[#All],[Name]],0)))</f>
        <v>5</v>
      </c>
      <c r="N45" s="365">
        <f>IF($C45="","",INDEX(AllBatters[[#All],[K''s]],MATCH($C45,AllBatters[[#All],[Name]],0)))</f>
        <v>5</v>
      </c>
      <c r="O45" s="369">
        <f>IF($C45="","",INDEX(AllBatters[[#All],[SPE]],MATCH($C45,AllBatters[[#All],[Name]],0)))</f>
        <v>3</v>
      </c>
      <c r="P45" s="366">
        <f>IF($C45="","",INDEX(AllBatters[[#All],[STE]],MATCH($C45,AllBatters[[#All],[Name]],0)))</f>
        <v>4</v>
      </c>
      <c r="Q45" s="108">
        <f t="shared" si="96"/>
        <v>7</v>
      </c>
      <c r="R45" s="94">
        <f t="shared" si="97"/>
        <v>10</v>
      </c>
      <c r="T45" s="47" t="s">
        <v>79</v>
      </c>
      <c r="U45" s="47">
        <v>9</v>
      </c>
      <c r="V45" s="229">
        <v>10</v>
      </c>
      <c r="W45" s="228">
        <f t="shared" si="100"/>
        <v>5</v>
      </c>
      <c r="X45" s="229">
        <f t="shared" si="101"/>
        <v>10</v>
      </c>
      <c r="Z45" t="s">
        <v>345</v>
      </c>
      <c r="AA45">
        <v>8</v>
      </c>
      <c r="AG45" s="70">
        <v>7</v>
      </c>
      <c r="AH45" s="392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4"/>
    </row>
    <row r="46" spans="2:46" x14ac:dyDescent="0.25">
      <c r="B46" s="32">
        <v>9</v>
      </c>
      <c r="C46" s="52" t="s">
        <v>1037</v>
      </c>
      <c r="D46" s="33" t="s">
        <v>71</v>
      </c>
      <c r="E46" s="35">
        <f t="shared" si="102"/>
        <v>5</v>
      </c>
      <c r="F46" s="228">
        <f t="shared" si="95"/>
        <v>1</v>
      </c>
      <c r="G46" s="228">
        <f t="shared" si="98"/>
        <v>8</v>
      </c>
      <c r="H46" s="62">
        <f t="shared" si="99"/>
        <v>4.166666666666667</v>
      </c>
      <c r="I46" s="83">
        <v>9</v>
      </c>
      <c r="J46" s="47">
        <f>IF($C46="","",INDEX(AllBatters[[#All],[CON]],MATCH($C46,AllBatters[[#All],[Name]],0)))</f>
        <v>5</v>
      </c>
      <c r="K46" s="367">
        <f>IF($C46="","",INDEX(AllBatters[[#All],[GAP]],MATCH($C46,AllBatters[[#All],[Name]],0)))</f>
        <v>9</v>
      </c>
      <c r="L46" s="367">
        <f>IF($C46="","",INDEX(AllBatters[[#All],[POW]],MATCH($C46,AllBatters[[#All],[Name]],0)))</f>
        <v>6</v>
      </c>
      <c r="M46" s="367">
        <f>IF($C46="","",INDEX(AllBatters[[#All],[EYE]],MATCH($C46,AllBatters[[#All],[Name]],0)))</f>
        <v>3</v>
      </c>
      <c r="N46" s="367">
        <f>IF($C46="","",INDEX(AllBatters[[#All],[K''s]],MATCH($C46,AllBatters[[#All],[Name]],0)))</f>
        <v>7</v>
      </c>
      <c r="O46" s="47">
        <f>IF($C46="","",INDEX(AllBatters[[#All],[SPE]],MATCH($C46,AllBatters[[#All],[Name]],0)))</f>
        <v>1</v>
      </c>
      <c r="P46" s="368">
        <f>IF($C46="","",INDEX(AllBatters[[#All],[STE]],MATCH($C46,AllBatters[[#All],[Name]],0)))</f>
        <v>4</v>
      </c>
      <c r="Q46" s="109">
        <f t="shared" si="96"/>
        <v>5</v>
      </c>
      <c r="R46" s="95">
        <f t="shared" si="97"/>
        <v>7</v>
      </c>
      <c r="Z46" t="s">
        <v>342</v>
      </c>
      <c r="AA46">
        <v>9</v>
      </c>
      <c r="AG46" s="70">
        <v>8</v>
      </c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</row>
    <row r="47" spans="2:46" x14ac:dyDescent="0.25">
      <c r="B47" s="4"/>
      <c r="C47" s="30"/>
      <c r="D47" s="30"/>
      <c r="E47" s="30"/>
      <c r="F47" s="230"/>
      <c r="G47" s="230"/>
      <c r="H47" s="9"/>
      <c r="AG47" s="70">
        <v>9</v>
      </c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T47" s="397"/>
    </row>
    <row r="48" spans="2:46" x14ac:dyDescent="0.25">
      <c r="B48" s="25" t="s">
        <v>171</v>
      </c>
      <c r="C48" s="28">
        <f>COUNTA(C3:C11,C14:C19,C22:C24)</f>
        <v>15</v>
      </c>
      <c r="D48" s="250">
        <f>C48/$C$50</f>
        <v>0.5357142857142857</v>
      </c>
      <c r="E48" s="30"/>
      <c r="F48" s="5"/>
      <c r="G48" s="5"/>
      <c r="H48" s="9"/>
      <c r="AG48" s="71">
        <v>10</v>
      </c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9"/>
    </row>
    <row r="49" spans="1:33" x14ac:dyDescent="0.25">
      <c r="B49" s="29" t="s">
        <v>172</v>
      </c>
      <c r="C49" s="31">
        <f>COUNTA(C53:C58,C61:C62,C65:C74)</f>
        <v>13</v>
      </c>
      <c r="D49" s="250">
        <f>C49/$C$50</f>
        <v>0.4642857142857143</v>
      </c>
      <c r="E49" s="30"/>
      <c r="F49" s="5"/>
      <c r="G49" s="5"/>
      <c r="H49" s="9"/>
    </row>
    <row r="50" spans="1:33" x14ac:dyDescent="0.25">
      <c r="B50" s="32" t="s">
        <v>173</v>
      </c>
      <c r="C50" s="35">
        <f>C48+C49</f>
        <v>28</v>
      </c>
      <c r="D50" s="30"/>
      <c r="E50" s="30"/>
      <c r="F50" s="5"/>
      <c r="G50" s="5"/>
      <c r="H50" s="9"/>
    </row>
    <row r="51" spans="1:33" x14ac:dyDescent="0.25">
      <c r="I51">
        <v>12</v>
      </c>
      <c r="K51">
        <v>17</v>
      </c>
      <c r="L51">
        <v>18</v>
      </c>
      <c r="M51">
        <v>19</v>
      </c>
      <c r="N51">
        <v>23</v>
      </c>
      <c r="O51">
        <v>25</v>
      </c>
      <c r="P51">
        <v>27</v>
      </c>
      <c r="Q51">
        <v>29</v>
      </c>
      <c r="R51">
        <v>31</v>
      </c>
      <c r="S51">
        <v>33</v>
      </c>
      <c r="T51">
        <v>35</v>
      </c>
      <c r="U51">
        <v>37</v>
      </c>
      <c r="V51">
        <v>39</v>
      </c>
      <c r="W51">
        <v>41</v>
      </c>
      <c r="X51">
        <v>43</v>
      </c>
      <c r="Y51">
        <v>45</v>
      </c>
      <c r="Z51">
        <v>47</v>
      </c>
      <c r="AA51">
        <v>48</v>
      </c>
      <c r="AB51">
        <v>49</v>
      </c>
      <c r="AC51">
        <v>52</v>
      </c>
      <c r="AD51">
        <v>20</v>
      </c>
      <c r="AE51">
        <v>21</v>
      </c>
      <c r="AF51">
        <v>22</v>
      </c>
      <c r="AG51">
        <v>54</v>
      </c>
    </row>
    <row r="52" spans="1:33" s="5" customFormat="1" ht="74.25" x14ac:dyDescent="0.25">
      <c r="A52" s="66" t="s">
        <v>170</v>
      </c>
      <c r="B52" s="36" t="s">
        <v>104</v>
      </c>
      <c r="C52" s="37" t="s">
        <v>96</v>
      </c>
      <c r="D52" s="37" t="s">
        <v>70</v>
      </c>
      <c r="E52" s="43" t="s">
        <v>81</v>
      </c>
      <c r="F52" s="39" t="s">
        <v>160</v>
      </c>
      <c r="G52" s="39" t="s">
        <v>161</v>
      </c>
      <c r="H52" s="39" t="s">
        <v>162</v>
      </c>
      <c r="I52" s="69" t="s">
        <v>189</v>
      </c>
      <c r="J52" s="69" t="s">
        <v>166</v>
      </c>
      <c r="K52" s="67" t="s">
        <v>163</v>
      </c>
      <c r="L52" s="67" t="s">
        <v>164</v>
      </c>
      <c r="M52" s="68" t="s">
        <v>165</v>
      </c>
      <c r="N52" s="67" t="s">
        <v>40</v>
      </c>
      <c r="O52" s="67" t="s">
        <v>42</v>
      </c>
      <c r="P52" s="67" t="s">
        <v>44</v>
      </c>
      <c r="Q52" s="67" t="s">
        <v>46</v>
      </c>
      <c r="R52" s="67" t="s">
        <v>48</v>
      </c>
      <c r="S52" s="67" t="s">
        <v>87</v>
      </c>
      <c r="T52" s="67" t="s">
        <v>51</v>
      </c>
      <c r="U52" s="67" t="s">
        <v>53</v>
      </c>
      <c r="V52" s="67" t="s">
        <v>55</v>
      </c>
      <c r="W52" s="67" t="s">
        <v>57</v>
      </c>
      <c r="X52" s="67" t="s">
        <v>59</v>
      </c>
      <c r="Y52" s="68" t="s">
        <v>61</v>
      </c>
      <c r="Z52" s="72" t="s">
        <v>176</v>
      </c>
      <c r="AA52" s="67" t="s">
        <v>175</v>
      </c>
      <c r="AB52" s="68" t="s">
        <v>177</v>
      </c>
      <c r="AC52" s="251" t="s">
        <v>354</v>
      </c>
      <c r="AD52" s="67" t="s">
        <v>163</v>
      </c>
      <c r="AE52" s="67" t="s">
        <v>164</v>
      </c>
      <c r="AF52" s="68" t="s">
        <v>165</v>
      </c>
      <c r="AG52" s="251" t="s">
        <v>174</v>
      </c>
    </row>
    <row r="53" spans="1:33" x14ac:dyDescent="0.25">
      <c r="A53" s="5">
        <v>1</v>
      </c>
      <c r="B53" s="29" t="s">
        <v>87</v>
      </c>
      <c r="C53" s="295" t="s">
        <v>1289</v>
      </c>
      <c r="D53" s="30">
        <f>IF($C53="","",INDEX(AllPitchers[[#All],[Age]],MATCH($C53,AllPitchers[[#All],[Name]],0)))</f>
        <v>31</v>
      </c>
      <c r="E53" s="31" t="str">
        <f>IF($C53="","",INDEX(AllPitchers[[#All],[T]],MATCH($C53,AllPitchers[[#All],[Name]],0)))</f>
        <v>L</v>
      </c>
      <c r="F53" s="5">
        <f t="shared" ref="F53:F58" si="103">IF($C53="","",IF(AVERAGE(K53:M53)&gt;7,1,0))</f>
        <v>1</v>
      </c>
      <c r="G53" s="5">
        <f t="shared" ref="G53:G58" si="104">IF($C53="","",IF(AVERAGE(K53:M53)&gt;6.5,1,0))</f>
        <v>1</v>
      </c>
      <c r="H53" s="5">
        <f t="shared" ref="H53:H58" si="105">IF($C53="","",IF(AVERAGE(K53:M53)&gt;6,1,0))</f>
        <v>1</v>
      </c>
      <c r="I53" s="91" t="str">
        <f>IF($C53="","",VLOOKUP($C53,AMAPit!$A$10:$BJ$122,I$51,FALSE))</f>
        <v>L</v>
      </c>
      <c r="J53" s="70">
        <f t="shared" ref="J53:J58" si="106">IF($C53="","",COUNT(N53:Y53))</f>
        <v>4</v>
      </c>
      <c r="K53" s="5">
        <f>IF($C53="","",INDEX(AllPitchers[[#All],[STU]],MATCH($C53,AllPitchers[[#All],[Name]],0)))</f>
        <v>10</v>
      </c>
      <c r="L53" s="5">
        <f>IF($C53="","",INDEX(AllPitchers[[#All],[MOV]],MATCH($C53,AllPitchers[[#All],[Name]],0)))</f>
        <v>7</v>
      </c>
      <c r="M53" s="3">
        <f>IF($C53="","",INDEX(AllPitchers[[#All],[CON]],MATCH($C53,AllPitchers[[#All],[Name]],0)))</f>
        <v>5</v>
      </c>
      <c r="N53" s="5">
        <f>IF($C53="","",INDEX(AllPitchers[[#All],[FB]],MATCH($C53,AllPitchers[[#All],[Name]],0)))</f>
        <v>10</v>
      </c>
      <c r="O53" s="5">
        <f>IF($C53="","",INDEX(AllPitchers[[#All],[CH]],MATCH($C53,AllPitchers[[#All],[Name]],0)))</f>
        <v>10</v>
      </c>
      <c r="P53" s="5">
        <f>IF($C53="","",INDEX(AllPitchers[[#All],[CH]],MATCH($C53,AllPitchers[[#All],[Name]],0)))</f>
        <v>10</v>
      </c>
      <c r="Q53" s="5" t="str">
        <f>IF($C53="","",INDEX(AllPitchers[[#All],[SL]],MATCH($C53,AllPitchers[[#All],[Name]],0)))</f>
        <v>-</v>
      </c>
      <c r="R53" s="5">
        <f>IF($C53="","",INDEX(AllPitchers[[#All],[SI]],MATCH($C53,AllPitchers[[#All],[Name]],0)))</f>
        <v>8</v>
      </c>
      <c r="S53" s="5" t="str">
        <f>IF($C53="","",INDEX(AllPitchers[[#All],[SP]],MATCH($C53,AllPitchers[[#All],[Name]],0)))</f>
        <v>-</v>
      </c>
      <c r="T53" s="5" t="str">
        <f>IF($C53="","",INDEX(AllPitchers[[#All],[CT]],MATCH($C53,AllPitchers[[#All],[Name]],0)))</f>
        <v>-</v>
      </c>
      <c r="U53" s="5" t="str">
        <f>IF($C53="","",INDEX(AllPitchers[[#All],[FO]],MATCH($C53,AllPitchers[[#All],[Name]],0)))</f>
        <v>-</v>
      </c>
      <c r="V53" s="5" t="str">
        <f>IF($C53="","",INDEX(AllPitchers[[#All],[CC]],MATCH($C53,AllPitchers[[#All],[Name]],0)))</f>
        <v>-</v>
      </c>
      <c r="W53" s="5" t="str">
        <f>IF($C53="","",INDEX(AllPitchers[[#All],[SC]],MATCH($C53,AllPitchers[[#All],[Name]],0)))</f>
        <v>-</v>
      </c>
      <c r="X53" s="5" t="str">
        <f>IF($C53="","",INDEX(AllPitchers[[#All],[KC]],MATCH($C53,AllPitchers[[#All],[Name]],0)))</f>
        <v>-</v>
      </c>
      <c r="Y53" s="3" t="str">
        <f>IF($C53="","",INDEX(AllPitchers[[#All],[KN]],MATCH($C53,AllPitchers[[#All],[Name]],0)))</f>
        <v>-</v>
      </c>
      <c r="Z53" s="46" t="str">
        <f>IF($C53="","",INDEX(AllPitchers[[#All],[VELO]],MATCH($C53,AllPitchers[[#All],[Name]],0)))</f>
        <v>99-101 Mph</v>
      </c>
      <c r="AA53" s="5">
        <f>IF($C53="","",INDEX(AllPitchers[[#All],[STM]],MATCH($C53,AllPitchers[[#All],[Name]],0)))</f>
        <v>10</v>
      </c>
      <c r="AB53" s="73" t="str">
        <f>IF($C53="","",INDEX(AllPitchers[[#All],[G/F]],MATCH($C53,AllPitchers[[#All],[Name]],0)))</f>
        <v>EX GB</v>
      </c>
      <c r="AC53" s="252">
        <f>IF($C53="","",INDEX(AllPitchers[[#All],[OVR SMC]],MATCH($C53,AllPitchers[[#All],[Name]],0)))</f>
        <v>7.833333333333333</v>
      </c>
      <c r="AD53" s="238">
        <f>IF($C53="","",INDEX(AllPitchers[[#All],[STU P]],MATCH($C53,AllPitchers[[#All],[Name]],0)))</f>
        <v>10</v>
      </c>
      <c r="AE53" s="238">
        <f>IF($C53="","",INDEX(AllPitchers[[#All],[MOV P]],MATCH($C53,AllPitchers[[#All],[Name]],0)))</f>
        <v>7</v>
      </c>
      <c r="AF53" s="239">
        <f>IF($C53="","",INDEX(AllPitchers[[#All],[CON P]],MATCH($C53,AllPitchers[[#All],[Name]],0)))</f>
        <v>5</v>
      </c>
      <c r="AG53" s="252">
        <f>IF($C53="","",INDEX(AllPitchers[[#All],[POT SMC]],MATCH($C53,AllPitchers[[#All],[Name]],0)))</f>
        <v>7.833333333333333</v>
      </c>
    </row>
    <row r="54" spans="1:33" x14ac:dyDescent="0.25">
      <c r="A54" s="5">
        <v>2</v>
      </c>
      <c r="B54" s="29" t="s">
        <v>87</v>
      </c>
      <c r="C54" s="330" t="s">
        <v>541</v>
      </c>
      <c r="D54" s="30">
        <f>IF($C54="","",INDEX(AllPitchers[[#All],[Age]],MATCH($C54,AllPitchers[[#All],[Name]],0)))</f>
        <v>27</v>
      </c>
      <c r="E54" s="31" t="str">
        <f>IF($C54="","",INDEX(AllPitchers[[#All],[T]],MATCH($C54,AllPitchers[[#All],[Name]],0)))</f>
        <v>R</v>
      </c>
      <c r="F54" s="5">
        <f t="shared" si="103"/>
        <v>0</v>
      </c>
      <c r="G54" s="5">
        <f t="shared" si="104"/>
        <v>1</v>
      </c>
      <c r="H54" s="5">
        <f t="shared" si="105"/>
        <v>1</v>
      </c>
      <c r="I54" s="92" t="str">
        <f>IF($C54="","",VLOOKUP($C54,AMAPit!$A$10:$BJ$122,I$51,FALSE))</f>
        <v>R</v>
      </c>
      <c r="J54" s="70">
        <f t="shared" si="106"/>
        <v>5</v>
      </c>
      <c r="K54" s="5">
        <f>IF($C54="","",INDEX(AllPitchers[[#All],[STU]],MATCH($C54,AllPitchers[[#All],[Name]],0)))</f>
        <v>7</v>
      </c>
      <c r="L54" s="5">
        <f>IF($C54="","",INDEX(AllPitchers[[#All],[MOV]],MATCH($C54,AllPitchers[[#All],[Name]],0)))</f>
        <v>7</v>
      </c>
      <c r="M54" s="3">
        <f>IF($C54="","",INDEX(AllPitchers[[#All],[CON]],MATCH($C54,AllPitchers[[#All],[Name]],0)))</f>
        <v>7</v>
      </c>
      <c r="N54" s="5">
        <f>IF($C54="","",INDEX(AllPitchers[[#All],[FB]],MATCH($C54,AllPitchers[[#All],[Name]],0)))</f>
        <v>7</v>
      </c>
      <c r="O54" s="5">
        <f>IF($C54="","",INDEX(AllPitchers[[#All],[CH]],MATCH($C54,AllPitchers[[#All],[Name]],0)))</f>
        <v>3</v>
      </c>
      <c r="P54" s="5">
        <f>IF($C54="","",INDEX(AllPitchers[[#All],[CH]],MATCH($C54,AllPitchers[[#All],[Name]],0)))</f>
        <v>3</v>
      </c>
      <c r="Q54" s="5" t="str">
        <f>IF($C54="","",INDEX(AllPitchers[[#All],[SL]],MATCH($C54,AllPitchers[[#All],[Name]],0)))</f>
        <v>-</v>
      </c>
      <c r="R54" s="5">
        <f>IF($C54="","",INDEX(AllPitchers[[#All],[SI]],MATCH($C54,AllPitchers[[#All],[Name]],0)))</f>
        <v>8</v>
      </c>
      <c r="S54" s="5" t="str">
        <f>IF($C54="","",INDEX(AllPitchers[[#All],[SP]],MATCH($C54,AllPitchers[[#All],[Name]],0)))</f>
        <v>-</v>
      </c>
      <c r="T54" s="5" t="str">
        <f>IF($C54="","",INDEX(AllPitchers[[#All],[CT]],MATCH($C54,AllPitchers[[#All],[Name]],0)))</f>
        <v>-</v>
      </c>
      <c r="U54" s="5">
        <f>IF($C54="","",INDEX(AllPitchers[[#All],[FO]],MATCH($C54,AllPitchers[[#All],[Name]],0)))</f>
        <v>8</v>
      </c>
      <c r="V54" s="5" t="str">
        <f>IF($C54="","",INDEX(AllPitchers[[#All],[CC]],MATCH($C54,AllPitchers[[#All],[Name]],0)))</f>
        <v>-</v>
      </c>
      <c r="W54" s="5" t="str">
        <f>IF($C54="","",INDEX(AllPitchers[[#All],[SC]],MATCH($C54,AllPitchers[[#All],[Name]],0)))</f>
        <v>-</v>
      </c>
      <c r="X54" s="5" t="str">
        <f>IF($C54="","",INDEX(AllPitchers[[#All],[KC]],MATCH($C54,AllPitchers[[#All],[Name]],0)))</f>
        <v>-</v>
      </c>
      <c r="Y54" s="3" t="str">
        <f>IF($C54="","",INDEX(AllPitchers[[#All],[KN]],MATCH($C54,AllPitchers[[#All],[Name]],0)))</f>
        <v>-</v>
      </c>
      <c r="Z54" s="46" t="str">
        <f>IF($C54="","",INDEX(AllPitchers[[#All],[VELO]],MATCH($C54,AllPitchers[[#All],[Name]],0)))</f>
        <v>96-98 Mph</v>
      </c>
      <c r="AA54" s="5">
        <f>IF($C54="","",INDEX(AllPitchers[[#All],[STM]],MATCH($C54,AllPitchers[[#All],[Name]],0)))</f>
        <v>9</v>
      </c>
      <c r="AB54" s="73" t="str">
        <f>IF($C54="","",INDEX(AllPitchers[[#All],[G/F]],MATCH($C54,AllPitchers[[#All],[Name]],0)))</f>
        <v>NEU</v>
      </c>
      <c r="AC54" s="60">
        <f>IF($C54="","",INDEX(AllPitchers[[#All],[OVR SMC]],MATCH($C54,AllPitchers[[#All],[Name]],0)))</f>
        <v>8</v>
      </c>
      <c r="AD54" s="238">
        <f>IF($C54="","",INDEX(AllPitchers[[#All],[STU P]],MATCH($C54,AllPitchers[[#All],[Name]],0)))</f>
        <v>7</v>
      </c>
      <c r="AE54" s="238">
        <f>IF($C54="","",INDEX(AllPitchers[[#All],[MOV P]],MATCH($C54,AllPitchers[[#All],[Name]],0)))</f>
        <v>7</v>
      </c>
      <c r="AF54" s="239">
        <f>IF($C54="","",INDEX(AllPitchers[[#All],[CON P]],MATCH($C54,AllPitchers[[#All],[Name]],0)))</f>
        <v>8</v>
      </c>
      <c r="AG54" s="60">
        <f>IF($C54="","",INDEX(AllPitchers[[#All],[POT SMC]],MATCH($C54,AllPitchers[[#All],[Name]],0)))</f>
        <v>8.3333333333333321</v>
      </c>
    </row>
    <row r="55" spans="1:33" x14ac:dyDescent="0.25">
      <c r="A55" s="5">
        <v>3</v>
      </c>
      <c r="B55" s="29" t="s">
        <v>87</v>
      </c>
      <c r="C55" s="317" t="s">
        <v>742</v>
      </c>
      <c r="D55" s="30">
        <f>IF($C55="","",INDEX(AllPitchers[[#All],[Age]],MATCH($C55,AllPitchers[[#All],[Name]],0)))</f>
        <v>24</v>
      </c>
      <c r="E55" s="31" t="str">
        <f>IF($C55="","",INDEX(AllPitchers[[#All],[T]],MATCH($C55,AllPitchers[[#All],[Name]],0)))</f>
        <v>R</v>
      </c>
      <c r="F55" s="5">
        <f t="shared" si="103"/>
        <v>0</v>
      </c>
      <c r="G55" s="5">
        <f t="shared" si="104"/>
        <v>1</v>
      </c>
      <c r="H55" s="5">
        <f t="shared" si="105"/>
        <v>1</v>
      </c>
      <c r="I55" s="92" t="str">
        <f>IF($C55="","",VLOOKUP($C55,AMAPit!$A$10:$BJ$122,I$51,FALSE))</f>
        <v>R</v>
      </c>
      <c r="J55" s="70">
        <f t="shared" si="106"/>
        <v>5</v>
      </c>
      <c r="K55" s="5">
        <f>IF($C55="","",INDEX(AllPitchers[[#All],[STU]],MATCH($C55,AllPitchers[[#All],[Name]],0)))</f>
        <v>9</v>
      </c>
      <c r="L55" s="5">
        <f>IF($C55="","",INDEX(AllPitchers[[#All],[MOV]],MATCH($C55,AllPitchers[[#All],[Name]],0)))</f>
        <v>4</v>
      </c>
      <c r="M55" s="3">
        <f>IF($C55="","",INDEX(AllPitchers[[#All],[CON]],MATCH($C55,AllPitchers[[#All],[Name]],0)))</f>
        <v>7</v>
      </c>
      <c r="N55" s="5">
        <f>IF($C55="","",INDEX(AllPitchers[[#All],[FB]],MATCH($C55,AllPitchers[[#All],[Name]],0)))</f>
        <v>8</v>
      </c>
      <c r="O55" s="5">
        <f>IF($C55="","",INDEX(AllPitchers[[#All],[CH]],MATCH($C55,AllPitchers[[#All],[Name]],0)))</f>
        <v>5</v>
      </c>
      <c r="P55" s="5">
        <f>IF($C55="","",INDEX(AllPitchers[[#All],[CH]],MATCH($C55,AllPitchers[[#All],[Name]],0)))</f>
        <v>5</v>
      </c>
      <c r="Q55" s="5">
        <f>IF($C55="","",INDEX(AllPitchers[[#All],[SL]],MATCH($C55,AllPitchers[[#All],[Name]],0)))</f>
        <v>3</v>
      </c>
      <c r="R55" s="5" t="str">
        <f>IF($C55="","",INDEX(AllPitchers[[#All],[SI]],MATCH($C55,AllPitchers[[#All],[Name]],0)))</f>
        <v>-</v>
      </c>
      <c r="S55" s="5" t="str">
        <f>IF($C55="","",INDEX(AllPitchers[[#All],[SP]],MATCH($C55,AllPitchers[[#All],[Name]],0)))</f>
        <v>-</v>
      </c>
      <c r="T55" s="5">
        <f>IF($C55="","",INDEX(AllPitchers[[#All],[CT]],MATCH($C55,AllPitchers[[#All],[Name]],0)))</f>
        <v>8</v>
      </c>
      <c r="U55" s="5" t="str">
        <f>IF($C55="","",INDEX(AllPitchers[[#All],[FO]],MATCH($C55,AllPitchers[[#All],[Name]],0)))</f>
        <v>-</v>
      </c>
      <c r="V55" s="5" t="str">
        <f>IF($C55="","",INDEX(AllPitchers[[#All],[CC]],MATCH($C55,AllPitchers[[#All],[Name]],0)))</f>
        <v>-</v>
      </c>
      <c r="W55" s="5" t="str">
        <f>IF($C55="","",INDEX(AllPitchers[[#All],[SC]],MATCH($C55,AllPitchers[[#All],[Name]],0)))</f>
        <v>-</v>
      </c>
      <c r="X55" s="5" t="str">
        <f>IF($C55="","",INDEX(AllPitchers[[#All],[KC]],MATCH($C55,AllPitchers[[#All],[Name]],0)))</f>
        <v>-</v>
      </c>
      <c r="Y55" s="3" t="str">
        <f>IF($C55="","",INDEX(AllPitchers[[#All],[KN]],MATCH($C55,AllPitchers[[#All],[Name]],0)))</f>
        <v>-</v>
      </c>
      <c r="Z55" s="46" t="str">
        <f>IF($C55="","",INDEX(AllPitchers[[#All],[VELO]],MATCH($C55,AllPitchers[[#All],[Name]],0)))</f>
        <v>93-95 Mph</v>
      </c>
      <c r="AA55" s="5">
        <f>IF($C55="","",INDEX(AllPitchers[[#All],[STM]],MATCH($C55,AllPitchers[[#All],[Name]],0)))</f>
        <v>6</v>
      </c>
      <c r="AB55" s="73" t="str">
        <f>IF($C55="","",INDEX(AllPitchers[[#All],[G/F]],MATCH($C55,AllPitchers[[#All],[Name]],0)))</f>
        <v>NEU</v>
      </c>
      <c r="AC55" s="60">
        <f>IF($C55="","",INDEX(AllPitchers[[#All],[OVR SMC]],MATCH($C55,AllPitchers[[#All],[Name]],0)))</f>
        <v>7.666666666666667</v>
      </c>
      <c r="AD55" s="238">
        <f>IF($C55="","",INDEX(AllPitchers[[#All],[STU P]],MATCH($C55,AllPitchers[[#All],[Name]],0)))</f>
        <v>9</v>
      </c>
      <c r="AE55" s="238">
        <f>IF($C55="","",INDEX(AllPitchers[[#All],[MOV P]],MATCH($C55,AllPitchers[[#All],[Name]],0)))</f>
        <v>4</v>
      </c>
      <c r="AF55" s="239">
        <f>IF($C55="","",INDEX(AllPitchers[[#All],[CON P]],MATCH($C55,AllPitchers[[#All],[Name]],0)))</f>
        <v>8</v>
      </c>
      <c r="AG55" s="60">
        <f>IF($C55="","",INDEX(AllPitchers[[#All],[POT SMC]],MATCH($C55,AllPitchers[[#All],[Name]],0)))</f>
        <v>8</v>
      </c>
    </row>
    <row r="56" spans="1:33" x14ac:dyDescent="0.25">
      <c r="A56" s="5">
        <v>4</v>
      </c>
      <c r="B56" s="29" t="s">
        <v>87</v>
      </c>
      <c r="C56" s="58" t="s">
        <v>1071</v>
      </c>
      <c r="D56" s="30">
        <f>IF($C56="","",INDEX(AllPitchers[[#All],[Age]],MATCH($C56,AllPitchers[[#All],[Name]],0)))</f>
        <v>26</v>
      </c>
      <c r="E56" s="31" t="str">
        <f>IF($C56="","",INDEX(AllPitchers[[#All],[T]],MATCH($C56,AllPitchers[[#All],[Name]],0)))</f>
        <v>L</v>
      </c>
      <c r="F56" s="5">
        <f t="shared" si="103"/>
        <v>0</v>
      </c>
      <c r="G56" s="5">
        <f t="shared" si="104"/>
        <v>0</v>
      </c>
      <c r="H56" s="5">
        <f t="shared" si="105"/>
        <v>0</v>
      </c>
      <c r="I56" s="92" t="str">
        <f>IF($C56="","",VLOOKUP($C56,AMAPit!$A$10:$BJ$122,I$51,FALSE))</f>
        <v>L</v>
      </c>
      <c r="J56" s="70">
        <f t="shared" si="106"/>
        <v>5</v>
      </c>
      <c r="K56" s="5">
        <f>IF($C56="","",INDEX(AllPitchers[[#All],[STU]],MATCH($C56,AllPitchers[[#All],[Name]],0)))</f>
        <v>9</v>
      </c>
      <c r="L56" s="5">
        <f>IF($C56="","",INDEX(AllPitchers[[#All],[MOV]],MATCH($C56,AllPitchers[[#All],[Name]],0)))</f>
        <v>3</v>
      </c>
      <c r="M56" s="3">
        <f>IF($C56="","",INDEX(AllPitchers[[#All],[CON]],MATCH($C56,AllPitchers[[#All],[Name]],0)))</f>
        <v>5</v>
      </c>
      <c r="N56" s="5">
        <f>IF($C56="","",INDEX(AllPitchers[[#All],[FB]],MATCH($C56,AllPitchers[[#All],[Name]],0)))</f>
        <v>8</v>
      </c>
      <c r="O56" s="5">
        <f>IF($C56="","",INDEX(AllPitchers[[#All],[CH]],MATCH($C56,AllPitchers[[#All],[Name]],0)))</f>
        <v>9</v>
      </c>
      <c r="P56" s="5">
        <f>IF($C56="","",INDEX(AllPitchers[[#All],[CH]],MATCH($C56,AllPitchers[[#All],[Name]],0)))</f>
        <v>9</v>
      </c>
      <c r="Q56" s="5">
        <f>IF($C56="","",INDEX(AllPitchers[[#All],[SL]],MATCH($C56,AllPitchers[[#All],[Name]],0)))</f>
        <v>5</v>
      </c>
      <c r="R56" s="5" t="str">
        <f>IF($C56="","",INDEX(AllPitchers[[#All],[SI]],MATCH($C56,AllPitchers[[#All],[Name]],0)))</f>
        <v>-</v>
      </c>
      <c r="S56" s="5" t="str">
        <f>IF($C56="","",INDEX(AllPitchers[[#All],[SP]],MATCH($C56,AllPitchers[[#All],[Name]],0)))</f>
        <v>-</v>
      </c>
      <c r="T56" s="5" t="str">
        <f>IF($C56="","",INDEX(AllPitchers[[#All],[CT]],MATCH($C56,AllPitchers[[#All],[Name]],0)))</f>
        <v>-</v>
      </c>
      <c r="U56" s="5" t="str">
        <f>IF($C56="","",INDEX(AllPitchers[[#All],[FO]],MATCH($C56,AllPitchers[[#All],[Name]],0)))</f>
        <v>-</v>
      </c>
      <c r="V56" s="5" t="str">
        <f>IF($C56="","",INDEX(AllPitchers[[#All],[CC]],MATCH($C56,AllPitchers[[#All],[Name]],0)))</f>
        <v>-</v>
      </c>
      <c r="W56" s="5" t="str">
        <f>IF($C56="","",INDEX(AllPitchers[[#All],[SC]],MATCH($C56,AllPitchers[[#All],[Name]],0)))</f>
        <v>-</v>
      </c>
      <c r="X56" s="5">
        <f>IF($C56="","",INDEX(AllPitchers[[#All],[KC]],MATCH($C56,AllPitchers[[#All],[Name]],0)))</f>
        <v>9</v>
      </c>
      <c r="Y56" s="3" t="str">
        <f>IF($C56="","",INDEX(AllPitchers[[#All],[KN]],MATCH($C56,AllPitchers[[#All],[Name]],0)))</f>
        <v>-</v>
      </c>
      <c r="Z56" s="46" t="str">
        <f>IF($C56="","",INDEX(AllPitchers[[#All],[VELO]],MATCH($C56,AllPitchers[[#All],[Name]],0)))</f>
        <v>99-101 Mph</v>
      </c>
      <c r="AA56" s="5">
        <f>IF($C56="","",INDEX(AllPitchers[[#All],[STM]],MATCH($C56,AllPitchers[[#All],[Name]],0)))</f>
        <v>6</v>
      </c>
      <c r="AB56" s="73" t="str">
        <f>IF($C56="","",INDEX(AllPitchers[[#All],[G/F]],MATCH($C56,AllPitchers[[#All],[Name]],0)))</f>
        <v>EX FB</v>
      </c>
      <c r="AC56" s="60">
        <f>IF($C56="","",INDEX(AllPitchers[[#All],[OVR SMC]],MATCH($C56,AllPitchers[[#All],[Name]],0)))</f>
        <v>6.416666666666667</v>
      </c>
      <c r="AD56" s="238">
        <f>IF($C56="","",INDEX(AllPitchers[[#All],[STU P]],MATCH($C56,AllPitchers[[#All],[Name]],0)))</f>
        <v>9</v>
      </c>
      <c r="AE56" s="238">
        <f>IF($C56="","",INDEX(AllPitchers[[#All],[MOV P]],MATCH($C56,AllPitchers[[#All],[Name]],0)))</f>
        <v>3</v>
      </c>
      <c r="AF56" s="239">
        <f>IF($C56="","",INDEX(AllPitchers[[#All],[CON P]],MATCH($C56,AllPitchers[[#All],[Name]],0)))</f>
        <v>7</v>
      </c>
      <c r="AG56" s="60">
        <f>IF($C56="","",INDEX(AllPitchers[[#All],[POT SMC]],MATCH($C56,AllPitchers[[#All],[Name]],0)))</f>
        <v>7.083333333333333</v>
      </c>
    </row>
    <row r="57" spans="1:33" x14ac:dyDescent="0.25">
      <c r="A57" s="5">
        <v>5</v>
      </c>
      <c r="B57" s="29" t="s">
        <v>87</v>
      </c>
      <c r="C57" s="58" t="s">
        <v>1158</v>
      </c>
      <c r="D57" s="30">
        <f>IF($C57="","",INDEX(AllPitchers[[#All],[Age]],MATCH($C57,AllPitchers[[#All],[Name]],0)))</f>
        <v>22</v>
      </c>
      <c r="E57" s="31" t="str">
        <f>IF($C57="","",INDEX(AllPitchers[[#All],[T]],MATCH($C57,AllPitchers[[#All],[Name]],0)))</f>
        <v>R</v>
      </c>
      <c r="F57" s="5">
        <f t="shared" si="103"/>
        <v>0</v>
      </c>
      <c r="G57" s="5">
        <f t="shared" si="104"/>
        <v>0</v>
      </c>
      <c r="H57" s="5">
        <f t="shared" si="105"/>
        <v>0</v>
      </c>
      <c r="I57" s="92" t="str">
        <f>IF($C57="","",VLOOKUP($C57,AMAPit!$A$10:$BJ$122,I$51,FALSE))</f>
        <v>R</v>
      </c>
      <c r="J57" s="70">
        <f t="shared" si="106"/>
        <v>4</v>
      </c>
      <c r="K57" s="5">
        <f>IF($C57="","",INDEX(AllPitchers[[#All],[STU]],MATCH($C57,AllPitchers[[#All],[Name]],0)))</f>
        <v>6</v>
      </c>
      <c r="L57" s="5">
        <f>IF($C57="","",INDEX(AllPitchers[[#All],[MOV]],MATCH($C57,AllPitchers[[#All],[Name]],0)))</f>
        <v>5</v>
      </c>
      <c r="M57" s="3">
        <f>IF($C57="","",INDEX(AllPitchers[[#All],[CON]],MATCH($C57,AllPitchers[[#All],[Name]],0)))</f>
        <v>7</v>
      </c>
      <c r="N57" s="5">
        <f>IF($C57="","",INDEX(AllPitchers[[#All],[FB]],MATCH($C57,AllPitchers[[#All],[Name]],0)))</f>
        <v>9</v>
      </c>
      <c r="O57" s="5">
        <f>IF($C57="","",INDEX(AllPitchers[[#All],[CH]],MATCH($C57,AllPitchers[[#All],[Name]],0)))</f>
        <v>6</v>
      </c>
      <c r="P57" s="5">
        <f>IF($C57="","",INDEX(AllPitchers[[#All],[CH]],MATCH($C57,AllPitchers[[#All],[Name]],0)))</f>
        <v>6</v>
      </c>
      <c r="Q57" s="5">
        <f>IF($C57="","",INDEX(AllPitchers[[#All],[SL]],MATCH($C57,AllPitchers[[#All],[Name]],0)))</f>
        <v>8</v>
      </c>
      <c r="R57" s="5" t="str">
        <f>IF($C57="","",INDEX(AllPitchers[[#All],[SI]],MATCH($C57,AllPitchers[[#All],[Name]],0)))</f>
        <v>-</v>
      </c>
      <c r="S57" s="5" t="str">
        <f>IF($C57="","",INDEX(AllPitchers[[#All],[SP]],MATCH($C57,AllPitchers[[#All],[Name]],0)))</f>
        <v>-</v>
      </c>
      <c r="T57" s="5" t="str">
        <f>IF($C57="","",INDEX(AllPitchers[[#All],[CT]],MATCH($C57,AllPitchers[[#All],[Name]],0)))</f>
        <v>-</v>
      </c>
      <c r="U57" s="5" t="str">
        <f>IF($C57="","",INDEX(AllPitchers[[#All],[FO]],MATCH($C57,AllPitchers[[#All],[Name]],0)))</f>
        <v>-</v>
      </c>
      <c r="V57" s="5" t="str">
        <f>IF($C57="","",INDEX(AllPitchers[[#All],[CC]],MATCH($C57,AllPitchers[[#All],[Name]],0)))</f>
        <v>-</v>
      </c>
      <c r="W57" s="5" t="str">
        <f>IF($C57="","",INDEX(AllPitchers[[#All],[SC]],MATCH($C57,AllPitchers[[#All],[Name]],0)))</f>
        <v>-</v>
      </c>
      <c r="X57" s="5" t="str">
        <f>IF($C57="","",INDEX(AllPitchers[[#All],[KC]],MATCH($C57,AllPitchers[[#All],[Name]],0)))</f>
        <v>-</v>
      </c>
      <c r="Y57" s="3" t="str">
        <f>IF($C57="","",INDEX(AllPitchers[[#All],[KN]],MATCH($C57,AllPitchers[[#All],[Name]],0)))</f>
        <v>-</v>
      </c>
      <c r="Z57" s="46" t="str">
        <f>IF($C57="","",INDEX(AllPitchers[[#All],[VELO]],MATCH($C57,AllPitchers[[#All],[Name]],0)))</f>
        <v>97-99 Mph</v>
      </c>
      <c r="AA57" s="5">
        <f>IF($C57="","",INDEX(AllPitchers[[#All],[STM]],MATCH($C57,AllPitchers[[#All],[Name]],0)))</f>
        <v>6</v>
      </c>
      <c r="AB57" s="73" t="str">
        <f>IF($C57="","",INDEX(AllPitchers[[#All],[G/F]],MATCH($C57,AllPitchers[[#All],[Name]],0)))</f>
        <v>NEU</v>
      </c>
      <c r="AC57" s="60">
        <f>IF($C57="","",INDEX(AllPitchers[[#All],[OVR SMC]],MATCH($C57,AllPitchers[[#All],[Name]],0)))</f>
        <v>6.5</v>
      </c>
      <c r="AD57" s="238">
        <f>IF($C57="","",INDEX(AllPitchers[[#All],[STU P]],MATCH($C57,AllPitchers[[#All],[Name]],0)))</f>
        <v>7</v>
      </c>
      <c r="AE57" s="238">
        <f>IF($C57="","",INDEX(AllPitchers[[#All],[MOV P]],MATCH($C57,AllPitchers[[#All],[Name]],0)))</f>
        <v>5</v>
      </c>
      <c r="AF57" s="239">
        <f>IF($C57="","",INDEX(AllPitchers[[#All],[CON P]],MATCH($C57,AllPitchers[[#All],[Name]],0)))</f>
        <v>10</v>
      </c>
      <c r="AG57" s="60">
        <f>IF($C57="","",INDEX(AllPitchers[[#All],[POT SMC]],MATCH($C57,AllPitchers[[#All],[Name]],0)))</f>
        <v>7.833333333333333</v>
      </c>
    </row>
    <row r="58" spans="1:33" x14ac:dyDescent="0.25">
      <c r="A58" s="5">
        <v>6</v>
      </c>
      <c r="B58" s="32" t="s">
        <v>105</v>
      </c>
      <c r="C58" s="279"/>
      <c r="D58" s="33" t="str">
        <f>IF($C58="","",INDEX(AllPitchers[[#All],[Age]],MATCH($C58,AllPitchers[[#All],[Name]],0)))</f>
        <v/>
      </c>
      <c r="E58" s="35" t="str">
        <f>IF($C58="","",INDEX(AllPitchers[[#All],[T]],MATCH($C58,AllPitchers[[#All],[Name]],0)))</f>
        <v/>
      </c>
      <c r="F58" s="34" t="str">
        <f t="shared" si="103"/>
        <v/>
      </c>
      <c r="G58" s="34" t="str">
        <f t="shared" si="104"/>
        <v/>
      </c>
      <c r="H58" s="34" t="str">
        <f t="shared" si="105"/>
        <v/>
      </c>
      <c r="I58" s="93" t="str">
        <f>IF($C58="","",VLOOKUP($C58,AMAPit!$A$10:$BJ$122,I$51,FALSE))</f>
        <v/>
      </c>
      <c r="J58" s="71" t="str">
        <f t="shared" si="106"/>
        <v/>
      </c>
      <c r="K58" s="34" t="str">
        <f>IF($C58="","",INDEX(AllPitchers[[#All],[STU]],MATCH($C58,AllPitchers[[#All],[Name]],0)))</f>
        <v/>
      </c>
      <c r="L58" s="34" t="str">
        <f>IF($C58="","",INDEX(AllPitchers[[#All],[MOV]],MATCH($C58,AllPitchers[[#All],[Name]],0)))</f>
        <v/>
      </c>
      <c r="M58" s="55" t="str">
        <f>IF($C58="","",INDEX(AllPitchers[[#All],[CON]],MATCH($C58,AllPitchers[[#All],[Name]],0)))</f>
        <v/>
      </c>
      <c r="N58" s="34" t="str">
        <f>IF($C58="","",INDEX(AllPitchers[[#All],[FB]],MATCH($C58,AllPitchers[[#All],[Name]],0)))</f>
        <v/>
      </c>
      <c r="O58" s="34" t="str">
        <f>IF($C58="","",INDEX(AllPitchers[[#All],[CH]],MATCH($C58,AllPitchers[[#All],[Name]],0)))</f>
        <v/>
      </c>
      <c r="P58" s="34" t="str">
        <f>IF($C58="","",INDEX(AllPitchers[[#All],[CH]],MATCH($C58,AllPitchers[[#All],[Name]],0)))</f>
        <v/>
      </c>
      <c r="Q58" s="34" t="str">
        <f>IF($C58="","",INDEX(AllPitchers[[#All],[SL]],MATCH($C58,AllPitchers[[#All],[Name]],0)))</f>
        <v/>
      </c>
      <c r="R58" s="34" t="str">
        <f>IF($C58="","",INDEX(AllPitchers[[#All],[SI]],MATCH($C58,AllPitchers[[#All],[Name]],0)))</f>
        <v/>
      </c>
      <c r="S58" s="34" t="str">
        <f>IF($C58="","",INDEX(AllPitchers[[#All],[SP]],MATCH($C58,AllPitchers[[#All],[Name]],0)))</f>
        <v/>
      </c>
      <c r="T58" s="34" t="str">
        <f>IF($C58="","",INDEX(AllPitchers[[#All],[CT]],MATCH($C58,AllPitchers[[#All],[Name]],0)))</f>
        <v/>
      </c>
      <c r="U58" s="34" t="str">
        <f>IF($C58="","",INDEX(AllPitchers[[#All],[FO]],MATCH($C58,AllPitchers[[#All],[Name]],0)))</f>
        <v/>
      </c>
      <c r="V58" s="34" t="str">
        <f>IF($C58="","",INDEX(AllPitchers[[#All],[CC]],MATCH($C58,AllPitchers[[#All],[Name]],0)))</f>
        <v/>
      </c>
      <c r="W58" s="34" t="str">
        <f>IF($C58="","",INDEX(AllPitchers[[#All],[SC]],MATCH($C58,AllPitchers[[#All],[Name]],0)))</f>
        <v/>
      </c>
      <c r="X58" s="34" t="str">
        <f>IF($C58="","",INDEX(AllPitchers[[#All],[KC]],MATCH($C58,AllPitchers[[#All],[Name]],0)))</f>
        <v/>
      </c>
      <c r="Y58" s="55" t="str">
        <f>IF($C58="","",INDEX(AllPitchers[[#All],[KN]],MATCH($C58,AllPitchers[[#All],[Name]],0)))</f>
        <v/>
      </c>
      <c r="Z58" s="47" t="str">
        <f>IF($C58="","",INDEX(AllPitchers[[#All],[VELO]],MATCH($C58,AllPitchers[[#All],[Name]],0)))</f>
        <v/>
      </c>
      <c r="AA58" s="34" t="str">
        <f>IF($C58="","",INDEX(AllPitchers[[#All],[STM]],MATCH($C58,AllPitchers[[#All],[Name]],0)))</f>
        <v/>
      </c>
      <c r="AB58" s="74" t="str">
        <f>IF($C58="","",INDEX(AllPitchers[[#All],[G/F]],MATCH($C58,AllPitchers[[#All],[Name]],0)))</f>
        <v/>
      </c>
      <c r="AC58" s="61" t="str">
        <f>IF($C58="","",INDEX(AllPitchers[[#All],[OVR SMC]],MATCH($C58,AllPitchers[[#All],[Name]],0)))</f>
        <v/>
      </c>
      <c r="AD58" s="236" t="str">
        <f>IF($C58="","",INDEX(AllPitchers[[#All],[STU P]],MATCH($C58,AllPitchers[[#All],[Name]],0)))</f>
        <v/>
      </c>
      <c r="AE58" s="236" t="str">
        <f>IF($C58="","",INDEX(AllPitchers[[#All],[MOV P]],MATCH($C58,AllPitchers[[#All],[Name]],0)))</f>
        <v/>
      </c>
      <c r="AF58" s="237" t="str">
        <f>IF($C58="","",INDEX(AllPitchers[[#All],[CON P]],MATCH($C58,AllPitchers[[#All],[Name]],0)))</f>
        <v/>
      </c>
      <c r="AG58" s="61" t="str">
        <f>IF($C58="","",INDEX(AllPitchers[[#All],[POT SMC]],MATCH($C58,AllPitchers[[#All],[Name]],0)))</f>
        <v/>
      </c>
    </row>
    <row r="59" spans="1:33" x14ac:dyDescent="0.25">
      <c r="C59" s="280"/>
      <c r="Z59" s="5"/>
      <c r="AA59" s="5"/>
      <c r="AB59" s="5"/>
    </row>
    <row r="60" spans="1:33" ht="57" x14ac:dyDescent="0.25">
      <c r="A60" s="18" t="s">
        <v>170</v>
      </c>
      <c r="B60" s="36" t="s">
        <v>106</v>
      </c>
      <c r="C60" s="281" t="s">
        <v>96</v>
      </c>
      <c r="D60" s="37" t="s">
        <v>70</v>
      </c>
      <c r="E60" s="37" t="s">
        <v>81</v>
      </c>
      <c r="F60" s="48" t="s">
        <v>167</v>
      </c>
      <c r="G60" s="40" t="s">
        <v>168</v>
      </c>
      <c r="H60" s="49" t="s">
        <v>169</v>
      </c>
      <c r="I60" s="69" t="s">
        <v>189</v>
      </c>
      <c r="J60" s="40" t="s">
        <v>166</v>
      </c>
      <c r="K60" s="72" t="s">
        <v>163</v>
      </c>
      <c r="L60" s="67" t="s">
        <v>164</v>
      </c>
      <c r="M60" s="68" t="s">
        <v>165</v>
      </c>
      <c r="N60" s="67" t="s">
        <v>40</v>
      </c>
      <c r="O60" s="67" t="s">
        <v>42</v>
      </c>
      <c r="P60" s="67" t="s">
        <v>44</v>
      </c>
      <c r="Q60" s="67" t="s">
        <v>46</v>
      </c>
      <c r="R60" s="67" t="s">
        <v>48</v>
      </c>
      <c r="S60" s="67" t="s">
        <v>87</v>
      </c>
      <c r="T60" s="67" t="s">
        <v>51</v>
      </c>
      <c r="U60" s="67" t="s">
        <v>53</v>
      </c>
      <c r="V60" s="67" t="s">
        <v>55</v>
      </c>
      <c r="W60" s="67" t="s">
        <v>57</v>
      </c>
      <c r="X60" s="67" t="s">
        <v>59</v>
      </c>
      <c r="Y60" s="68" t="s">
        <v>61</v>
      </c>
      <c r="Z60" s="72" t="s">
        <v>176</v>
      </c>
      <c r="AA60" s="67" t="s">
        <v>175</v>
      </c>
      <c r="AB60" s="68" t="s">
        <v>177</v>
      </c>
      <c r="AC60" s="251" t="s">
        <v>354</v>
      </c>
      <c r="AD60" s="67" t="s">
        <v>163</v>
      </c>
      <c r="AE60" s="67" t="s">
        <v>164</v>
      </c>
      <c r="AF60" s="68" t="s">
        <v>165</v>
      </c>
      <c r="AG60" s="251" t="s">
        <v>174</v>
      </c>
    </row>
    <row r="61" spans="1:33" x14ac:dyDescent="0.25">
      <c r="A61">
        <v>1</v>
      </c>
      <c r="B61" s="29" t="s">
        <v>88</v>
      </c>
      <c r="C61" s="58" t="s">
        <v>1038</v>
      </c>
      <c r="D61" s="30">
        <f>IF($C61="","",INDEX(AllPitchers[[#All],[Age]],MATCH($C61,AllPitchers[[#All],[Name]],0)))</f>
        <v>28</v>
      </c>
      <c r="E61" s="30" t="str">
        <f>IF($C61="","",INDEX(AllPitchers[[#All],[T]],MATCH($C61,AllPitchers[[#All],[Name]],0)))</f>
        <v>R</v>
      </c>
      <c r="F61" s="46">
        <f>IF($C61="","",IF(AVERAGE(K61:M61)&gt;7,1,0))</f>
        <v>0</v>
      </c>
      <c r="G61" s="5">
        <f>IF($C61="","",IF(AVERAGE(K61:M61)&gt;6.5,1,0))</f>
        <v>1</v>
      </c>
      <c r="H61" s="3">
        <f>IF($C61="","",IF(AVERAGE(K61:M61)&gt;6,1,0))</f>
        <v>1</v>
      </c>
      <c r="I61" s="91" t="str">
        <f>IF($C61="","",VLOOKUP($C61,AMAPit!$A$10:$BJ$122,I$51,FALSE))</f>
        <v>R</v>
      </c>
      <c r="J61" s="5">
        <f>IF($C61="","",COUNT(N61:Y61))</f>
        <v>4</v>
      </c>
      <c r="K61" s="46">
        <f>IF($C61="","",INDEX(AllPitchers[[#All],[STU]],MATCH($C61,AllPitchers[[#All],[Name]],0)))</f>
        <v>10</v>
      </c>
      <c r="L61" s="5">
        <f>IF($C61="","",INDEX(AllPitchers[[#All],[MOV]],MATCH($C61,AllPitchers[[#All],[Name]],0)))</f>
        <v>5</v>
      </c>
      <c r="M61" s="3">
        <f>IF($C61="","",INDEX(AllPitchers[[#All],[CON]],MATCH($C61,AllPitchers[[#All],[Name]],0)))</f>
        <v>6</v>
      </c>
      <c r="N61" s="5">
        <f>IF($C61="","",INDEX(AllPitchers[[#All],[FB]],MATCH($C61,AllPitchers[[#All],[Name]],0)))</f>
        <v>9</v>
      </c>
      <c r="O61" s="5">
        <f>IF($C61="","",INDEX(AllPitchers[[#All],[CH]],MATCH($C61,AllPitchers[[#All],[Name]],0)))</f>
        <v>2</v>
      </c>
      <c r="P61" s="5">
        <f>IF($C61="","",INDEX(AllPitchers[[#All],[CH]],MATCH($C61,AllPitchers[[#All],[Name]],0)))</f>
        <v>2</v>
      </c>
      <c r="Q61" s="5">
        <f>IF($C61="","",INDEX(AllPitchers[[#All],[SL]],MATCH($C61,AllPitchers[[#All],[Name]],0)))</f>
        <v>10</v>
      </c>
      <c r="R61" s="5" t="str">
        <f>IF($C61="","",INDEX(AllPitchers[[#All],[SI]],MATCH($C61,AllPitchers[[#All],[Name]],0)))</f>
        <v>-</v>
      </c>
      <c r="S61" s="5" t="str">
        <f>IF($C61="","",INDEX(AllPitchers[[#All],[SP]],MATCH($C61,AllPitchers[[#All],[Name]],0)))</f>
        <v>-</v>
      </c>
      <c r="T61" s="5" t="str">
        <f>IF($C61="","",INDEX(AllPitchers[[#All],[CT]],MATCH($C61,AllPitchers[[#All],[Name]],0)))</f>
        <v>-</v>
      </c>
      <c r="U61" s="5" t="str">
        <f>IF($C61="","",INDEX(AllPitchers[[#All],[FO]],MATCH($C61,AllPitchers[[#All],[Name]],0)))</f>
        <v>-</v>
      </c>
      <c r="V61" s="5" t="str">
        <f>IF($C61="","",INDEX(AllPitchers[[#All],[CC]],MATCH($C61,AllPitchers[[#All],[Name]],0)))</f>
        <v>-</v>
      </c>
      <c r="W61" s="5" t="str">
        <f>IF($C61="","",INDEX(AllPitchers[[#All],[SC]],MATCH($C61,AllPitchers[[#All],[Name]],0)))</f>
        <v>-</v>
      </c>
      <c r="X61" s="5" t="str">
        <f>IF($C61="","",INDEX(AllPitchers[[#All],[KC]],MATCH($C61,AllPitchers[[#All],[Name]],0)))</f>
        <v>-</v>
      </c>
      <c r="Y61" s="3" t="str">
        <f>IF($C61="","",INDEX(AllPitchers[[#All],[KN]],MATCH($C61,AllPitchers[[#All],[Name]],0)))</f>
        <v>-</v>
      </c>
      <c r="Z61" s="46" t="str">
        <f>IF($C61="","",INDEX(AllPitchers[[#All],[VELO]],MATCH($C61,AllPitchers[[#All],[Name]],0)))</f>
        <v>95-97 Mph</v>
      </c>
      <c r="AA61" s="5">
        <f>IF($C61="","",INDEX(AllPitchers[[#All],[STM]],MATCH($C61,AllPitchers[[#All],[Name]],0)))</f>
        <v>9</v>
      </c>
      <c r="AB61" s="73" t="str">
        <f>IF($C61="","",INDEX(AllPitchers[[#All],[G/F]],MATCH($C61,AllPitchers[[#All],[Name]],0)))</f>
        <v>NEU</v>
      </c>
      <c r="AC61" s="252">
        <f>IF($C61="","",INDEX(AllPitchers[[#All],[OVR SMC]],MATCH($C61,AllPitchers[[#All],[Name]],0)))</f>
        <v>7.5</v>
      </c>
      <c r="AD61" s="238">
        <f>IF($C61="","",INDEX(AllPitchers[[#All],[STU P]],MATCH($C61,AllPitchers[[#All],[Name]],0)))</f>
        <v>10</v>
      </c>
      <c r="AE61" s="238">
        <f>IF($C61="","",INDEX(AllPitchers[[#All],[MOV P]],MATCH($C61,AllPitchers[[#All],[Name]],0)))</f>
        <v>6</v>
      </c>
      <c r="AF61" s="239">
        <f>IF($C61="","",INDEX(AllPitchers[[#All],[CON P]],MATCH($C61,AllPitchers[[#All],[Name]],0)))</f>
        <v>7</v>
      </c>
      <c r="AG61" s="252">
        <f>IF($C61="","",INDEX(AllPitchers[[#All],[POT SMC]],MATCH($C61,AllPitchers[[#All],[Name]],0)))</f>
        <v>8.1666666666666679</v>
      </c>
    </row>
    <row r="62" spans="1:33" x14ac:dyDescent="0.25">
      <c r="A62">
        <v>2</v>
      </c>
      <c r="B62" s="32" t="s">
        <v>107</v>
      </c>
      <c r="C62" s="282"/>
      <c r="D62" s="33" t="str">
        <f>IF($C62="","",INDEX(AllPitchers[[#All],[Age]],MATCH($C62,AllPitchers[[#All],[Name]],0)))</f>
        <v/>
      </c>
      <c r="E62" s="33" t="str">
        <f>IF($C62="","",INDEX(AllPitchers[[#All],[T]],MATCH($C62,AllPitchers[[#All],[Name]],0)))</f>
        <v/>
      </c>
      <c r="F62" s="47" t="str">
        <f>IF($C62="","",IF(AVERAGE(K62:M62)&gt;7,1,0))</f>
        <v/>
      </c>
      <c r="G62" s="34" t="str">
        <f>IF($C62="","",IF(AVERAGE(K62:M62)&gt;6.5,1,0))</f>
        <v/>
      </c>
      <c r="H62" s="55" t="str">
        <f>IF($C62="","",IF(AVERAGE(K62:M62)&gt;6,1,0))</f>
        <v/>
      </c>
      <c r="I62" s="93" t="str">
        <f>IF($C62="","",VLOOKUP($C62,AMAPit!$A$10:$BJ$122,I$51,FALSE))</f>
        <v/>
      </c>
      <c r="J62" s="34" t="str">
        <f>IF($C62="","",COUNT(N62:Y62))</f>
        <v/>
      </c>
      <c r="K62" s="47" t="str">
        <f>IF($C62="","",INDEX(AllPitchers[[#All],[STU]],MATCH($C62,AllPitchers[[#All],[Name]],0)))</f>
        <v/>
      </c>
      <c r="L62" s="34" t="str">
        <f>IF($C62="","",INDEX(AllPitchers[[#All],[MOV]],MATCH($C62,AllPitchers[[#All],[Name]],0)))</f>
        <v/>
      </c>
      <c r="M62" s="55" t="str">
        <f>IF($C62="","",INDEX(AllPitchers[[#All],[CON]],MATCH($C62,AllPitchers[[#All],[Name]],0)))</f>
        <v/>
      </c>
      <c r="N62" s="34" t="str">
        <f>IF($C62="","",INDEX(AllPitchers[[#All],[FB]],MATCH($C62,AllPitchers[[#All],[Name]],0)))</f>
        <v/>
      </c>
      <c r="O62" s="34" t="str">
        <f>IF($C62="","",INDEX(AllPitchers[[#All],[CH]],MATCH($C62,AllPitchers[[#All],[Name]],0)))</f>
        <v/>
      </c>
      <c r="P62" s="34" t="str">
        <f>IF($C62="","",INDEX(AllPitchers[[#All],[CH]],MATCH($C62,AllPitchers[[#All],[Name]],0)))</f>
        <v/>
      </c>
      <c r="Q62" s="34" t="str">
        <f>IF($C62="","",INDEX(AllPitchers[[#All],[SL]],MATCH($C62,AllPitchers[[#All],[Name]],0)))</f>
        <v/>
      </c>
      <c r="R62" s="34" t="str">
        <f>IF($C62="","",INDEX(AllPitchers[[#All],[SI]],MATCH($C62,AllPitchers[[#All],[Name]],0)))</f>
        <v/>
      </c>
      <c r="S62" s="34" t="str">
        <f>IF($C62="","",INDEX(AllPitchers[[#All],[SP]],MATCH($C62,AllPitchers[[#All],[Name]],0)))</f>
        <v/>
      </c>
      <c r="T62" s="34" t="str">
        <f>IF($C62="","",INDEX(AllPitchers[[#All],[CT]],MATCH($C62,AllPitchers[[#All],[Name]],0)))</f>
        <v/>
      </c>
      <c r="U62" s="34" t="str">
        <f>IF($C62="","",INDEX(AllPitchers[[#All],[FO]],MATCH($C62,AllPitchers[[#All],[Name]],0)))</f>
        <v/>
      </c>
      <c r="V62" s="34" t="str">
        <f>IF($C62="","",INDEX(AllPitchers[[#All],[CC]],MATCH($C62,AllPitchers[[#All],[Name]],0)))</f>
        <v/>
      </c>
      <c r="W62" s="34" t="str">
        <f>IF($C62="","",INDEX(AllPitchers[[#All],[SC]],MATCH($C62,AllPitchers[[#All],[Name]],0)))</f>
        <v/>
      </c>
      <c r="X62" s="34" t="str">
        <f>IF($C62="","",INDEX(AllPitchers[[#All],[KC]],MATCH($C62,AllPitchers[[#All],[Name]],0)))</f>
        <v/>
      </c>
      <c r="Y62" s="55" t="str">
        <f>IF($C62="","",INDEX(AllPitchers[[#All],[KN]],MATCH($C62,AllPitchers[[#All],[Name]],0)))</f>
        <v/>
      </c>
      <c r="Z62" s="47" t="str">
        <f>IF($C62="","",INDEX(AllPitchers[[#All],[VELO]],MATCH($C62,AllPitchers[[#All],[Name]],0)))</f>
        <v/>
      </c>
      <c r="AA62" s="34" t="str">
        <f>IF($C62="","",INDEX(AllPitchers[[#All],[STM]],MATCH($C62,AllPitchers[[#All],[Name]],0)))</f>
        <v/>
      </c>
      <c r="AB62" s="74" t="str">
        <f>IF($C62="","",INDEX(AllPitchers[[#All],[G/F]],MATCH($C62,AllPitchers[[#All],[Name]],0)))</f>
        <v/>
      </c>
      <c r="AC62" s="61" t="str">
        <f>IF($C62="","",INDEX(AllPitchers[[#All],[OVR SMC]],MATCH($C62,AllPitchers[[#All],[Name]],0)))</f>
        <v/>
      </c>
      <c r="AD62" s="236" t="str">
        <f>IF($C62="","",INDEX(AllPitchers[[#All],[STU P]],MATCH($C62,AllPitchers[[#All],[Name]],0)))</f>
        <v/>
      </c>
      <c r="AE62" s="236" t="str">
        <f>IF($C62="","",INDEX(AllPitchers[[#All],[MOV P]],MATCH($C62,AllPitchers[[#All],[Name]],0)))</f>
        <v/>
      </c>
      <c r="AF62" s="237" t="str">
        <f>IF($C62="","",INDEX(AllPitchers[[#All],[CON P]],MATCH($C62,AllPitchers[[#All],[Name]],0)))</f>
        <v/>
      </c>
      <c r="AG62" s="61" t="str">
        <f>IF($C62="","",INDEX(AllPitchers[[#All],[POT SMC]],MATCH($C62,AllPitchers[[#All],[Name]],0)))</f>
        <v/>
      </c>
    </row>
    <row r="63" spans="1:33" x14ac:dyDescent="0.25">
      <c r="C63" s="280"/>
      <c r="Z63" s="5"/>
      <c r="AA63" s="5"/>
      <c r="AB63" s="5"/>
    </row>
    <row r="64" spans="1:33" ht="57" x14ac:dyDescent="0.25">
      <c r="A64" s="18" t="s">
        <v>170</v>
      </c>
      <c r="B64" s="36" t="s">
        <v>108</v>
      </c>
      <c r="C64" s="281" t="s">
        <v>96</v>
      </c>
      <c r="D64" s="37" t="s">
        <v>70</v>
      </c>
      <c r="E64" s="37" t="s">
        <v>81</v>
      </c>
      <c r="F64" s="48" t="s">
        <v>167</v>
      </c>
      <c r="G64" s="40" t="s">
        <v>168</v>
      </c>
      <c r="H64" s="49" t="s">
        <v>169</v>
      </c>
      <c r="I64" s="69" t="s">
        <v>189</v>
      </c>
      <c r="J64" s="40" t="s">
        <v>166</v>
      </c>
      <c r="K64" s="72" t="s">
        <v>163</v>
      </c>
      <c r="L64" s="67" t="s">
        <v>164</v>
      </c>
      <c r="M64" s="68" t="s">
        <v>165</v>
      </c>
      <c r="N64" s="67" t="s">
        <v>40</v>
      </c>
      <c r="O64" s="67" t="s">
        <v>42</v>
      </c>
      <c r="P64" s="67" t="s">
        <v>44</v>
      </c>
      <c r="Q64" s="67" t="s">
        <v>46</v>
      </c>
      <c r="R64" s="67" t="s">
        <v>48</v>
      </c>
      <c r="S64" s="67" t="s">
        <v>87</v>
      </c>
      <c r="T64" s="67" t="s">
        <v>51</v>
      </c>
      <c r="U64" s="67" t="s">
        <v>53</v>
      </c>
      <c r="V64" s="67" t="s">
        <v>55</v>
      </c>
      <c r="W64" s="67" t="s">
        <v>57</v>
      </c>
      <c r="X64" s="67" t="s">
        <v>59</v>
      </c>
      <c r="Y64" s="68" t="s">
        <v>61</v>
      </c>
      <c r="Z64" s="72" t="s">
        <v>176</v>
      </c>
      <c r="AA64" s="67" t="s">
        <v>175</v>
      </c>
      <c r="AB64" s="68" t="s">
        <v>177</v>
      </c>
      <c r="AC64" s="251" t="s">
        <v>354</v>
      </c>
      <c r="AD64" s="67" t="s">
        <v>163</v>
      </c>
      <c r="AE64" s="67" t="s">
        <v>164</v>
      </c>
      <c r="AF64" s="68" t="s">
        <v>165</v>
      </c>
      <c r="AG64" s="251" t="s">
        <v>174</v>
      </c>
    </row>
    <row r="65" spans="1:33" x14ac:dyDescent="0.25">
      <c r="A65">
        <v>1</v>
      </c>
      <c r="B65" s="29" t="s">
        <v>109</v>
      </c>
      <c r="C65" s="58" t="s">
        <v>1290</v>
      </c>
      <c r="D65" s="30">
        <f>IF($C65="","",INDEX(AllPitchers[[#All],[Age]],MATCH($C65,AllPitchers[[#All],[Name]],0)))</f>
        <v>29</v>
      </c>
      <c r="E65" s="30" t="str">
        <f>IF($C65="","",INDEX(AllPitchers[[#All],[T]],MATCH($C65,AllPitchers[[#All],[Name]],0)))</f>
        <v>L</v>
      </c>
      <c r="F65" s="46">
        <f t="shared" ref="F65:F74" si="107">IF($C65="","",IF(AVERAGE(K65:M65)&gt;7,1,0))</f>
        <v>0</v>
      </c>
      <c r="G65" s="5">
        <f t="shared" ref="G65:G74" si="108">IF($C65="","",IF(AVERAGE(K65:M65)&gt;6.5,1,0))</f>
        <v>0</v>
      </c>
      <c r="H65" s="3">
        <f t="shared" ref="H65:H74" si="109">IF($C65="","",IF(AVERAGE(K65:M65)&gt;6,1,0))</f>
        <v>0</v>
      </c>
      <c r="I65" s="92" t="str">
        <f>IF($C65="","",VLOOKUP($C65,AMAPit!$A$10:$BJ$122,I$51,FALSE))</f>
        <v>L</v>
      </c>
      <c r="J65" s="5">
        <f>IF($C65="","",INDEX(AllPitchers[[#All],[Age]],MATCH($C65,AllPitchers[[#All],[Name]],0)))</f>
        <v>29</v>
      </c>
      <c r="K65" s="46">
        <f>IF($C65="","",INDEX(AllPitchers[[#All],[STU]],MATCH($C65,AllPitchers[[#All],[Name]],0)))</f>
        <v>5</v>
      </c>
      <c r="L65" s="5">
        <f>IF($C65="","",INDEX(AllPitchers[[#All],[MOV]],MATCH($C65,AllPitchers[[#All],[Name]],0)))</f>
        <v>4</v>
      </c>
      <c r="M65" s="3">
        <f>IF($C65="","",INDEX(AllPitchers[[#All],[CON]],MATCH($C65,AllPitchers[[#All],[Name]],0)))</f>
        <v>8</v>
      </c>
      <c r="N65" s="5">
        <f>IF($C65="","",INDEX(AllPitchers[[#All],[FB]],MATCH($C65,AllPitchers[[#All],[Name]],0)))</f>
        <v>7</v>
      </c>
      <c r="O65" s="5">
        <f>IF($C65="","",INDEX(AllPitchers[[#All],[CH]],MATCH($C65,AllPitchers[[#All],[Name]],0)))</f>
        <v>1</v>
      </c>
      <c r="P65" s="5">
        <f>IF($C65="","",INDEX(AllPitchers[[#All],[CH]],MATCH($C65,AllPitchers[[#All],[Name]],0)))</f>
        <v>1</v>
      </c>
      <c r="Q65" s="5">
        <f>IF($C65="","",INDEX(AllPitchers[[#All],[SL]],MATCH($C65,AllPitchers[[#All],[Name]],0)))</f>
        <v>6</v>
      </c>
      <c r="R65" s="5" t="str">
        <f>IF($C65="","",INDEX(AllPitchers[[#All],[SI]],MATCH($C65,AllPitchers[[#All],[Name]],0)))</f>
        <v>-</v>
      </c>
      <c r="S65" s="5" t="str">
        <f>IF($C65="","",INDEX(AllPitchers[[#All],[SP]],MATCH($C65,AllPitchers[[#All],[Name]],0)))</f>
        <v>-</v>
      </c>
      <c r="T65" s="5" t="str">
        <f>IF($C65="","",INDEX(AllPitchers[[#All],[CT]],MATCH($C65,AllPitchers[[#All],[Name]],0)))</f>
        <v>-</v>
      </c>
      <c r="U65" s="5" t="str">
        <f>IF($C65="","",INDEX(AllPitchers[[#All],[FO]],MATCH($C65,AllPitchers[[#All],[Name]],0)))</f>
        <v>-</v>
      </c>
      <c r="V65" s="5" t="str">
        <f>IF($C65="","",INDEX(AllPitchers[[#All],[CC]],MATCH($C65,AllPitchers[[#All],[Name]],0)))</f>
        <v>-</v>
      </c>
      <c r="W65" s="5" t="str">
        <f>IF($C65="","",INDEX(AllPitchers[[#All],[SC]],MATCH($C65,AllPitchers[[#All],[Name]],0)))</f>
        <v>-</v>
      </c>
      <c r="X65" s="5" t="str">
        <f>IF($C65="","",INDEX(AllPitchers[[#All],[KC]],MATCH($C65,AllPitchers[[#All],[Name]],0)))</f>
        <v>-</v>
      </c>
      <c r="Y65" s="3" t="str">
        <f>IF($C65="","",INDEX(AllPitchers[[#All],[KN]],MATCH($C65,AllPitchers[[#All],[Name]],0)))</f>
        <v>-</v>
      </c>
      <c r="Z65" s="46" t="str">
        <f>IF($C65="","",INDEX(AllPitchers[[#All],[VELO]],MATCH($C65,AllPitchers[[#All],[Name]],0)))</f>
        <v>92-94 Mph</v>
      </c>
      <c r="AA65" s="5">
        <f>IF($C65="","",INDEX(AllPitchers[[#All],[STM]],MATCH($C65,AllPitchers[[#All],[Name]],0)))</f>
        <v>6</v>
      </c>
      <c r="AB65" s="73" t="str">
        <f>IF($C65="","",INDEX(AllPitchers[[#All],[G/F]],MATCH($C65,AllPitchers[[#All],[Name]],0)))</f>
        <v>GB</v>
      </c>
      <c r="AC65" s="252">
        <f>IF($C65="","",INDEX(AllPitchers[[#All],[OVR SMC]],MATCH($C65,AllPitchers[[#All],[Name]],0)))</f>
        <v>6.166666666666667</v>
      </c>
      <c r="AD65" s="238">
        <f>IF($C65="","",INDEX(AllPitchers[[#All],[STU P]],MATCH($C65,AllPitchers[[#All],[Name]],0)))</f>
        <v>5</v>
      </c>
      <c r="AE65" s="238">
        <f>IF($C65="","",INDEX(AllPitchers[[#All],[MOV P]],MATCH($C65,AllPitchers[[#All],[Name]],0)))</f>
        <v>4</v>
      </c>
      <c r="AF65" s="239">
        <f>IF($C65="","",INDEX(AllPitchers[[#All],[CON P]],MATCH($C65,AllPitchers[[#All],[Name]],0)))</f>
        <v>8</v>
      </c>
      <c r="AG65" s="252">
        <f>IF($C65="","",INDEX(AllPitchers[[#All],[POT SMC]],MATCH($C65,AllPitchers[[#All],[Name]],0)))</f>
        <v>6.166666666666667</v>
      </c>
    </row>
    <row r="66" spans="1:33" x14ac:dyDescent="0.25">
      <c r="A66">
        <v>2</v>
      </c>
      <c r="B66" s="29" t="s">
        <v>110</v>
      </c>
      <c r="C66" s="58" t="s">
        <v>1039</v>
      </c>
      <c r="D66" s="30">
        <f>IF($C66="","",INDEX(AllPitchers[[#All],[Age]],MATCH($C66,AllPitchers[[#All],[Name]],0)))</f>
        <v>28</v>
      </c>
      <c r="E66" s="30" t="str">
        <f>IF($C66="","",INDEX(AllPitchers[[#All],[T]],MATCH($C66,AllPitchers[[#All],[Name]],0)))</f>
        <v>R</v>
      </c>
      <c r="F66" s="46">
        <f t="shared" si="107"/>
        <v>0</v>
      </c>
      <c r="G66" s="5">
        <f t="shared" si="108"/>
        <v>0</v>
      </c>
      <c r="H66" s="3">
        <f t="shared" si="109"/>
        <v>1</v>
      </c>
      <c r="I66" s="92" t="str">
        <f>IF($C66="","",VLOOKUP($C66,AMAPit!$A$10:$BJ$122,I$51,FALSE))</f>
        <v>R</v>
      </c>
      <c r="J66" s="5">
        <f>IF($C66="","",INDEX(AllPitchers[[#All],[Age]],MATCH($C66,AllPitchers[[#All],[Name]],0)))</f>
        <v>28</v>
      </c>
      <c r="K66" s="46">
        <f>IF($C66="","",INDEX(AllPitchers[[#All],[STU]],MATCH($C66,AllPitchers[[#All],[Name]],0)))</f>
        <v>9</v>
      </c>
      <c r="L66" s="5">
        <f>IF($C66="","",INDEX(AllPitchers[[#All],[MOV]],MATCH($C66,AllPitchers[[#All],[Name]],0)))</f>
        <v>6</v>
      </c>
      <c r="M66" s="3">
        <f>IF($C66="","",INDEX(AllPitchers[[#All],[CON]],MATCH($C66,AllPitchers[[#All],[Name]],0)))</f>
        <v>4</v>
      </c>
      <c r="N66" s="5">
        <f>IF($C66="","",INDEX(AllPitchers[[#All],[FB]],MATCH($C66,AllPitchers[[#All],[Name]],0)))</f>
        <v>9</v>
      </c>
      <c r="O66" s="5">
        <f>IF($C66="","",INDEX(AllPitchers[[#All],[CH]],MATCH($C66,AllPitchers[[#All],[Name]],0)))</f>
        <v>1</v>
      </c>
      <c r="P66" s="5">
        <f>IF($C66="","",INDEX(AllPitchers[[#All],[CH]],MATCH($C66,AllPitchers[[#All],[Name]],0)))</f>
        <v>1</v>
      </c>
      <c r="Q66" s="5" t="str">
        <f>IF($C66="","",INDEX(AllPitchers[[#All],[SL]],MATCH($C66,AllPitchers[[#All],[Name]],0)))</f>
        <v>-</v>
      </c>
      <c r="R66" s="5" t="str">
        <f>IF($C66="","",INDEX(AllPitchers[[#All],[SI]],MATCH($C66,AllPitchers[[#All],[Name]],0)))</f>
        <v>-</v>
      </c>
      <c r="S66" s="5" t="str">
        <f>IF($C66="","",INDEX(AllPitchers[[#All],[SP]],MATCH($C66,AllPitchers[[#All],[Name]],0)))</f>
        <v>-</v>
      </c>
      <c r="T66" s="5" t="str">
        <f>IF($C66="","",INDEX(AllPitchers[[#All],[CT]],MATCH($C66,AllPitchers[[#All],[Name]],0)))</f>
        <v>-</v>
      </c>
      <c r="U66" s="5" t="str">
        <f>IF($C66="","",INDEX(AllPitchers[[#All],[FO]],MATCH($C66,AllPitchers[[#All],[Name]],0)))</f>
        <v>-</v>
      </c>
      <c r="V66" s="5">
        <f>IF($C66="","",INDEX(AllPitchers[[#All],[CC]],MATCH($C66,AllPitchers[[#All],[Name]],0)))</f>
        <v>5</v>
      </c>
      <c r="W66" s="5" t="str">
        <f>IF($C66="","",INDEX(AllPitchers[[#All],[SC]],MATCH($C66,AllPitchers[[#All],[Name]],0)))</f>
        <v>-</v>
      </c>
      <c r="X66" s="5" t="str">
        <f>IF($C66="","",INDEX(AllPitchers[[#All],[KC]],MATCH($C66,AllPitchers[[#All],[Name]],0)))</f>
        <v>-</v>
      </c>
      <c r="Y66" s="3" t="str">
        <f>IF($C66="","",INDEX(AllPitchers[[#All],[KN]],MATCH($C66,AllPitchers[[#All],[Name]],0)))</f>
        <v>-</v>
      </c>
      <c r="Z66" s="46" t="str">
        <f>IF($C66="","",INDEX(AllPitchers[[#All],[VELO]],MATCH($C66,AllPitchers[[#All],[Name]],0)))</f>
        <v>94-96 Mph</v>
      </c>
      <c r="AA66" s="5">
        <f>IF($C66="","",INDEX(AllPitchers[[#All],[STM]],MATCH($C66,AllPitchers[[#All],[Name]],0)))</f>
        <v>6</v>
      </c>
      <c r="AB66" s="73" t="str">
        <f>IF($C66="","",INDEX(AllPitchers[[#All],[G/F]],MATCH($C66,AllPitchers[[#All],[Name]],0)))</f>
        <v>GB</v>
      </c>
      <c r="AC66" s="60">
        <f>IF($C66="","",INDEX(AllPitchers[[#All],[OVR SMC]],MATCH($C66,AllPitchers[[#All],[Name]],0)))</f>
        <v>7.083333333333333</v>
      </c>
      <c r="AD66" s="238">
        <f>IF($C66="","",INDEX(AllPitchers[[#All],[STU P]],MATCH($C66,AllPitchers[[#All],[Name]],0)))</f>
        <v>9</v>
      </c>
      <c r="AE66" s="238">
        <f>IF($C66="","",INDEX(AllPitchers[[#All],[MOV P]],MATCH($C66,AllPitchers[[#All],[Name]],0)))</f>
        <v>7</v>
      </c>
      <c r="AF66" s="239">
        <f>IF($C66="","",INDEX(AllPitchers[[#All],[CON P]],MATCH($C66,AllPitchers[[#All],[Name]],0)))</f>
        <v>5</v>
      </c>
      <c r="AG66" s="60">
        <f>IF($C66="","",INDEX(AllPitchers[[#All],[POT SMC]],MATCH($C66,AllPitchers[[#All],[Name]],0)))</f>
        <v>7.75</v>
      </c>
    </row>
    <row r="67" spans="1:33" x14ac:dyDescent="0.25">
      <c r="A67">
        <v>3</v>
      </c>
      <c r="B67" s="29" t="s">
        <v>11</v>
      </c>
      <c r="C67" s="58" t="s">
        <v>1066</v>
      </c>
      <c r="D67" s="30">
        <f>IF($C67="","",INDEX(AllPitchers[[#All],[Age]],MATCH($C67,AllPitchers[[#All],[Name]],0)))</f>
        <v>31</v>
      </c>
      <c r="E67" s="30" t="str">
        <f>IF($C67="","",INDEX(AllPitchers[[#All],[T]],MATCH($C67,AllPitchers[[#All],[Name]],0)))</f>
        <v>R</v>
      </c>
      <c r="F67" s="46">
        <f t="shared" si="107"/>
        <v>0</v>
      </c>
      <c r="G67" s="5">
        <f t="shared" si="108"/>
        <v>0</v>
      </c>
      <c r="H67" s="3">
        <f t="shared" si="109"/>
        <v>0</v>
      </c>
      <c r="I67" s="92" t="str">
        <f>IF($C67="","",VLOOKUP($C67,AMAPit!$A$10:$BJ$122,I$51,FALSE))</f>
        <v>R</v>
      </c>
      <c r="J67" s="5">
        <f>IF($C67="","",INDEX(AllPitchers[[#All],[Age]],MATCH($C67,AllPitchers[[#All],[Name]],0)))</f>
        <v>31</v>
      </c>
      <c r="K67" s="46">
        <f>IF($C67="","",INDEX(AllPitchers[[#All],[STU]],MATCH($C67,AllPitchers[[#All],[Name]],0)))</f>
        <v>5</v>
      </c>
      <c r="L67" s="5">
        <f>IF($C67="","",INDEX(AllPitchers[[#All],[MOV]],MATCH($C67,AllPitchers[[#All],[Name]],0)))</f>
        <v>5</v>
      </c>
      <c r="M67" s="3">
        <f>IF($C67="","",INDEX(AllPitchers[[#All],[CON]],MATCH($C67,AllPitchers[[#All],[Name]],0)))</f>
        <v>8</v>
      </c>
      <c r="N67" s="5">
        <f>IF($C67="","",INDEX(AllPitchers[[#All],[FB]],MATCH($C67,AllPitchers[[#All],[Name]],0)))</f>
        <v>6</v>
      </c>
      <c r="O67" s="5" t="str">
        <f>IF($C67="","",INDEX(AllPitchers[[#All],[CH]],MATCH($C67,AllPitchers[[#All],[Name]],0)))</f>
        <v>-</v>
      </c>
      <c r="P67" s="5" t="str">
        <f>IF($C67="","",INDEX(AllPitchers[[#All],[CH]],MATCH($C67,AllPitchers[[#All],[Name]],0)))</f>
        <v>-</v>
      </c>
      <c r="Q67" s="5" t="str">
        <f>IF($C67="","",INDEX(AllPitchers[[#All],[SL]],MATCH($C67,AllPitchers[[#All],[Name]],0)))</f>
        <v>-</v>
      </c>
      <c r="R67" s="5" t="str">
        <f>IF($C67="","",INDEX(AllPitchers[[#All],[SI]],MATCH($C67,AllPitchers[[#All],[Name]],0)))</f>
        <v>-</v>
      </c>
      <c r="S67" s="5">
        <f>IF($C67="","",INDEX(AllPitchers[[#All],[SP]],MATCH($C67,AllPitchers[[#All],[Name]],0)))</f>
        <v>6</v>
      </c>
      <c r="T67" s="5" t="str">
        <f>IF($C67="","",INDEX(AllPitchers[[#All],[CT]],MATCH($C67,AllPitchers[[#All],[Name]],0)))</f>
        <v>-</v>
      </c>
      <c r="U67" s="5">
        <f>IF($C67="","",INDEX(AllPitchers[[#All],[FO]],MATCH($C67,AllPitchers[[#All],[Name]],0)))</f>
        <v>6</v>
      </c>
      <c r="V67" s="5" t="str">
        <f>IF($C67="","",INDEX(AllPitchers[[#All],[CC]],MATCH($C67,AllPitchers[[#All],[Name]],0)))</f>
        <v>-</v>
      </c>
      <c r="W67" s="5" t="str">
        <f>IF($C67="","",INDEX(AllPitchers[[#All],[SC]],MATCH($C67,AllPitchers[[#All],[Name]],0)))</f>
        <v>-</v>
      </c>
      <c r="X67" s="5" t="str">
        <f>IF($C67="","",INDEX(AllPitchers[[#All],[KC]],MATCH($C67,AllPitchers[[#All],[Name]],0)))</f>
        <v>-</v>
      </c>
      <c r="Y67" s="3" t="str">
        <f>IF($C67="","",INDEX(AllPitchers[[#All],[KN]],MATCH($C67,AllPitchers[[#All],[Name]],0)))</f>
        <v>-</v>
      </c>
      <c r="Z67" s="46" t="str">
        <f>IF($C67="","",INDEX(AllPitchers[[#All],[VELO]],MATCH($C67,AllPitchers[[#All],[Name]],0)))</f>
        <v>92-94 Mph</v>
      </c>
      <c r="AA67" s="5">
        <f>IF($C67="","",INDEX(AllPitchers[[#All],[STM]],MATCH($C67,AllPitchers[[#All],[Name]],0)))</f>
        <v>7</v>
      </c>
      <c r="AB67" s="73" t="str">
        <f>IF($C67="","",INDEX(AllPitchers[[#All],[G/F]],MATCH($C67,AllPitchers[[#All],[Name]],0)))</f>
        <v>EX GB</v>
      </c>
      <c r="AC67" s="60">
        <f>IF($C67="","",INDEX(AllPitchers[[#All],[OVR SMC]],MATCH($C67,AllPitchers[[#All],[Name]],0)))</f>
        <v>6.75</v>
      </c>
      <c r="AD67" s="238">
        <f>IF($C67="","",INDEX(AllPitchers[[#All],[STU P]],MATCH($C67,AllPitchers[[#All],[Name]],0)))</f>
        <v>5</v>
      </c>
      <c r="AE67" s="238">
        <f>IF($C67="","",INDEX(AllPitchers[[#All],[MOV P]],MATCH($C67,AllPitchers[[#All],[Name]],0)))</f>
        <v>5</v>
      </c>
      <c r="AF67" s="239">
        <f>IF($C67="","",INDEX(AllPitchers[[#All],[CON P]],MATCH($C67,AllPitchers[[#All],[Name]],0)))</f>
        <v>8</v>
      </c>
      <c r="AG67" s="60">
        <f>IF($C67="","",INDEX(AllPitchers[[#All],[POT SMC]],MATCH($C67,AllPitchers[[#All],[Name]],0)))</f>
        <v>6.75</v>
      </c>
    </row>
    <row r="68" spans="1:33" x14ac:dyDescent="0.25">
      <c r="A68">
        <v>4</v>
      </c>
      <c r="B68" s="29" t="s">
        <v>11</v>
      </c>
      <c r="C68" s="58" t="s">
        <v>550</v>
      </c>
      <c r="D68" s="30">
        <f>IF($C68="","",INDEX(AllPitchers[[#All],[Age]],MATCH($C68,AllPitchers[[#All],[Name]],0)))</f>
        <v>31</v>
      </c>
      <c r="E68" s="30" t="str">
        <f>IF($C68="","",INDEX(AllPitchers[[#All],[T]],MATCH($C68,AllPitchers[[#All],[Name]],0)))</f>
        <v>R</v>
      </c>
      <c r="F68" s="46">
        <f t="shared" si="107"/>
        <v>0</v>
      </c>
      <c r="G68" s="5">
        <f t="shared" si="108"/>
        <v>0</v>
      </c>
      <c r="H68" s="3">
        <f t="shared" si="109"/>
        <v>0</v>
      </c>
      <c r="I68" s="92" t="str">
        <f>IF($C68="","",VLOOKUP($C68,AMAPit!$A$10:$BJ$122,I$51,FALSE))</f>
        <v>R</v>
      </c>
      <c r="J68" s="5">
        <f>IF($C68="","",INDEX(AllPitchers[[#All],[Age]],MATCH($C68,AllPitchers[[#All],[Name]],0)))</f>
        <v>31</v>
      </c>
      <c r="K68" s="46">
        <f>IF($C68="","",INDEX(AllPitchers[[#All],[STU]],MATCH($C68,AllPitchers[[#All],[Name]],0)))</f>
        <v>4</v>
      </c>
      <c r="L68" s="5">
        <f>IF($C68="","",INDEX(AllPitchers[[#All],[MOV]],MATCH($C68,AllPitchers[[#All],[Name]],0)))</f>
        <v>3</v>
      </c>
      <c r="M68" s="3">
        <f>IF($C68="","",INDEX(AllPitchers[[#All],[CON]],MATCH($C68,AllPitchers[[#All],[Name]],0)))</f>
        <v>9</v>
      </c>
      <c r="N68" s="5" t="str">
        <f>IF($C68="","",INDEX(AllPitchers[[#All],[FB]],MATCH($C68,AllPitchers[[#All],[Name]],0)))</f>
        <v>-</v>
      </c>
      <c r="O68" s="5">
        <f>IF($C68="","",INDEX(AllPitchers[[#All],[CH]],MATCH($C68,AllPitchers[[#All],[Name]],0)))</f>
        <v>6</v>
      </c>
      <c r="P68" s="5">
        <f>IF($C68="","",INDEX(AllPitchers[[#All],[CH]],MATCH($C68,AllPitchers[[#All],[Name]],0)))</f>
        <v>6</v>
      </c>
      <c r="Q68" s="5">
        <f>IF($C68="","",INDEX(AllPitchers[[#All],[SL]],MATCH($C68,AllPitchers[[#All],[Name]],0)))</f>
        <v>6</v>
      </c>
      <c r="R68" s="5" t="str">
        <f>IF($C68="","",INDEX(AllPitchers[[#All],[SI]],MATCH($C68,AllPitchers[[#All],[Name]],0)))</f>
        <v>-</v>
      </c>
      <c r="S68" s="5" t="str">
        <f>IF($C68="","",INDEX(AllPitchers[[#All],[SP]],MATCH($C68,AllPitchers[[#All],[Name]],0)))</f>
        <v>-</v>
      </c>
      <c r="T68" s="5">
        <f>IF($C68="","",INDEX(AllPitchers[[#All],[CT]],MATCH($C68,AllPitchers[[#All],[Name]],0)))</f>
        <v>6</v>
      </c>
      <c r="U68" s="5" t="str">
        <f>IF($C68="","",INDEX(AllPitchers[[#All],[FO]],MATCH($C68,AllPitchers[[#All],[Name]],0)))</f>
        <v>-</v>
      </c>
      <c r="V68" s="5" t="str">
        <f>IF($C68="","",INDEX(AllPitchers[[#All],[CC]],MATCH($C68,AllPitchers[[#All],[Name]],0)))</f>
        <v>-</v>
      </c>
      <c r="W68" s="5" t="str">
        <f>IF($C68="","",INDEX(AllPitchers[[#All],[SC]],MATCH($C68,AllPitchers[[#All],[Name]],0)))</f>
        <v>-</v>
      </c>
      <c r="X68" s="5" t="str">
        <f>IF($C68="","",INDEX(AllPitchers[[#All],[KC]],MATCH($C68,AllPitchers[[#All],[Name]],0)))</f>
        <v>-</v>
      </c>
      <c r="Y68" s="3" t="str">
        <f>IF($C68="","",INDEX(AllPitchers[[#All],[KN]],MATCH($C68,AllPitchers[[#All],[Name]],0)))</f>
        <v>-</v>
      </c>
      <c r="Z68" s="46" t="str">
        <f>IF($C68="","",INDEX(AllPitchers[[#All],[VELO]],MATCH($C68,AllPitchers[[#All],[Name]],0)))</f>
        <v>91-93 Mph</v>
      </c>
      <c r="AA68" s="5">
        <f>IF($C68="","",INDEX(AllPitchers[[#All],[STM]],MATCH($C68,AllPitchers[[#All],[Name]],0)))</f>
        <v>6</v>
      </c>
      <c r="AB68" s="73" t="str">
        <f>IF($C68="","",INDEX(AllPitchers[[#All],[G/F]],MATCH($C68,AllPitchers[[#All],[Name]],0)))</f>
        <v>GB</v>
      </c>
      <c r="AC68" s="60">
        <f>IF($C68="","",INDEX(AllPitchers[[#All],[OVR SMC]],MATCH($C68,AllPitchers[[#All],[Name]],0)))</f>
        <v>5.833333333333333</v>
      </c>
      <c r="AD68" s="238">
        <f>IF($C68="","",INDEX(AllPitchers[[#All],[STU P]],MATCH($C68,AllPitchers[[#All],[Name]],0)))</f>
        <v>4</v>
      </c>
      <c r="AE68" s="238">
        <f>IF($C68="","",INDEX(AllPitchers[[#All],[MOV P]],MATCH($C68,AllPitchers[[#All],[Name]],0)))</f>
        <v>3</v>
      </c>
      <c r="AF68" s="239">
        <f>IF($C68="","",INDEX(AllPitchers[[#All],[CON P]],MATCH($C68,AllPitchers[[#All],[Name]],0)))</f>
        <v>9</v>
      </c>
      <c r="AG68" s="60">
        <f>IF($C68="","",INDEX(AllPitchers[[#All],[POT SMC]],MATCH($C68,AllPitchers[[#All],[Name]],0)))</f>
        <v>5.833333333333333</v>
      </c>
    </row>
    <row r="69" spans="1:33" x14ac:dyDescent="0.25">
      <c r="A69">
        <v>5</v>
      </c>
      <c r="B69" s="29" t="s">
        <v>11</v>
      </c>
      <c r="C69" s="58" t="s">
        <v>1068</v>
      </c>
      <c r="D69" s="30">
        <f>IF($C69="","",INDEX(AllPitchers[[#All],[Age]],MATCH($C69,AllPitchers[[#All],[Name]],0)))</f>
        <v>33</v>
      </c>
      <c r="E69" s="30" t="str">
        <f>IF($C69="","",INDEX(AllPitchers[[#All],[T]],MATCH($C69,AllPitchers[[#All],[Name]],0)))</f>
        <v>R</v>
      </c>
      <c r="F69" s="46">
        <f t="shared" si="107"/>
        <v>0</v>
      </c>
      <c r="G69" s="5">
        <f t="shared" si="108"/>
        <v>0</v>
      </c>
      <c r="H69" s="3">
        <f t="shared" si="109"/>
        <v>0</v>
      </c>
      <c r="I69" s="92" t="str">
        <f>IF($C69="","",VLOOKUP($C69,AMAPit!$A$10:$BJ$122,I$51,FALSE))</f>
        <v>R</v>
      </c>
      <c r="J69" s="5">
        <f>IF($C69="","",INDEX(AllPitchers[[#All],[Age]],MATCH($C69,AllPitchers[[#All],[Name]],0)))</f>
        <v>33</v>
      </c>
      <c r="K69" s="46">
        <f>IF($C69="","",INDEX(AllPitchers[[#All],[STU]],MATCH($C69,AllPitchers[[#All],[Name]],0)))</f>
        <v>9</v>
      </c>
      <c r="L69" s="5">
        <f>IF($C69="","",INDEX(AllPitchers[[#All],[MOV]],MATCH($C69,AllPitchers[[#All],[Name]],0)))</f>
        <v>1</v>
      </c>
      <c r="M69" s="3">
        <f>IF($C69="","",INDEX(AllPitchers[[#All],[CON]],MATCH($C69,AllPitchers[[#All],[Name]],0)))</f>
        <v>7</v>
      </c>
      <c r="N69" s="5">
        <f>IF($C69="","",INDEX(AllPitchers[[#All],[FB]],MATCH($C69,AllPitchers[[#All],[Name]],0)))</f>
        <v>9</v>
      </c>
      <c r="O69" s="5" t="str">
        <f>IF($C69="","",INDEX(AllPitchers[[#All],[CH]],MATCH($C69,AllPitchers[[#All],[Name]],0)))</f>
        <v>-</v>
      </c>
      <c r="P69" s="5" t="str">
        <f>IF($C69="","",INDEX(AllPitchers[[#All],[CH]],MATCH($C69,AllPitchers[[#All],[Name]],0)))</f>
        <v>-</v>
      </c>
      <c r="Q69" s="5">
        <f>IF($C69="","",INDEX(AllPitchers[[#All],[SL]],MATCH($C69,AllPitchers[[#All],[Name]],0)))</f>
        <v>9</v>
      </c>
      <c r="R69" s="5" t="str">
        <f>IF($C69="","",INDEX(AllPitchers[[#All],[SI]],MATCH($C69,AllPitchers[[#All],[Name]],0)))</f>
        <v>-</v>
      </c>
      <c r="S69" s="5" t="str">
        <f>IF($C69="","",INDEX(AllPitchers[[#All],[SP]],MATCH($C69,AllPitchers[[#All],[Name]],0)))</f>
        <v>-</v>
      </c>
      <c r="T69" s="5" t="str">
        <f>IF($C69="","",INDEX(AllPitchers[[#All],[CT]],MATCH($C69,AllPitchers[[#All],[Name]],0)))</f>
        <v>-</v>
      </c>
      <c r="U69" s="5" t="str">
        <f>IF($C69="","",INDEX(AllPitchers[[#All],[FO]],MATCH($C69,AllPitchers[[#All],[Name]],0)))</f>
        <v>-</v>
      </c>
      <c r="V69" s="5" t="str">
        <f>IF($C69="","",INDEX(AllPitchers[[#All],[CC]],MATCH($C69,AllPitchers[[#All],[Name]],0)))</f>
        <v>-</v>
      </c>
      <c r="W69" s="5" t="str">
        <f>IF($C69="","",INDEX(AllPitchers[[#All],[SC]],MATCH($C69,AllPitchers[[#All],[Name]],0)))</f>
        <v>-</v>
      </c>
      <c r="X69" s="5" t="str">
        <f>IF($C69="","",INDEX(AllPitchers[[#All],[KC]],MATCH($C69,AllPitchers[[#All],[Name]],0)))</f>
        <v>-</v>
      </c>
      <c r="Y69" s="3" t="str">
        <f>IF($C69="","",INDEX(AllPitchers[[#All],[KN]],MATCH($C69,AllPitchers[[#All],[Name]],0)))</f>
        <v>-</v>
      </c>
      <c r="Z69" s="46" t="str">
        <f>IF($C69="","",INDEX(AllPitchers[[#All],[VELO]],MATCH($C69,AllPitchers[[#All],[Name]],0)))</f>
        <v>99-101 Mph</v>
      </c>
      <c r="AA69" s="5">
        <f>IF($C69="","",INDEX(AllPitchers[[#All],[STM]],MATCH($C69,AllPitchers[[#All],[Name]],0)))</f>
        <v>4</v>
      </c>
      <c r="AB69" s="73" t="str">
        <f>IF($C69="","",INDEX(AllPitchers[[#All],[G/F]],MATCH($C69,AllPitchers[[#All],[Name]],0)))</f>
        <v>FB</v>
      </c>
      <c r="AC69" s="60">
        <f>IF($C69="","",INDEX(AllPitchers[[#All],[OVR SMC]],MATCH($C69,AllPitchers[[#All],[Name]],0)))</f>
        <v>6.166666666666667</v>
      </c>
      <c r="AD69" s="238">
        <f>IF($C69="","",INDEX(AllPitchers[[#All],[STU P]],MATCH($C69,AllPitchers[[#All],[Name]],0)))</f>
        <v>9</v>
      </c>
      <c r="AE69" s="238">
        <f>IF($C69="","",INDEX(AllPitchers[[#All],[MOV P]],MATCH($C69,AllPitchers[[#All],[Name]],0)))</f>
        <v>1</v>
      </c>
      <c r="AF69" s="239">
        <f>IF($C69="","",INDEX(AllPitchers[[#All],[CON P]],MATCH($C69,AllPitchers[[#All],[Name]],0)))</f>
        <v>7</v>
      </c>
      <c r="AG69" s="60">
        <f>IF($C69="","",INDEX(AllPitchers[[#All],[POT SMC]],MATCH($C69,AllPitchers[[#All],[Name]],0)))</f>
        <v>6.166666666666667</v>
      </c>
    </row>
    <row r="70" spans="1:33" x14ac:dyDescent="0.25">
      <c r="A70">
        <v>6</v>
      </c>
      <c r="B70" s="29" t="s">
        <v>11</v>
      </c>
      <c r="C70" s="58" t="s">
        <v>1067</v>
      </c>
      <c r="D70" s="30">
        <f>IF($C70="","",INDEX(AllPitchers[[#All],[Age]],MATCH($C70,AllPitchers[[#All],[Name]],0)))</f>
        <v>28</v>
      </c>
      <c r="E70" s="30" t="str">
        <f>IF($C70="","",INDEX(AllPitchers[[#All],[T]],MATCH($C70,AllPitchers[[#All],[Name]],0)))</f>
        <v>R</v>
      </c>
      <c r="F70" s="278">
        <f t="shared" si="107"/>
        <v>0</v>
      </c>
      <c r="G70" s="276">
        <f t="shared" si="108"/>
        <v>1</v>
      </c>
      <c r="H70" s="277">
        <f t="shared" si="109"/>
        <v>1</v>
      </c>
      <c r="I70" s="92" t="str">
        <f>IF($C70="","",VLOOKUP($C70,AMAPit!$A$10:$BJ$122,I$51,FALSE))</f>
        <v>R</v>
      </c>
      <c r="J70" s="276">
        <f>IF($C70="","",INDEX(AllPitchers[[#All],[Age]],MATCH($C70,AllPitchers[[#All],[Name]],0)))</f>
        <v>28</v>
      </c>
      <c r="K70" s="278">
        <f>IF($C70="","",INDEX(AllPitchers[[#All],[STU]],MATCH($C70,AllPitchers[[#All],[Name]],0)))</f>
        <v>7</v>
      </c>
      <c r="L70" s="276">
        <f>IF($C70="","",INDEX(AllPitchers[[#All],[MOV]],MATCH($C70,AllPitchers[[#All],[Name]],0)))</f>
        <v>7</v>
      </c>
      <c r="M70" s="277">
        <f>IF($C70="","",INDEX(AllPitchers[[#All],[CON]],MATCH($C70,AllPitchers[[#All],[Name]],0)))</f>
        <v>6</v>
      </c>
      <c r="N70" s="276">
        <f>IF($C70="","",INDEX(AllPitchers[[#All],[FB]],MATCH($C70,AllPitchers[[#All],[Name]],0)))</f>
        <v>8</v>
      </c>
      <c r="O70" s="276">
        <f>IF($C70="","",INDEX(AllPitchers[[#All],[CH]],MATCH($C70,AllPitchers[[#All],[Name]],0)))</f>
        <v>8</v>
      </c>
      <c r="P70" s="276">
        <f>IF($C70="","",INDEX(AllPitchers[[#All],[CH]],MATCH($C70,AllPitchers[[#All],[Name]],0)))</f>
        <v>8</v>
      </c>
      <c r="Q70" s="276">
        <f>IF($C70="","",INDEX(AllPitchers[[#All],[SL]],MATCH($C70,AllPitchers[[#All],[Name]],0)))</f>
        <v>4</v>
      </c>
      <c r="R70" s="276" t="str">
        <f>IF($C70="","",INDEX(AllPitchers[[#All],[SI]],MATCH($C70,AllPitchers[[#All],[Name]],0)))</f>
        <v>-</v>
      </c>
      <c r="S70" s="276" t="str">
        <f>IF($C70="","",INDEX(AllPitchers[[#All],[SP]],MATCH($C70,AllPitchers[[#All],[Name]],0)))</f>
        <v>-</v>
      </c>
      <c r="T70" s="276" t="str">
        <f>IF($C70="","",INDEX(AllPitchers[[#All],[CT]],MATCH($C70,AllPitchers[[#All],[Name]],0)))</f>
        <v>-</v>
      </c>
      <c r="U70" s="276" t="str">
        <f>IF($C70="","",INDEX(AllPitchers[[#All],[FO]],MATCH($C70,AllPitchers[[#All],[Name]],0)))</f>
        <v>-</v>
      </c>
      <c r="V70" s="276" t="str">
        <f>IF($C70="","",INDEX(AllPitchers[[#All],[CC]],MATCH($C70,AllPitchers[[#All],[Name]],0)))</f>
        <v>-</v>
      </c>
      <c r="W70" s="276" t="str">
        <f>IF($C70="","",INDEX(AllPitchers[[#All],[SC]],MATCH($C70,AllPitchers[[#All],[Name]],0)))</f>
        <v>-</v>
      </c>
      <c r="X70" s="276" t="str">
        <f>IF($C70="","",INDEX(AllPitchers[[#All],[KC]],MATCH($C70,AllPitchers[[#All],[Name]],0)))</f>
        <v>-</v>
      </c>
      <c r="Y70" s="277" t="str">
        <f>IF($C70="","",INDEX(AllPitchers[[#All],[KN]],MATCH($C70,AllPitchers[[#All],[Name]],0)))</f>
        <v>-</v>
      </c>
      <c r="Z70" s="278" t="str">
        <f>IF($C70="","",INDEX(AllPitchers[[#All],[VELO]],MATCH($C70,AllPitchers[[#All],[Name]],0)))</f>
        <v>97-99 Mph</v>
      </c>
      <c r="AA70" s="276">
        <f>IF($C70="","",INDEX(AllPitchers[[#All],[STM]],MATCH($C70,AllPitchers[[#All],[Name]],0)))</f>
        <v>7</v>
      </c>
      <c r="AB70" s="73" t="str">
        <f>IF($C70="","",INDEX(AllPitchers[[#All],[G/F]],MATCH($C70,AllPitchers[[#All],[Name]],0)))</f>
        <v>EX GB</v>
      </c>
      <c r="AC70" s="60">
        <f>IF($C70="","",INDEX(AllPitchers[[#All],[OVR SMC]],MATCH($C70,AllPitchers[[#All],[Name]],0)))</f>
        <v>7.416666666666667</v>
      </c>
      <c r="AD70" s="276">
        <f>IF($C70="","",INDEX(AllPitchers[[#All],[STU P]],MATCH($C70,AllPitchers[[#All],[Name]],0)))</f>
        <v>7</v>
      </c>
      <c r="AE70" s="276">
        <f>IF($C70="","",INDEX(AllPitchers[[#All],[MOV P]],MATCH($C70,AllPitchers[[#All],[Name]],0)))</f>
        <v>7</v>
      </c>
      <c r="AF70" s="277">
        <f>IF($C70="","",INDEX(AllPitchers[[#All],[CON P]],MATCH($C70,AllPitchers[[#All],[Name]],0)))</f>
        <v>7</v>
      </c>
      <c r="AG70" s="60">
        <f>IF($C70="","",INDEX(AllPitchers[[#All],[POT SMC]],MATCH($C70,AllPitchers[[#All],[Name]],0)))</f>
        <v>7.75</v>
      </c>
    </row>
    <row r="71" spans="1:33" x14ac:dyDescent="0.25">
      <c r="A71">
        <v>7</v>
      </c>
      <c r="B71" s="29" t="s">
        <v>11</v>
      </c>
      <c r="C71" s="58"/>
      <c r="D71" s="30" t="str">
        <f>IF($C71="","",INDEX(AllPitchers[[#All],[Age]],MATCH($C71,AllPitchers[[#All],[Name]],0)))</f>
        <v/>
      </c>
      <c r="E71" s="30" t="str">
        <f>IF($C71="","",INDEX(AllPitchers[[#All],[T]],MATCH($C71,AllPitchers[[#All],[Name]],0)))</f>
        <v/>
      </c>
      <c r="F71" s="278" t="str">
        <f t="shared" si="107"/>
        <v/>
      </c>
      <c r="G71" s="276" t="str">
        <f t="shared" si="108"/>
        <v/>
      </c>
      <c r="H71" s="277" t="str">
        <f t="shared" si="109"/>
        <v/>
      </c>
      <c r="I71" s="92" t="str">
        <f>IF($C71="","",VLOOKUP($C71,AMAPit!$A$10:$BJ$122,I$51,FALSE))</f>
        <v/>
      </c>
      <c r="J71" s="276" t="str">
        <f>IF($C71="","",INDEX(AllPitchers[[#All],[Age]],MATCH($C71,AllPitchers[[#All],[Name]],0)))</f>
        <v/>
      </c>
      <c r="K71" s="278" t="str">
        <f>IF($C71="","",INDEX(AllPitchers[[#All],[STU]],MATCH($C71,AllPitchers[[#All],[Name]],0)))</f>
        <v/>
      </c>
      <c r="L71" s="276" t="str">
        <f>IF($C71="","",INDEX(AllPitchers[[#All],[MOV]],MATCH($C71,AllPitchers[[#All],[Name]],0)))</f>
        <v/>
      </c>
      <c r="M71" s="277" t="str">
        <f>IF($C71="","",INDEX(AllPitchers[[#All],[CON]],MATCH($C71,AllPitchers[[#All],[Name]],0)))</f>
        <v/>
      </c>
      <c r="N71" s="276" t="str">
        <f>IF($C71="","",INDEX(AllPitchers[[#All],[FB]],MATCH($C71,AllPitchers[[#All],[Name]],0)))</f>
        <v/>
      </c>
      <c r="O71" s="276" t="str">
        <f>IF($C71="","",INDEX(AllPitchers[[#All],[CH]],MATCH($C71,AllPitchers[[#All],[Name]],0)))</f>
        <v/>
      </c>
      <c r="P71" s="276" t="str">
        <f>IF($C71="","",INDEX(AllPitchers[[#All],[CH]],MATCH($C71,AllPitchers[[#All],[Name]],0)))</f>
        <v/>
      </c>
      <c r="Q71" s="276" t="str">
        <f>IF($C71="","",INDEX(AllPitchers[[#All],[SL]],MATCH($C71,AllPitchers[[#All],[Name]],0)))</f>
        <v/>
      </c>
      <c r="R71" s="276" t="str">
        <f>IF($C71="","",INDEX(AllPitchers[[#All],[SI]],MATCH($C71,AllPitchers[[#All],[Name]],0)))</f>
        <v/>
      </c>
      <c r="S71" s="276" t="str">
        <f>IF($C71="","",INDEX(AllPitchers[[#All],[SP]],MATCH($C71,AllPitchers[[#All],[Name]],0)))</f>
        <v/>
      </c>
      <c r="T71" s="276" t="str">
        <f>IF($C71="","",INDEX(AllPitchers[[#All],[CT]],MATCH($C71,AllPitchers[[#All],[Name]],0)))</f>
        <v/>
      </c>
      <c r="U71" s="276" t="str">
        <f>IF($C71="","",INDEX(AllPitchers[[#All],[FO]],MATCH($C71,AllPitchers[[#All],[Name]],0)))</f>
        <v/>
      </c>
      <c r="V71" s="276" t="str">
        <f>IF($C71="","",INDEX(AllPitchers[[#All],[CC]],MATCH($C71,AllPitchers[[#All],[Name]],0)))</f>
        <v/>
      </c>
      <c r="W71" s="276" t="str">
        <f>IF($C71="","",INDEX(AllPitchers[[#All],[SC]],MATCH($C71,AllPitchers[[#All],[Name]],0)))</f>
        <v/>
      </c>
      <c r="X71" s="276" t="str">
        <f>IF($C71="","",INDEX(AllPitchers[[#All],[KC]],MATCH($C71,AllPitchers[[#All],[Name]],0)))</f>
        <v/>
      </c>
      <c r="Y71" s="277" t="str">
        <f>IF($C71="","",INDEX(AllPitchers[[#All],[KN]],MATCH($C71,AllPitchers[[#All],[Name]],0)))</f>
        <v/>
      </c>
      <c r="Z71" s="278" t="str">
        <f>IF($C71="","",INDEX(AllPitchers[[#All],[VELO]],MATCH($C71,AllPitchers[[#All],[Name]],0)))</f>
        <v/>
      </c>
      <c r="AA71" s="276" t="str">
        <f>IF($C71="","",INDEX(AllPitchers[[#All],[STM]],MATCH($C71,AllPitchers[[#All],[Name]],0)))</f>
        <v/>
      </c>
      <c r="AB71" s="73" t="str">
        <f>IF($C71="","",INDEX(AllPitchers[[#All],[G/F]],MATCH($C71,AllPitchers[[#All],[Name]],0)))</f>
        <v/>
      </c>
      <c r="AC71" s="60" t="str">
        <f>IF($C71="","",INDEX(AllPitchers[[#All],[OVR SMC]],MATCH($C71,AllPitchers[[#All],[Name]],0)))</f>
        <v/>
      </c>
      <c r="AD71" s="276" t="str">
        <f>IF($C71="","",INDEX(AllPitchers[[#All],[STU P]],MATCH($C71,AllPitchers[[#All],[Name]],0)))</f>
        <v/>
      </c>
      <c r="AE71" s="276" t="str">
        <f>IF($C71="","",INDEX(AllPitchers[[#All],[MOV P]],MATCH($C71,AllPitchers[[#All],[Name]],0)))</f>
        <v/>
      </c>
      <c r="AF71" s="277" t="str">
        <f>IF($C71="","",INDEX(AllPitchers[[#All],[CON P]],MATCH($C71,AllPitchers[[#All],[Name]],0)))</f>
        <v/>
      </c>
      <c r="AG71" s="60" t="str">
        <f>IF($C71="","",INDEX(AllPitchers[[#All],[POT SMC]],MATCH($C71,AllPitchers[[#All],[Name]],0)))</f>
        <v/>
      </c>
    </row>
    <row r="72" spans="1:33" x14ac:dyDescent="0.25">
      <c r="A72">
        <v>8</v>
      </c>
      <c r="B72" s="29" t="s">
        <v>11</v>
      </c>
      <c r="C72" s="58" t="s">
        <v>1158</v>
      </c>
      <c r="D72" s="30">
        <f>IF($C72="","",INDEX(AllPitchers[[#All],[Age]],MATCH($C72,AllPitchers[[#All],[Name]],0)))</f>
        <v>22</v>
      </c>
      <c r="E72" s="30" t="str">
        <f>IF($C72="","",INDEX(AllPitchers[[#All],[T]],MATCH($C72,AllPitchers[[#All],[Name]],0)))</f>
        <v>R</v>
      </c>
      <c r="F72" s="278">
        <f t="shared" si="107"/>
        <v>0</v>
      </c>
      <c r="G72" s="276">
        <f t="shared" si="108"/>
        <v>0</v>
      </c>
      <c r="H72" s="277">
        <f t="shared" si="109"/>
        <v>0</v>
      </c>
      <c r="I72" s="92" t="str">
        <f>IF($C72="","",VLOOKUP($C72,AMAPit!$A$10:$BJ$122,I$51,FALSE))</f>
        <v>R</v>
      </c>
      <c r="J72" s="276">
        <f>IF($C72="","",INDEX(AllPitchers[[#All],[Age]],MATCH($C72,AllPitchers[[#All],[Name]],0)))</f>
        <v>22</v>
      </c>
      <c r="K72" s="278">
        <f>IF($C72="","",INDEX(AllPitchers[[#All],[STU]],MATCH($C72,AllPitchers[[#All],[Name]],0)))</f>
        <v>6</v>
      </c>
      <c r="L72" s="276">
        <f>IF($C72="","",INDEX(AllPitchers[[#All],[MOV]],MATCH($C72,AllPitchers[[#All],[Name]],0)))</f>
        <v>5</v>
      </c>
      <c r="M72" s="277">
        <f>IF($C72="","",INDEX(AllPitchers[[#All],[CON]],MATCH($C72,AllPitchers[[#All],[Name]],0)))</f>
        <v>7</v>
      </c>
      <c r="N72" s="276">
        <f>IF($C72="","",INDEX(AllPitchers[[#All],[FB]],MATCH($C72,AllPitchers[[#All],[Name]],0)))</f>
        <v>9</v>
      </c>
      <c r="O72" s="276">
        <f>IF($C72="","",INDEX(AllPitchers[[#All],[CH]],MATCH($C72,AllPitchers[[#All],[Name]],0)))</f>
        <v>6</v>
      </c>
      <c r="P72" s="276">
        <f>IF($C72="","",INDEX(AllPitchers[[#All],[CH]],MATCH($C72,AllPitchers[[#All],[Name]],0)))</f>
        <v>6</v>
      </c>
      <c r="Q72" s="276">
        <f>IF($C72="","",INDEX(AllPitchers[[#All],[SL]],MATCH($C72,AllPitchers[[#All],[Name]],0)))</f>
        <v>8</v>
      </c>
      <c r="R72" s="276" t="str">
        <f>IF($C72="","",INDEX(AllPitchers[[#All],[SI]],MATCH($C72,AllPitchers[[#All],[Name]],0)))</f>
        <v>-</v>
      </c>
      <c r="S72" s="276" t="str">
        <f>IF($C72="","",INDEX(AllPitchers[[#All],[SP]],MATCH($C72,AllPitchers[[#All],[Name]],0)))</f>
        <v>-</v>
      </c>
      <c r="T72" s="276" t="str">
        <f>IF($C72="","",INDEX(AllPitchers[[#All],[CT]],MATCH($C72,AllPitchers[[#All],[Name]],0)))</f>
        <v>-</v>
      </c>
      <c r="U72" s="276" t="str">
        <f>IF($C72="","",INDEX(AllPitchers[[#All],[FO]],MATCH($C72,AllPitchers[[#All],[Name]],0)))</f>
        <v>-</v>
      </c>
      <c r="V72" s="276" t="str">
        <f>IF($C72="","",INDEX(AllPitchers[[#All],[CC]],MATCH($C72,AllPitchers[[#All],[Name]],0)))</f>
        <v>-</v>
      </c>
      <c r="W72" s="276" t="str">
        <f>IF($C72="","",INDEX(AllPitchers[[#All],[SC]],MATCH($C72,AllPitchers[[#All],[Name]],0)))</f>
        <v>-</v>
      </c>
      <c r="X72" s="276" t="str">
        <f>IF($C72="","",INDEX(AllPitchers[[#All],[KC]],MATCH($C72,AllPitchers[[#All],[Name]],0)))</f>
        <v>-</v>
      </c>
      <c r="Y72" s="277" t="str">
        <f>IF($C72="","",INDEX(AllPitchers[[#All],[KN]],MATCH($C72,AllPitchers[[#All],[Name]],0)))</f>
        <v>-</v>
      </c>
      <c r="Z72" s="278" t="str">
        <f>IF($C72="","",INDEX(AllPitchers[[#All],[VELO]],MATCH($C72,AllPitchers[[#All],[Name]],0)))</f>
        <v>97-99 Mph</v>
      </c>
      <c r="AA72" s="276">
        <f>IF($C72="","",INDEX(AllPitchers[[#All],[STM]],MATCH($C72,AllPitchers[[#All],[Name]],0)))</f>
        <v>6</v>
      </c>
      <c r="AB72" s="73" t="str">
        <f>IF($C72="","",INDEX(AllPitchers[[#All],[G/F]],MATCH($C72,AllPitchers[[#All],[Name]],0)))</f>
        <v>NEU</v>
      </c>
      <c r="AC72" s="60">
        <f>IF($C72="","",INDEX(AllPitchers[[#All],[OVR SMC]],MATCH($C72,AllPitchers[[#All],[Name]],0)))</f>
        <v>6.5</v>
      </c>
      <c r="AD72" s="276">
        <f>IF($C72="","",INDEX(AllPitchers[[#All],[STU P]],MATCH($C72,AllPitchers[[#All],[Name]],0)))</f>
        <v>7</v>
      </c>
      <c r="AE72" s="276">
        <f>IF($C72="","",INDEX(AllPitchers[[#All],[MOV P]],MATCH($C72,AllPitchers[[#All],[Name]],0)))</f>
        <v>5</v>
      </c>
      <c r="AF72" s="277">
        <f>IF($C72="","",INDEX(AllPitchers[[#All],[CON P]],MATCH($C72,AllPitchers[[#All],[Name]],0)))</f>
        <v>10</v>
      </c>
      <c r="AG72" s="60">
        <f>IF($C72="","",INDEX(AllPitchers[[#All],[POT SMC]],MATCH($C72,AllPitchers[[#All],[Name]],0)))</f>
        <v>7.833333333333333</v>
      </c>
    </row>
    <row r="73" spans="1:33" x14ac:dyDescent="0.25">
      <c r="A73">
        <v>9</v>
      </c>
      <c r="B73" s="29" t="s">
        <v>11</v>
      </c>
      <c r="C73" s="58"/>
      <c r="D73" s="30" t="str">
        <f>IF($C73="","",INDEX(AllPitchers[[#All],[Age]],MATCH($C73,AllPitchers[[#All],[Name]],0)))</f>
        <v/>
      </c>
      <c r="E73" s="30" t="str">
        <f>IF($C73="","",INDEX(AllPitchers[[#All],[T]],MATCH($C73,AllPitchers[[#All],[Name]],0)))</f>
        <v/>
      </c>
      <c r="F73" s="278" t="str">
        <f t="shared" si="107"/>
        <v/>
      </c>
      <c r="G73" s="276" t="str">
        <f t="shared" si="108"/>
        <v/>
      </c>
      <c r="H73" s="277" t="str">
        <f t="shared" si="109"/>
        <v/>
      </c>
      <c r="I73" s="92" t="str">
        <f>IF($C73="","",VLOOKUP($C73,AMAPit!$A$10:$BJ$122,I$51,FALSE))</f>
        <v/>
      </c>
      <c r="J73" s="276" t="str">
        <f>IF($C73="","",INDEX(AllPitchers[[#All],[Age]],MATCH($C73,AllPitchers[[#All],[Name]],0)))</f>
        <v/>
      </c>
      <c r="K73" s="278" t="str">
        <f>IF($C73="","",INDEX(AllPitchers[[#All],[STU]],MATCH($C73,AllPitchers[[#All],[Name]],0)))</f>
        <v/>
      </c>
      <c r="L73" s="276" t="str">
        <f>IF($C73="","",INDEX(AllPitchers[[#All],[MOV]],MATCH($C73,AllPitchers[[#All],[Name]],0)))</f>
        <v/>
      </c>
      <c r="M73" s="277" t="str">
        <f>IF($C73="","",INDEX(AllPitchers[[#All],[CON]],MATCH($C73,AllPitchers[[#All],[Name]],0)))</f>
        <v/>
      </c>
      <c r="N73" s="276" t="str">
        <f>IF($C73="","",INDEX(AllPitchers[[#All],[FB]],MATCH($C73,AllPitchers[[#All],[Name]],0)))</f>
        <v/>
      </c>
      <c r="O73" s="276" t="str">
        <f>IF($C73="","",INDEX(AllPitchers[[#All],[CH]],MATCH($C73,AllPitchers[[#All],[Name]],0)))</f>
        <v/>
      </c>
      <c r="P73" s="276" t="str">
        <f>IF($C73="","",INDEX(AllPitchers[[#All],[CH]],MATCH($C73,AllPitchers[[#All],[Name]],0)))</f>
        <v/>
      </c>
      <c r="Q73" s="276" t="str">
        <f>IF($C73="","",INDEX(AllPitchers[[#All],[SL]],MATCH($C73,AllPitchers[[#All],[Name]],0)))</f>
        <v/>
      </c>
      <c r="R73" s="276" t="str">
        <f>IF($C73="","",INDEX(AllPitchers[[#All],[SI]],MATCH($C73,AllPitchers[[#All],[Name]],0)))</f>
        <v/>
      </c>
      <c r="S73" s="276" t="str">
        <f>IF($C73="","",INDEX(AllPitchers[[#All],[SP]],MATCH($C73,AllPitchers[[#All],[Name]],0)))</f>
        <v/>
      </c>
      <c r="T73" s="276" t="str">
        <f>IF($C73="","",INDEX(AllPitchers[[#All],[CT]],MATCH($C73,AllPitchers[[#All],[Name]],0)))</f>
        <v/>
      </c>
      <c r="U73" s="276" t="str">
        <f>IF($C73="","",INDEX(AllPitchers[[#All],[FO]],MATCH($C73,AllPitchers[[#All],[Name]],0)))</f>
        <v/>
      </c>
      <c r="V73" s="276" t="str">
        <f>IF($C73="","",INDEX(AllPitchers[[#All],[CC]],MATCH($C73,AllPitchers[[#All],[Name]],0)))</f>
        <v/>
      </c>
      <c r="W73" s="276" t="str">
        <f>IF($C73="","",INDEX(AllPitchers[[#All],[SC]],MATCH($C73,AllPitchers[[#All],[Name]],0)))</f>
        <v/>
      </c>
      <c r="X73" s="276" t="str">
        <f>IF($C73="","",INDEX(AllPitchers[[#All],[KC]],MATCH($C73,AllPitchers[[#All],[Name]],0)))</f>
        <v/>
      </c>
      <c r="Y73" s="277" t="str">
        <f>IF($C73="","",INDEX(AllPitchers[[#All],[KN]],MATCH($C73,AllPitchers[[#All],[Name]],0)))</f>
        <v/>
      </c>
      <c r="Z73" s="278" t="str">
        <f>IF($C73="","",INDEX(AllPitchers[[#All],[VELO]],MATCH($C73,AllPitchers[[#All],[Name]],0)))</f>
        <v/>
      </c>
      <c r="AA73" s="276" t="str">
        <f>IF($C73="","",INDEX(AllPitchers[[#All],[STM]],MATCH($C73,AllPitchers[[#All],[Name]],0)))</f>
        <v/>
      </c>
      <c r="AB73" s="73" t="str">
        <f>IF($C73="","",INDEX(AllPitchers[[#All],[G/F]],MATCH($C73,AllPitchers[[#All],[Name]],0)))</f>
        <v/>
      </c>
      <c r="AC73" s="60" t="str">
        <f>IF($C73="","",INDEX(AllPitchers[[#All],[OVR SMC]],MATCH($C73,AllPitchers[[#All],[Name]],0)))</f>
        <v/>
      </c>
      <c r="AD73" s="276" t="str">
        <f>IF($C73="","",INDEX(AllPitchers[[#All],[STU P]],MATCH($C73,AllPitchers[[#All],[Name]],0)))</f>
        <v/>
      </c>
      <c r="AE73" s="276" t="str">
        <f>IF($C73="","",INDEX(AllPitchers[[#All],[MOV P]],MATCH($C73,AllPitchers[[#All],[Name]],0)))</f>
        <v/>
      </c>
      <c r="AF73" s="277" t="str">
        <f>IF($C73="","",INDEX(AllPitchers[[#All],[CON P]],MATCH($C73,AllPitchers[[#All],[Name]],0)))</f>
        <v/>
      </c>
      <c r="AG73" s="60" t="str">
        <f>IF($C73="","",INDEX(AllPitchers[[#All],[POT SMC]],MATCH($C73,AllPitchers[[#All],[Name]],0)))</f>
        <v/>
      </c>
    </row>
    <row r="74" spans="1:33" x14ac:dyDescent="0.25">
      <c r="A74">
        <v>10</v>
      </c>
      <c r="B74" s="32" t="s">
        <v>11</v>
      </c>
      <c r="C74" s="33"/>
      <c r="D74" s="33" t="str">
        <f>IF($C74="","",INDEX(AllPitchers[[#All],[Age]],MATCH($C74,AllPitchers[[#All],[Name]],0)))</f>
        <v/>
      </c>
      <c r="E74" s="33" t="str">
        <f>IF($C74="","",INDEX(AllPitchers[[#All],[T]],MATCH($C74,AllPitchers[[#All],[Name]],0)))</f>
        <v/>
      </c>
      <c r="F74" s="47" t="str">
        <f t="shared" si="107"/>
        <v/>
      </c>
      <c r="G74" s="34" t="str">
        <f t="shared" si="108"/>
        <v/>
      </c>
      <c r="H74" s="55" t="str">
        <f t="shared" si="109"/>
        <v/>
      </c>
      <c r="I74" s="93" t="str">
        <f>IF($C74="","",VLOOKUP($C74,AMAPit!$A$10:$BJ$122,I$51,FALSE))</f>
        <v/>
      </c>
      <c r="J74" s="34" t="str">
        <f>IF($C74="","",INDEX(AllPitchers[[#All],[Age]],MATCH($C74,AllPitchers[[#All],[Name]],0)))</f>
        <v/>
      </c>
      <c r="K74" s="47" t="str">
        <f>IF($C74="","",INDEX(AllPitchers[[#All],[STU]],MATCH($C74,AllPitchers[[#All],[Name]],0)))</f>
        <v/>
      </c>
      <c r="L74" s="34" t="str">
        <f>IF($C74="","",INDEX(AllPitchers[[#All],[MOV]],MATCH($C74,AllPitchers[[#All],[Name]],0)))</f>
        <v/>
      </c>
      <c r="M74" s="55" t="str">
        <f>IF($C74="","",INDEX(AllPitchers[[#All],[CON]],MATCH($C74,AllPitchers[[#All],[Name]],0)))</f>
        <v/>
      </c>
      <c r="N74" s="34" t="str">
        <f>IF($C74="","",INDEX(AllPitchers[[#All],[FB]],MATCH($C74,AllPitchers[[#All],[Name]],0)))</f>
        <v/>
      </c>
      <c r="O74" s="34" t="str">
        <f>IF($C74="","",INDEX(AllPitchers[[#All],[CH]],MATCH($C74,AllPitchers[[#All],[Name]],0)))</f>
        <v/>
      </c>
      <c r="P74" s="34" t="str">
        <f>IF($C74="","",INDEX(AllPitchers[[#All],[CH]],MATCH($C74,AllPitchers[[#All],[Name]],0)))</f>
        <v/>
      </c>
      <c r="Q74" s="34" t="str">
        <f>IF($C74="","",INDEX(AllPitchers[[#All],[SL]],MATCH($C74,AllPitchers[[#All],[Name]],0)))</f>
        <v/>
      </c>
      <c r="R74" s="34" t="str">
        <f>IF($C74="","",INDEX(AllPitchers[[#All],[SI]],MATCH($C74,AllPitchers[[#All],[Name]],0)))</f>
        <v/>
      </c>
      <c r="S74" s="34" t="str">
        <f>IF($C74="","",INDEX(AllPitchers[[#All],[SP]],MATCH($C74,AllPitchers[[#All],[Name]],0)))</f>
        <v/>
      </c>
      <c r="T74" s="34" t="str">
        <f>IF($C74="","",INDEX(AllPitchers[[#All],[CT]],MATCH($C74,AllPitchers[[#All],[Name]],0)))</f>
        <v/>
      </c>
      <c r="U74" s="34" t="str">
        <f>IF($C74="","",INDEX(AllPitchers[[#All],[FO]],MATCH($C74,AllPitchers[[#All],[Name]],0)))</f>
        <v/>
      </c>
      <c r="V74" s="34" t="str">
        <f>IF($C74="","",INDEX(AllPitchers[[#All],[CC]],MATCH($C74,AllPitchers[[#All],[Name]],0)))</f>
        <v/>
      </c>
      <c r="W74" s="34" t="str">
        <f>IF($C74="","",INDEX(AllPitchers[[#All],[SC]],MATCH($C74,AllPitchers[[#All],[Name]],0)))</f>
        <v/>
      </c>
      <c r="X74" s="34" t="str">
        <f>IF($C74="","",INDEX(AllPitchers[[#All],[KC]],MATCH($C74,AllPitchers[[#All],[Name]],0)))</f>
        <v/>
      </c>
      <c r="Y74" s="55" t="str">
        <f>IF($C74="","",INDEX(AllPitchers[[#All],[KN]],MATCH($C74,AllPitchers[[#All],[Name]],0)))</f>
        <v/>
      </c>
      <c r="Z74" s="47" t="str">
        <f>IF($C74="","",INDEX(AllPitchers[[#All],[VELO]],MATCH($C74,AllPitchers[[#All],[Name]],0)))</f>
        <v/>
      </c>
      <c r="AA74" s="34" t="str">
        <f>IF($C74="","",INDEX(AllPitchers[[#All],[STM]],MATCH($C74,AllPitchers[[#All],[Name]],0)))</f>
        <v/>
      </c>
      <c r="AB74" s="74" t="str">
        <f>IF($C74="","",INDEX(AllPitchers[[#All],[G/F]],MATCH($C74,AllPitchers[[#All],[Name]],0)))</f>
        <v/>
      </c>
      <c r="AC74" s="61" t="str">
        <f>IF($C74="","",INDEX(AllPitchers[[#All],[OVR SMC]],MATCH($C74,AllPitchers[[#All],[Name]],0)))</f>
        <v/>
      </c>
      <c r="AD74" s="236" t="str">
        <f>IF($C74="","",INDEX(AllPitchers[[#All],[STU P]],MATCH($C74,AllPitchers[[#All],[Name]],0)))</f>
        <v/>
      </c>
      <c r="AE74" s="236" t="str">
        <f>IF($C74="","",INDEX(AllPitchers[[#All],[MOV P]],MATCH($C74,AllPitchers[[#All],[Name]],0)))</f>
        <v/>
      </c>
      <c r="AF74" s="237" t="str">
        <f>IF($C74="","",INDEX(AllPitchers[[#All],[CON P]],MATCH($C74,AllPitchers[[#All],[Name]],0)))</f>
        <v/>
      </c>
      <c r="AG74" s="61" t="str">
        <f>IF($C74="","",INDEX(AllPitchers[[#All],[POT SMC]],MATCH($C74,AllPitchers[[#All],[Name]],0)))</f>
        <v/>
      </c>
    </row>
  </sheetData>
  <mergeCells count="22">
    <mergeCell ref="AH48:AT48"/>
    <mergeCell ref="AH43:AT43"/>
    <mergeCell ref="AH44:AT44"/>
    <mergeCell ref="AH45:AT45"/>
    <mergeCell ref="AH46:AT46"/>
    <mergeCell ref="AH47:AT47"/>
    <mergeCell ref="AG38:AT38"/>
    <mergeCell ref="AH39:AT39"/>
    <mergeCell ref="AH40:AT40"/>
    <mergeCell ref="AH41:AT41"/>
    <mergeCell ref="AH42:AT42"/>
    <mergeCell ref="AG26:AT26"/>
    <mergeCell ref="AH31:AT31"/>
    <mergeCell ref="AH29:AT29"/>
    <mergeCell ref="AH27:AT27"/>
    <mergeCell ref="AH30:AT30"/>
    <mergeCell ref="AH28:AT28"/>
    <mergeCell ref="AH32:AT32"/>
    <mergeCell ref="AH33:AT33"/>
    <mergeCell ref="AH34:AT34"/>
    <mergeCell ref="AH35:AT35"/>
    <mergeCell ref="AH36:AT36"/>
  </mergeCells>
  <conditionalFormatting sqref="G13">
    <cfRule type="expression" dxfId="141" priority="22">
      <formula>IF(SUM(G14:G19)&gt;1,1,0)</formula>
    </cfRule>
  </conditionalFormatting>
  <conditionalFormatting sqref="H13">
    <cfRule type="expression" dxfId="140" priority="21">
      <formula>IF(SUM(H14:H19)&gt;1,1,0)</formula>
    </cfRule>
  </conditionalFormatting>
  <conditionalFormatting sqref="F13">
    <cfRule type="expression" dxfId="139" priority="20">
      <formula>IF(SUM(F14:F19)&gt;1,1,0)</formula>
    </cfRule>
  </conditionalFormatting>
  <conditionalFormatting sqref="I2">
    <cfRule type="expression" dxfId="138" priority="18">
      <formula>-IF(SUM(I3:I11)&gt;1,1,0)</formula>
    </cfRule>
  </conditionalFormatting>
  <conditionalFormatting sqref="H2">
    <cfRule type="expression" dxfId="137" priority="17">
      <formula>-IF(SUM(H3:H11)&gt;1,1,0)</formula>
    </cfRule>
  </conditionalFormatting>
  <conditionalFormatting sqref="F21">
    <cfRule type="expression" dxfId="136" priority="16">
      <formula>IF(SUM($F$22:$F$24)&gt;1,1,0)</formula>
    </cfRule>
  </conditionalFormatting>
  <conditionalFormatting sqref="F52">
    <cfRule type="expression" dxfId="135" priority="15">
      <formula>IF(SUM($F$53:$F$58)&gt;1,1,0)</formula>
    </cfRule>
  </conditionalFormatting>
  <conditionalFormatting sqref="H52">
    <cfRule type="expression" dxfId="134" priority="14">
      <formula>IF(SUM($H$53:$H$58)&gt;3,1,0)</formula>
    </cfRule>
  </conditionalFormatting>
  <conditionalFormatting sqref="G52">
    <cfRule type="expression" dxfId="133" priority="13">
      <formula>IF(SUM($G$53:$G$58)&gt;2,1,0)</formula>
    </cfRule>
  </conditionalFormatting>
  <conditionalFormatting sqref="C22:C24 C14:C19 C3:C11">
    <cfRule type="expression" dxfId="132" priority="9">
      <formula>IF($AK3&lt;4.5,1,0)</formula>
    </cfRule>
    <cfRule type="expression" dxfId="131" priority="10">
      <formula>IF($AK3&gt;7,1,0)</formula>
    </cfRule>
  </conditionalFormatting>
  <conditionalFormatting sqref="C15">
    <cfRule type="expression" dxfId="130" priority="7">
      <formula>IF($AK15&lt;4.5,1,0)</formula>
    </cfRule>
    <cfRule type="expression" dxfId="129" priority="8">
      <formula>IF($AK15&gt;7,1,0)</formula>
    </cfRule>
  </conditionalFormatting>
  <conditionalFormatting sqref="F2">
    <cfRule type="expression" dxfId="128" priority="6">
      <formula>IF(SUM(F3:F11)&gt;1,1,0)</formula>
    </cfRule>
  </conditionalFormatting>
  <conditionalFormatting sqref="G2">
    <cfRule type="expression" dxfId="127" priority="5">
      <formula>IF(SUM(G3:G11)&gt;1,1,0)</formula>
    </cfRule>
  </conditionalFormatting>
  <conditionalFormatting sqref="C31">
    <cfRule type="expression" dxfId="126" priority="3">
      <formula>IF($AK31&lt;4.5,1,0)</formula>
    </cfRule>
    <cfRule type="expression" dxfId="125" priority="4">
      <formula>IF($AK31&gt;7,1,0)</formula>
    </cfRule>
  </conditionalFormatting>
  <conditionalFormatting sqref="C32">
    <cfRule type="expression" dxfId="124" priority="1">
      <formula>IF($AK32&lt;4.5,1,0)</formula>
    </cfRule>
    <cfRule type="expression" dxfId="123" priority="2">
      <formula>IF($AK32&gt;7,1,0)</formula>
    </cfRule>
  </conditionalFormatting>
  <pageMargins left="0.7" right="0.7" top="0.75" bottom="0.75" header="0.3" footer="0.3"/>
  <pageSetup orientation="portrait" r:id="rId1"/>
  <ignoredErrors>
    <ignoredError sqref="J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5">
    <tabColor theme="9"/>
  </sheetPr>
  <dimension ref="A1:CR146"/>
  <sheetViews>
    <sheetView tabSelected="1" zoomScale="85" zoomScaleNormal="85" workbookViewId="0">
      <pane xSplit="16" ySplit="10" topLeftCell="V11" activePane="bottomRight" state="frozenSplit"/>
      <selection pane="topRight" activeCell="H1" sqref="H1"/>
      <selection pane="bottomLeft"/>
      <selection pane="bottomRight" activeCell="AF12" sqref="AF12"/>
    </sheetView>
  </sheetViews>
  <sheetFormatPr defaultColWidth="11.42578125" defaultRowHeight="15" x14ac:dyDescent="0.25"/>
  <cols>
    <col min="1" max="1" width="8.140625" style="306" customWidth="1"/>
    <col min="2" max="2" width="6.140625" style="20" bestFit="1" customWidth="1"/>
    <col min="3" max="3" width="6.7109375" style="20" bestFit="1" customWidth="1"/>
    <col min="4" max="4" width="6.85546875" bestFit="1" customWidth="1"/>
    <col min="5" max="5" width="7.140625" bestFit="1" customWidth="1"/>
    <col min="6" max="6" width="6.5703125" bestFit="1" customWidth="1"/>
    <col min="7" max="7" width="7.5703125" customWidth="1"/>
    <col min="8" max="8" width="14.7109375" customWidth="1"/>
    <col min="9" max="9" width="16.85546875" style="305" customWidth="1"/>
    <col min="10" max="10" width="6.5703125" bestFit="1" customWidth="1"/>
    <col min="11" max="11" width="6.7109375" bestFit="1" customWidth="1"/>
    <col min="12" max="12" width="7" bestFit="1" customWidth="1"/>
    <col min="13" max="13" width="5" bestFit="1" customWidth="1"/>
    <col min="14" max="14" width="4.85546875" bestFit="1" customWidth="1"/>
    <col min="15" max="15" width="7.5703125" bestFit="1" customWidth="1"/>
    <col min="16" max="16" width="7.140625" style="3" bestFit="1" customWidth="1"/>
    <col min="17" max="17" width="9.7109375" bestFit="1" customWidth="1"/>
    <col min="18" max="18" width="9.7109375" style="3" bestFit="1" customWidth="1"/>
    <col min="19" max="19" width="7.5703125" bestFit="1" customWidth="1"/>
    <col min="20" max="20" width="7.42578125" bestFit="1" customWidth="1"/>
    <col min="21" max="21" width="8" bestFit="1" customWidth="1"/>
    <col min="22" max="22" width="6.85546875" bestFit="1" customWidth="1"/>
    <col min="23" max="23" width="6.42578125" style="3" bestFit="1" customWidth="1"/>
    <col min="24" max="24" width="9" bestFit="1" customWidth="1"/>
    <col min="25" max="25" width="8.85546875" bestFit="1" customWidth="1"/>
    <col min="26" max="26" width="9.5703125" bestFit="1" customWidth="1"/>
    <col min="27" max="27" width="8.42578125" bestFit="1" customWidth="1"/>
    <col min="28" max="28" width="6.5703125" style="3" bestFit="1" customWidth="1"/>
    <col min="29" max="29" width="9.85546875" bestFit="1" customWidth="1"/>
    <col min="30" max="30" width="10.7109375" bestFit="1" customWidth="1"/>
    <col min="31" max="31" width="9.42578125" bestFit="1" customWidth="1"/>
    <col min="32" max="32" width="9.42578125" style="305" customWidth="1"/>
    <col min="33" max="33" width="4.85546875" bestFit="1" customWidth="1"/>
    <col min="34" max="36" width="6" bestFit="1" customWidth="1"/>
    <col min="37" max="37" width="5.85546875" bestFit="1" customWidth="1"/>
    <col min="38" max="38" width="5.7109375" bestFit="1" customWidth="1"/>
    <col min="39" max="39" width="5.85546875" bestFit="1" customWidth="1"/>
    <col min="40" max="40" width="6" style="3" bestFit="1" customWidth="1"/>
    <col min="41" max="42" width="6.85546875" bestFit="1" customWidth="1"/>
    <col min="43" max="43" width="7.7109375" style="3" bestFit="1" customWidth="1"/>
    <col min="44" max="44" width="12.5703125" bestFit="1" customWidth="1"/>
    <col min="45" max="45" width="9.5703125" style="3" bestFit="1" customWidth="1"/>
    <col min="46" max="46" width="9.5703125" style="365" customWidth="1"/>
    <col min="47" max="47" width="11.28515625" customWidth="1"/>
    <col min="48" max="48" width="9.7109375" style="5" customWidth="1"/>
    <col min="49" max="49" width="10.7109375" customWidth="1"/>
    <col min="50" max="50" width="9" bestFit="1" customWidth="1"/>
    <col min="51" max="51" width="6" customWidth="1"/>
    <col min="52" max="52" width="9" bestFit="1" customWidth="1"/>
    <col min="53" max="53" width="6.140625" style="46" customWidth="1"/>
    <col min="54" max="60" width="6.140625" style="5" customWidth="1"/>
    <col min="61" max="61" width="6.140625" style="3" customWidth="1"/>
    <col min="62" max="62" width="5.7109375" style="46" customWidth="1"/>
    <col min="63" max="69" width="5.7109375" style="5" customWidth="1"/>
    <col min="70" max="70" width="5.7109375" style="3" customWidth="1"/>
    <col min="71" max="71" width="5.28515625" customWidth="1"/>
    <col min="72" max="72" width="5.85546875" customWidth="1"/>
    <col min="73" max="73" width="6" customWidth="1"/>
    <col min="74" max="74" width="12.5703125" style="98" customWidth="1"/>
    <col min="75" max="75" width="7.140625" style="84" customWidth="1"/>
    <col min="76" max="76" width="8.7109375" style="84" customWidth="1"/>
    <col min="77" max="77" width="11.42578125" style="84"/>
    <col min="78" max="78" width="11.140625" style="84" customWidth="1"/>
    <col min="79" max="79" width="11.28515625" style="84" customWidth="1"/>
    <col min="80" max="80" width="11" style="84" customWidth="1"/>
    <col min="81" max="81" width="11.140625" style="84" customWidth="1"/>
    <col min="82" max="82" width="11.28515625" style="84" customWidth="1"/>
    <col min="83" max="83" width="6" style="84" customWidth="1"/>
    <col min="84" max="84" width="7.28515625" style="84" customWidth="1"/>
    <col min="85" max="85" width="6.28515625" style="84" customWidth="1"/>
    <col min="86" max="86" width="6.140625" style="84" customWidth="1"/>
    <col min="87" max="87" width="10.28515625" style="84" customWidth="1"/>
    <col min="88" max="88" width="5" style="256" customWidth="1"/>
    <col min="89" max="91" width="6.140625" style="256" customWidth="1"/>
    <col min="92" max="92" width="6" style="256" customWidth="1"/>
    <col min="93" max="93" width="5.7109375" style="256" customWidth="1"/>
    <col min="94" max="94" width="5.85546875" style="256" bestFit="1" customWidth="1"/>
    <col min="95" max="95" width="7.140625" style="256" customWidth="1"/>
    <col min="96" max="96" width="6.5703125" style="256" bestFit="1" customWidth="1"/>
    <col min="97" max="16384" width="11.42578125" style="84"/>
  </cols>
  <sheetData>
    <row r="1" spans="1:96" s="88" customFormat="1" x14ac:dyDescent="0.25">
      <c r="A1" s="329"/>
      <c r="B1" s="65"/>
      <c r="C1" s="65" t="s">
        <v>80</v>
      </c>
      <c r="D1" s="5" t="s">
        <v>124</v>
      </c>
      <c r="E1" s="5"/>
      <c r="F1" s="5" t="s">
        <v>194</v>
      </c>
      <c r="G1" s="5" t="s">
        <v>195</v>
      </c>
      <c r="H1" s="5" t="s">
        <v>196</v>
      </c>
      <c r="I1" s="322"/>
      <c r="J1" s="20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36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6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100"/>
      <c r="CJ1" s="255"/>
      <c r="CK1" s="255"/>
      <c r="CL1" s="255"/>
      <c r="CM1" s="255"/>
      <c r="CN1" s="255"/>
      <c r="CO1" s="255"/>
      <c r="CP1" s="255"/>
      <c r="CQ1" s="255"/>
      <c r="CR1" s="255"/>
    </row>
    <row r="2" spans="1:96" s="88" customFormat="1" x14ac:dyDescent="0.25">
      <c r="A2" s="329"/>
      <c r="B2" s="65" t="s">
        <v>184</v>
      </c>
      <c r="C2" s="65">
        <f>COUNTIF($B$11:$B$140,B2)</f>
        <v>11</v>
      </c>
      <c r="D2" s="88">
        <f>VLOOKUP($B2,AMAPit!$B$2:$C$8,2,FALSE)</f>
        <v>12</v>
      </c>
      <c r="E2" s="5">
        <v>26</v>
      </c>
      <c r="F2" s="106">
        <f>C2/$E2</f>
        <v>0.42307692307692307</v>
      </c>
      <c r="G2" s="106">
        <f>D2/$E2</f>
        <v>0.46153846153846156</v>
      </c>
      <c r="H2" s="105">
        <f>(C2+D2)/$E2</f>
        <v>0.88461538461538458</v>
      </c>
      <c r="I2" s="105"/>
      <c r="J2" s="105"/>
      <c r="K2" s="10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36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36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100"/>
      <c r="CJ2" s="255"/>
      <c r="CK2" s="255"/>
      <c r="CL2" s="255"/>
      <c r="CM2" s="255"/>
      <c r="CN2" s="255"/>
      <c r="CO2" s="255"/>
      <c r="CP2" s="255"/>
      <c r="CQ2" s="255"/>
      <c r="CR2" s="255"/>
    </row>
    <row r="3" spans="1:96" s="88" customFormat="1" x14ac:dyDescent="0.25">
      <c r="A3" s="329"/>
      <c r="B3" s="65" t="s">
        <v>185</v>
      </c>
      <c r="C3" s="65">
        <f>COUNTIF($B$11:$B$140,B3)</f>
        <v>1</v>
      </c>
      <c r="D3" s="88">
        <f>VLOOKUP($B3,AMAPit!$B$2:$C$8,2,FALSE)</f>
        <v>0</v>
      </c>
      <c r="E3" s="5">
        <v>27</v>
      </c>
      <c r="F3" s="106">
        <f t="shared" ref="F3:F8" si="0">C3/$E3</f>
        <v>3.7037037037037035E-2</v>
      </c>
      <c r="G3" s="106">
        <f t="shared" ref="G3:G8" si="1">D3/$E3</f>
        <v>0</v>
      </c>
      <c r="H3" s="105">
        <f t="shared" ref="H3:H8" si="2">(C3+D3)/$E3</f>
        <v>3.7037037037037035E-2</v>
      </c>
      <c r="I3" s="105"/>
      <c r="J3" s="105"/>
      <c r="K3" s="10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6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36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100"/>
      <c r="CJ3" s="255"/>
      <c r="CK3" s="255"/>
      <c r="CL3" s="255"/>
      <c r="CM3" s="255"/>
      <c r="CN3" s="255"/>
      <c r="CO3" s="255"/>
      <c r="CP3" s="255"/>
      <c r="CQ3" s="255"/>
      <c r="CR3" s="255"/>
    </row>
    <row r="4" spans="1:96" s="88" customFormat="1" x14ac:dyDescent="0.25">
      <c r="A4" s="329"/>
      <c r="B4" s="65" t="s">
        <v>186</v>
      </c>
      <c r="C4" s="65">
        <f>COUNTIF($B$11:$B$140,B4)</f>
        <v>0</v>
      </c>
      <c r="D4" s="88">
        <f>VLOOKUP($B4,AMAPit!$B$2:$C$8,2,FALSE)</f>
        <v>0</v>
      </c>
      <c r="E4" s="5">
        <v>27</v>
      </c>
      <c r="F4" s="106">
        <f t="shared" si="0"/>
        <v>0</v>
      </c>
      <c r="G4" s="106">
        <f t="shared" si="1"/>
        <v>0</v>
      </c>
      <c r="H4" s="105">
        <f t="shared" si="2"/>
        <v>0</v>
      </c>
      <c r="I4" s="105"/>
      <c r="J4" s="105"/>
      <c r="K4" s="10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36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36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100"/>
      <c r="CJ4" s="255"/>
      <c r="CK4" s="255"/>
      <c r="CL4" s="255"/>
      <c r="CM4" s="255"/>
      <c r="CN4" s="255"/>
      <c r="CO4" s="255"/>
      <c r="CP4" s="255"/>
      <c r="CQ4" s="255"/>
      <c r="CR4" s="255"/>
    </row>
    <row r="5" spans="1:96" s="88" customFormat="1" x14ac:dyDescent="0.25">
      <c r="A5" s="329"/>
      <c r="B5" s="65" t="s">
        <v>187</v>
      </c>
      <c r="C5" s="65">
        <f>COUNTIF($B$11:$B$140,B5)</f>
        <v>0</v>
      </c>
      <c r="D5" s="88">
        <f>VLOOKUP($B5,AMAPit!$B$2:$C$8,2,FALSE)</f>
        <v>0</v>
      </c>
      <c r="E5" s="5">
        <v>27</v>
      </c>
      <c r="F5" s="106">
        <f t="shared" si="0"/>
        <v>0</v>
      </c>
      <c r="G5" s="106">
        <f t="shared" si="1"/>
        <v>0</v>
      </c>
      <c r="H5" s="105">
        <f t="shared" si="2"/>
        <v>0</v>
      </c>
      <c r="I5" s="105"/>
      <c r="J5" s="105"/>
      <c r="K5" s="10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36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36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100"/>
      <c r="CJ5" s="255"/>
      <c r="CK5" s="255"/>
      <c r="CL5" s="255"/>
      <c r="CM5" s="255"/>
      <c r="CN5" s="255"/>
      <c r="CO5" s="255"/>
      <c r="CP5" s="255"/>
      <c r="CQ5" s="255"/>
      <c r="CR5" s="255"/>
    </row>
    <row r="6" spans="1:96" s="88" customFormat="1" x14ac:dyDescent="0.25">
      <c r="A6" s="329"/>
      <c r="B6" s="65" t="s">
        <v>277</v>
      </c>
      <c r="C6" s="65">
        <f>COUNTIF($B$11:$B$140,B6)</f>
        <v>0</v>
      </c>
      <c r="D6" s="88">
        <f>VLOOKUP($B6,AMAPit!$B$2:$C$8,2,FALSE)</f>
        <v>0</v>
      </c>
      <c r="E6" s="5">
        <v>35</v>
      </c>
      <c r="F6" s="106">
        <f t="shared" si="0"/>
        <v>0</v>
      </c>
      <c r="G6" s="106">
        <f t="shared" si="1"/>
        <v>0</v>
      </c>
      <c r="H6" s="105">
        <f t="shared" si="2"/>
        <v>0</v>
      </c>
      <c r="I6" s="105"/>
      <c r="J6" s="105"/>
      <c r="K6" s="10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36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36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100"/>
      <c r="CJ6" s="255"/>
      <c r="CK6" s="255"/>
      <c r="CL6" s="255"/>
      <c r="CM6" s="255"/>
      <c r="CN6" s="255"/>
      <c r="CO6" s="255"/>
      <c r="CP6" s="255"/>
      <c r="CQ6" s="255"/>
      <c r="CR6" s="255"/>
    </row>
    <row r="7" spans="1:96" s="88" customFormat="1" x14ac:dyDescent="0.25">
      <c r="A7" s="329"/>
      <c r="B7" s="65" t="s">
        <v>192</v>
      </c>
      <c r="C7" s="65">
        <f>COUNTBLANK($B$11:$B$140)-COUNTBLANK($H$11:$H$140)</f>
        <v>81</v>
      </c>
      <c r="D7" s="88">
        <f>VLOOKUP($B7,AMAPit!$B$2:$C$8,2,FALSE)</f>
        <v>74</v>
      </c>
      <c r="E7" s="5"/>
      <c r="F7" s="106"/>
      <c r="G7" s="106"/>
      <c r="H7" s="105"/>
      <c r="I7" s="105"/>
      <c r="J7" s="105"/>
      <c r="K7" s="10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36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36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100"/>
      <c r="CJ7" s="255"/>
      <c r="CK7" s="255"/>
      <c r="CL7" s="255"/>
      <c r="CM7" s="255"/>
      <c r="CN7" s="255"/>
      <c r="CO7" s="255"/>
      <c r="CP7" s="255"/>
      <c r="CQ7" s="255"/>
      <c r="CR7" s="255"/>
    </row>
    <row r="8" spans="1:96" s="88" customFormat="1" x14ac:dyDescent="0.25">
      <c r="A8" s="329"/>
      <c r="B8" s="65" t="s">
        <v>193</v>
      </c>
      <c r="C8" s="65">
        <f>SUM(C2:C7)</f>
        <v>93</v>
      </c>
      <c r="D8" s="5">
        <f>SUM(D2:D7)</f>
        <v>86</v>
      </c>
      <c r="E8" s="5">
        <f>SUM(E2:E7)</f>
        <v>142</v>
      </c>
      <c r="F8" s="106">
        <f t="shared" si="0"/>
        <v>0.65492957746478875</v>
      </c>
      <c r="G8" s="106">
        <f t="shared" si="1"/>
        <v>0.60563380281690138</v>
      </c>
      <c r="H8" s="105">
        <f t="shared" si="2"/>
        <v>1.2605633802816902</v>
      </c>
      <c r="I8" s="105"/>
      <c r="J8" s="105"/>
      <c r="K8" s="10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6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36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100"/>
      <c r="CJ8" s="255"/>
      <c r="CK8" s="255"/>
      <c r="CL8" s="255"/>
      <c r="CM8" s="255"/>
      <c r="CN8" s="255"/>
      <c r="CO8" s="255"/>
      <c r="CP8" s="255"/>
      <c r="CQ8" s="255"/>
      <c r="CR8" s="255"/>
    </row>
    <row r="9" spans="1:96" s="88" customFormat="1" x14ac:dyDescent="0.25">
      <c r="A9" s="329"/>
      <c r="B9" s="65"/>
      <c r="C9" s="65"/>
      <c r="D9" s="5"/>
      <c r="E9" s="5"/>
      <c r="F9" s="5"/>
      <c r="G9" s="5"/>
      <c r="H9" s="5"/>
      <c r="I9" s="322"/>
      <c r="J9" s="205"/>
      <c r="K9" s="5"/>
      <c r="L9" s="5"/>
      <c r="M9" s="5"/>
      <c r="N9" s="5"/>
      <c r="O9" s="5"/>
      <c r="P9" s="5"/>
      <c r="Q9" s="5"/>
      <c r="R9" s="5"/>
      <c r="S9" s="5">
        <v>8</v>
      </c>
      <c r="T9" s="5">
        <v>3</v>
      </c>
      <c r="U9" s="5">
        <v>7</v>
      </c>
      <c r="V9" s="5">
        <v>6</v>
      </c>
      <c r="W9" s="88">
        <v>1</v>
      </c>
      <c r="X9" s="5"/>
      <c r="Y9" s="5"/>
      <c r="Z9" s="5"/>
      <c r="AA9" s="5"/>
      <c r="AB9" s="5"/>
      <c r="AC9" s="5"/>
      <c r="AD9" s="5"/>
      <c r="AE9" s="5"/>
      <c r="AF9" s="36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36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100"/>
      <c r="CJ9" s="255">
        <f t="shared" ref="CJ9:CR9" si="3">COUNTIF(CJ11:CJ91,"X")</f>
        <v>11</v>
      </c>
      <c r="CK9" s="255">
        <f t="shared" si="3"/>
        <v>7</v>
      </c>
      <c r="CL9" s="255">
        <f t="shared" si="3"/>
        <v>14</v>
      </c>
      <c r="CM9" s="255">
        <f t="shared" si="3"/>
        <v>10</v>
      </c>
      <c r="CN9" s="255">
        <f t="shared" si="3"/>
        <v>9</v>
      </c>
      <c r="CO9" s="255">
        <f t="shared" si="3"/>
        <v>20</v>
      </c>
      <c r="CP9" s="255">
        <f t="shared" si="3"/>
        <v>7</v>
      </c>
      <c r="CQ9" s="255">
        <f t="shared" si="3"/>
        <v>9</v>
      </c>
      <c r="CR9" s="255">
        <f t="shared" si="3"/>
        <v>22</v>
      </c>
    </row>
    <row r="10" spans="1:96" s="97" customFormat="1" x14ac:dyDescent="0.25">
      <c r="A10" s="97" t="s">
        <v>12</v>
      </c>
      <c r="B10" s="111" t="s">
        <v>183</v>
      </c>
      <c r="C10" s="111" t="s">
        <v>97</v>
      </c>
      <c r="D10" s="4" t="s">
        <v>156</v>
      </c>
      <c r="E10" s="4" t="s">
        <v>157</v>
      </c>
      <c r="F10" s="4" t="s">
        <v>92</v>
      </c>
      <c r="G10" s="4" t="s">
        <v>911</v>
      </c>
      <c r="H10" s="4" t="s">
        <v>398</v>
      </c>
      <c r="I10" s="4" t="s">
        <v>399</v>
      </c>
      <c r="J10" s="4" t="s">
        <v>318</v>
      </c>
      <c r="K10" s="4" t="s">
        <v>274</v>
      </c>
      <c r="L10" s="4" t="s">
        <v>70</v>
      </c>
      <c r="M10" s="4" t="s">
        <v>80</v>
      </c>
      <c r="N10" s="4" t="s">
        <v>81</v>
      </c>
      <c r="O10" s="4" t="s">
        <v>13</v>
      </c>
      <c r="P10" s="2" t="s">
        <v>14</v>
      </c>
      <c r="Q10" s="4" t="s">
        <v>15</v>
      </c>
      <c r="R10" s="2" t="s">
        <v>16</v>
      </c>
      <c r="S10" s="4" t="s">
        <v>17</v>
      </c>
      <c r="T10" s="4" t="s">
        <v>18</v>
      </c>
      <c r="U10" s="4" t="s">
        <v>19</v>
      </c>
      <c r="V10" s="4" t="s">
        <v>20</v>
      </c>
      <c r="W10" s="2" t="s">
        <v>21</v>
      </c>
      <c r="X10" s="4" t="s">
        <v>22</v>
      </c>
      <c r="Y10" s="4" t="s">
        <v>23</v>
      </c>
      <c r="Z10" s="4" t="s">
        <v>24</v>
      </c>
      <c r="AA10" s="4" t="s">
        <v>25</v>
      </c>
      <c r="AB10" s="2" t="s">
        <v>26</v>
      </c>
      <c r="AC10" s="4" t="s">
        <v>178</v>
      </c>
      <c r="AD10" s="4" t="s">
        <v>275</v>
      </c>
      <c r="AE10" s="4" t="s">
        <v>276</v>
      </c>
      <c r="AF10" s="4" t="s">
        <v>759</v>
      </c>
      <c r="AG10" s="4" t="s">
        <v>71</v>
      </c>
      <c r="AH10" s="4" t="s">
        <v>73</v>
      </c>
      <c r="AI10" s="4" t="s">
        <v>74</v>
      </c>
      <c r="AJ10" s="4" t="s">
        <v>75</v>
      </c>
      <c r="AK10" s="4" t="s">
        <v>76</v>
      </c>
      <c r="AL10" s="4" t="s">
        <v>77</v>
      </c>
      <c r="AM10" s="4" t="s">
        <v>78</v>
      </c>
      <c r="AN10" s="2" t="s">
        <v>79</v>
      </c>
      <c r="AO10" s="4" t="s">
        <v>27</v>
      </c>
      <c r="AP10" s="4" t="s">
        <v>28</v>
      </c>
      <c r="AQ10" s="2" t="s">
        <v>29</v>
      </c>
      <c r="AR10" s="4" t="s">
        <v>30</v>
      </c>
      <c r="AS10" s="2" t="s">
        <v>31</v>
      </c>
      <c r="AT10" s="4" t="s">
        <v>760</v>
      </c>
      <c r="AU10" s="4" t="s">
        <v>94</v>
      </c>
      <c r="AV10" s="4" t="s">
        <v>67</v>
      </c>
      <c r="AW10" s="4" t="s">
        <v>95</v>
      </c>
      <c r="AX10" s="4" t="s">
        <v>68</v>
      </c>
      <c r="AY10" s="4" t="s">
        <v>66</v>
      </c>
      <c r="AZ10" s="4" t="s">
        <v>69</v>
      </c>
      <c r="BA10" s="29" t="s">
        <v>138</v>
      </c>
      <c r="BB10" s="4" t="s">
        <v>139</v>
      </c>
      <c r="BC10" s="4" t="s">
        <v>140</v>
      </c>
      <c r="BD10" s="4" t="s">
        <v>141</v>
      </c>
      <c r="BE10" s="4" t="s">
        <v>142</v>
      </c>
      <c r="BF10" s="4" t="s">
        <v>143</v>
      </c>
      <c r="BG10" s="4" t="s">
        <v>144</v>
      </c>
      <c r="BH10" s="4" t="s">
        <v>145</v>
      </c>
      <c r="BI10" s="2" t="s">
        <v>146</v>
      </c>
      <c r="BJ10" s="29" t="s">
        <v>147</v>
      </c>
      <c r="BK10" s="4" t="s">
        <v>148</v>
      </c>
      <c r="BL10" s="4" t="s">
        <v>149</v>
      </c>
      <c r="BM10" s="4" t="s">
        <v>150</v>
      </c>
      <c r="BN10" s="4" t="s">
        <v>151</v>
      </c>
      <c r="BO10" s="4" t="s">
        <v>152</v>
      </c>
      <c r="BP10" s="4" t="s">
        <v>153</v>
      </c>
      <c r="BQ10" s="4" t="s">
        <v>154</v>
      </c>
      <c r="BR10" s="2" t="s">
        <v>155</v>
      </c>
      <c r="BS10" s="2" t="s">
        <v>84</v>
      </c>
      <c r="BT10" s="4" t="s">
        <v>89</v>
      </c>
      <c r="BU10" s="4" t="s">
        <v>93</v>
      </c>
      <c r="BV10" s="104" t="s">
        <v>206</v>
      </c>
      <c r="BW10" s="97" t="s">
        <v>205</v>
      </c>
      <c r="BX10" s="97" t="s">
        <v>226</v>
      </c>
      <c r="BY10" s="97" t="s">
        <v>262</v>
      </c>
      <c r="BZ10" s="97" t="s">
        <v>310</v>
      </c>
      <c r="CA10" s="97" t="s">
        <v>311</v>
      </c>
      <c r="CB10" s="97" t="s">
        <v>312</v>
      </c>
      <c r="CC10" s="97" t="s">
        <v>313</v>
      </c>
      <c r="CD10" s="97" t="s">
        <v>314</v>
      </c>
      <c r="CE10" s="97" t="s">
        <v>315</v>
      </c>
      <c r="CF10" s="97" t="s">
        <v>319</v>
      </c>
      <c r="CG10" s="97" t="s">
        <v>320</v>
      </c>
      <c r="CH10" s="97" t="s">
        <v>321</v>
      </c>
      <c r="CI10" s="97" t="s">
        <v>334</v>
      </c>
      <c r="CJ10" s="258" t="s">
        <v>912</v>
      </c>
      <c r="CK10" s="258" t="s">
        <v>913</v>
      </c>
      <c r="CL10" s="258" t="s">
        <v>914</v>
      </c>
      <c r="CM10" s="258" t="s">
        <v>915</v>
      </c>
      <c r="CN10" s="258" t="s">
        <v>916</v>
      </c>
      <c r="CO10" s="258" t="s">
        <v>917</v>
      </c>
      <c r="CP10" s="258" t="s">
        <v>918</v>
      </c>
      <c r="CQ10" s="258" t="s">
        <v>919</v>
      </c>
      <c r="CR10" s="258" t="s">
        <v>10</v>
      </c>
    </row>
    <row r="11" spans="1:96" s="306" customFormat="1" x14ac:dyDescent="0.25">
      <c r="A11" s="240" t="str">
        <f>H11&amp;" "&amp;I11</f>
        <v>DAVE PETERSEN</v>
      </c>
      <c r="B11" s="240" t="str">
        <f>IF(ISERROR(VLOOKUP(A11,AMA!$C$3:$C$24,1,FALSE)),IF(ISERROR(VLOOKUP(A11,'END-AAA'!$C$6:$C$33,1,FALSE)),IF(ISERROR(VLOOKUP(A11,'DB-AA'!$C$6:$C$33,1,FALSE)),IF(ISERROR(VLOOKUP(A11,'UTR-A'!$C$6:$C$33,1,FALSE)),IF(ISERROR(VLOOKUP(A11,'FAI-S A'!$C$6:$C$33,1,FALSE)),"","S A"),"A"),"AA"),"AAA"),"ML")</f>
        <v>ML</v>
      </c>
      <c r="C11" s="241"/>
      <c r="D11" s="242">
        <f>IF(BL11=1,3,IF(BM11=1,4,IF(BJ11=1,1,IF(BN11=1,5,IF(BK11=1,2,IF(BO11=1,6,IF(BP11=1,7,IF(BQ11=1,8,IF(BR11=1,9,"-")))))))))</f>
        <v>4</v>
      </c>
      <c r="E11" s="242">
        <f>IF(BC11=1,3,IF(BD11=1,4,IF(BA11=1,1,IF(BE11=1,5,IF(BB11=1,2,IF(BF11=1,6,IF(BG11=1,7,IF(BH11=1,8,IF(BI11=1,9,"-")))))))))</f>
        <v>4</v>
      </c>
      <c r="F11" s="242" t="str">
        <f>IF(OR(OR(Q11="Very High",Q11="High"),AND(OR(Q11="Very High",Q11="High",Q11="Normal"),OR(R11="Very High",R11="High"))),"K","T")</f>
        <v>T</v>
      </c>
      <c r="G11" s="242" t="s">
        <v>73</v>
      </c>
      <c r="H11" s="242" t="s">
        <v>766</v>
      </c>
      <c r="I11" s="242" t="s">
        <v>767</v>
      </c>
      <c r="J11" s="242" t="s">
        <v>763</v>
      </c>
      <c r="K11" s="242" t="s">
        <v>402</v>
      </c>
      <c r="L11" s="242">
        <v>34</v>
      </c>
      <c r="M11" s="242" t="s">
        <v>82</v>
      </c>
      <c r="N11" s="242" t="s">
        <v>82</v>
      </c>
      <c r="O11" s="242" t="s">
        <v>865</v>
      </c>
      <c r="P11" s="243" t="s">
        <v>865</v>
      </c>
      <c r="Q11" s="242" t="s">
        <v>200</v>
      </c>
      <c r="R11" s="243" t="s">
        <v>200</v>
      </c>
      <c r="S11" s="242">
        <v>8</v>
      </c>
      <c r="T11" s="242">
        <v>6</v>
      </c>
      <c r="U11" s="242">
        <v>8</v>
      </c>
      <c r="V11" s="242">
        <v>5</v>
      </c>
      <c r="W11" s="243">
        <v>10</v>
      </c>
      <c r="X11" s="242">
        <v>8</v>
      </c>
      <c r="Y11" s="242">
        <v>6</v>
      </c>
      <c r="Z11" s="242">
        <v>8</v>
      </c>
      <c r="AA11" s="242">
        <v>5</v>
      </c>
      <c r="AB11" s="243">
        <v>10</v>
      </c>
      <c r="AC11" s="242">
        <v>3</v>
      </c>
      <c r="AD11" s="242">
        <v>1</v>
      </c>
      <c r="AE11" s="242">
        <v>1</v>
      </c>
      <c r="AF11" s="242" t="s">
        <v>32</v>
      </c>
      <c r="AG11" s="242" t="s">
        <v>32</v>
      </c>
      <c r="AH11" s="242">
        <v>8</v>
      </c>
      <c r="AI11" s="242" t="s">
        <v>32</v>
      </c>
      <c r="AJ11" s="242" t="s">
        <v>32</v>
      </c>
      <c r="AK11" s="242" t="s">
        <v>32</v>
      </c>
      <c r="AL11" s="242" t="s">
        <v>32</v>
      </c>
      <c r="AM11" s="242" t="s">
        <v>32</v>
      </c>
      <c r="AN11" s="243" t="s">
        <v>32</v>
      </c>
      <c r="AO11" s="242">
        <v>1</v>
      </c>
      <c r="AP11" s="242">
        <v>1</v>
      </c>
      <c r="AQ11" s="243">
        <v>2</v>
      </c>
      <c r="AR11" s="244">
        <v>10500000</v>
      </c>
      <c r="AS11" s="243">
        <v>1</v>
      </c>
      <c r="AT11" s="248" t="s">
        <v>779</v>
      </c>
      <c r="AU1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7.75</v>
      </c>
      <c r="AV11" s="246" t="str">
        <f>IF(AU11&gt;9,"SuperStar",IF(AU11&gt;8,"Star",IF(AU11&gt;6.5,"GoodReg",IF(AU11&gt;5,"Reg",IF(AU11&gt;4,"Bench","Minors")))))</f>
        <v>GoodReg</v>
      </c>
      <c r="AW11" s="245">
        <f>AVERAGE(X11,Z11,AA11)+IF(OR(X11&gt;7,AND(X11&gt;5,AA11&gt;5)),0.5,0)+IF(Z11&gt;7,0.25,0)+IF(X11&lt;6,-0.5*(6-X11),0)</f>
        <v>7.75</v>
      </c>
      <c r="AX11" s="245" t="str">
        <f>IF(AW11&gt;9,"SuperStar",IF(AW11&gt;8,"Star",IF(AW11&gt;6.5,"GoodReg",IF(AW11&gt;5,"Reg",IF(AW11&gt;4,"Bench","Minors")))))</f>
        <v>GoodReg</v>
      </c>
      <c r="AY11" s="246">
        <f>MIN(AU11+(MAX(0,25-L11))^1.5,AW11)</f>
        <v>7.75</v>
      </c>
      <c r="AZ11" s="246" t="str">
        <f>IF(AY11&gt;9,"SuperStar",IF(AY11&gt;8,"Star",IF(AY11&gt;6.5,"GoodReg",IF(AY11&gt;5,"Reg",IF(AY11&gt;4,"Bench","Minors")))))</f>
        <v>GoodReg</v>
      </c>
      <c r="BA11" s="247">
        <f>IF(AND(OR(S11+V11&gt;12,AND(S11&gt;6,V11&gt;6)),AO11&gt;6,OR(AP11&gt;=AO11,AP11&gt;6)),1,0)</f>
        <v>0</v>
      </c>
      <c r="BB11" s="248">
        <f>IF(OR(AND(S11&gt;6,W11&gt;6),S11+V11&gt;12),1,0)</f>
        <v>1</v>
      </c>
      <c r="BC11" s="248">
        <f>IF(AND(S11&gt;6,U11&gt;6,V11&gt;6),1,0)</f>
        <v>0</v>
      </c>
      <c r="BD11" s="248">
        <f>IF(AND(U11&gt;7,OR(S11&gt;6,V11&gt;6)),1,0)</f>
        <v>1</v>
      </c>
      <c r="BE11" s="248">
        <f>IF(AND(U11&gt;6,OR(S11&gt;6,V11&gt;6)),1,0)</f>
        <v>1</v>
      </c>
      <c r="BF11" s="248">
        <f>IF(AND(OR(S11&gt;6,U11&gt;6),OR(S11&gt;6,V11&gt;6)),1,0)</f>
        <v>1</v>
      </c>
      <c r="BG11" s="248">
        <f>IF(AND(S11&gt;4,OR(S11&gt;6,U11&gt;6,V11&gt;6)),1,0)</f>
        <v>1</v>
      </c>
      <c r="BH11" s="248">
        <f>IF(AND(S11&gt;4,OR(S11&gt;6,T11&gt;6,U11&gt;6,V11&gt;6)),1,0)</f>
        <v>1</v>
      </c>
      <c r="BI11" s="243">
        <f>IF(AND(S11&gt;4,MAX(S11:W11)&gt;6),1,0)</f>
        <v>1</v>
      </c>
      <c r="BJ11" s="247">
        <f>IF(AND(OR(X11+AA11&gt;12,AND(X11&gt;6,AA11&gt;6)),AO11&gt;6,OR(AP11&gt;=AO11,AP11&gt;6)),1,0)</f>
        <v>0</v>
      </c>
      <c r="BK11" s="248">
        <f>IF(OR(AND(X11&gt;6,AB11&gt;6),X11+AA11&gt;12),1,0)</f>
        <v>1</v>
      </c>
      <c r="BL11" s="248">
        <f>IF(AND(X11&gt;6,Z11&gt;6,AA11&gt;6),1,0)</f>
        <v>0</v>
      </c>
      <c r="BM11" s="248">
        <f>IF(AND(Z11&gt;7,OR(X11&gt;6,AA11&gt;6)),1,0)</f>
        <v>1</v>
      </c>
      <c r="BN11" s="248">
        <f>IF(AND(Z11&gt;6,OR(X11&gt;6,AA11&gt;6)),1,0)</f>
        <v>1</v>
      </c>
      <c r="BO11" s="248">
        <f>IF(AND(OR(X11&gt;6,Z11&gt;6),OR(X11&gt;6,AA11&gt;6)),1,0)</f>
        <v>1</v>
      </c>
      <c r="BP11" s="248">
        <f>IF(AND(X11&gt;4,OR(X11&gt;6,Z11&gt;6,AA11&gt;6)),1,0)</f>
        <v>1</v>
      </c>
      <c r="BQ11" s="248">
        <f>IF(AND(X11&gt;4,OR(X11&gt;6,Y11&gt;6,Z11&gt;6,AA11&gt;6)),1,0)</f>
        <v>1</v>
      </c>
      <c r="BR11" s="243">
        <f>IF(AND(X11&gt;4,MAX(X11:AB11)&gt;6),1,0)</f>
        <v>1</v>
      </c>
      <c r="BS11" s="243">
        <f>IF(AVERAGE(AO11:AP11)&gt;9,1,0)+IF(AVERAGE(AO11:AP11)&gt;7,1,0)+IF(AO11&gt;7,1,0)+IF(AP11&gt;7,1,0)+IF(AQ11&gt;8,1,0)+IF(AQ11&gt;6,1,0)</f>
        <v>0</v>
      </c>
      <c r="BT11" s="249">
        <f>IF(OR(MAX(AG11,AH11,AL11,AN11)&gt;6,MAX(AI11,AJ11,AK11,AM11)&gt;7),2,IF(MAX(AG11:AN11)&gt;4,1,0))</f>
        <v>2</v>
      </c>
      <c r="BU11" s="242" t="str">
        <f>IF(AS11=1,"Yes","")</f>
        <v>Yes</v>
      </c>
      <c r="BV11" s="241" t="str">
        <f>IF($B11="ML","There",IF(AND($X11&gt;=6,AVERAGE($Z11:$AA11)&gt;=6),"Likely",IF(OR($X11&gt;6,AND($X11=6,AVERAGE($Z11:$AA11)&gt;=3),AND($X11&gt;=5,AVERAGE($Z11:$AA11)&gt;=5),AVERAGE($X11,$Z11:$AA11)&gt;5),"Possible","Unlikely")))</f>
        <v>There</v>
      </c>
      <c r="BW11" s="242" t="str">
        <f>IF(OR(AND(S11&gt;=6,U11+V11&gt;=12),S11&gt;7),"Start",IF(AND(S11&gt;=5,U11+V11&gt;=8),"Bench","aack!"))</f>
        <v>Start</v>
      </c>
      <c r="BX11" s="242" t="str">
        <f>IF(OR(AND(X11&gt;=6,Z11+AA11&gt;=12),X11&gt;7),"Start",IF(AND(X11&gt;=5,Z11+AA11&gt;=8),"Bench","aack!"))</f>
        <v>Start</v>
      </c>
      <c r="BY11" s="242" t="str">
        <f>IF(S11&gt;5,"ML",IF(S11=5,"AAA",IF(S11=4,"AA",IF(S11=3,"A","SS-A"))))</f>
        <v>ML</v>
      </c>
      <c r="BZ11" s="242">
        <f>S11-X11</f>
        <v>0</v>
      </c>
      <c r="CA11" s="242">
        <f>T11-Y11</f>
        <v>0</v>
      </c>
      <c r="CB11" s="242">
        <f>U11-Z11</f>
        <v>0</v>
      </c>
      <c r="CC11" s="242">
        <f>V11-AA11</f>
        <v>0</v>
      </c>
      <c r="CD11" s="242">
        <f>W11-AB11</f>
        <v>0</v>
      </c>
      <c r="CE11" s="242">
        <f>SUM(BZ11:CD11)</f>
        <v>0</v>
      </c>
      <c r="CF11" s="242">
        <f>X11+Z11+AA11</f>
        <v>21</v>
      </c>
      <c r="CG11" s="242">
        <f>X11+Z11</f>
        <v>16</v>
      </c>
      <c r="CH11" s="242">
        <f>X11+AA11</f>
        <v>13</v>
      </c>
      <c r="CI11" s="242" t="str">
        <f>IF(L11&gt;24,"Now - Age",IF(S11&gt;6,"Now",IF(X11&lt;6,"With Dev",MIN(X11-S11,7-S11))))</f>
        <v>Now - Age</v>
      </c>
      <c r="CJ11" s="257" t="str">
        <f>IF(AG11&lt;&gt;"-","X","")</f>
        <v/>
      </c>
      <c r="CK11" s="257" t="str">
        <f>IF(AND(AH11&lt;&gt;"-",AH11&gt;5),"X","")</f>
        <v>X</v>
      </c>
      <c r="CL11" s="257" t="str">
        <f>IF(AND(AI11&lt;&gt;"-",AI11&gt;5),"X","")</f>
        <v/>
      </c>
      <c r="CM11" s="257" t="str">
        <f>IF(AND(AJ11&lt;&gt;"-",AJ11&gt;4,AC11&gt;6),"X","")</f>
        <v/>
      </c>
      <c r="CN11" s="257" t="str">
        <f>IF(AND(AK11&lt;&gt;"-",AK11&gt;5,AC11&gt;5),"X","")</f>
        <v/>
      </c>
      <c r="CO11" s="257" t="str">
        <f>IF(AND(AL11&lt;&gt;"-",AL11&gt;3),"X","")</f>
        <v/>
      </c>
      <c r="CP11" s="257" t="str">
        <f>IF(AND(AM11&lt;&gt;"-",AM11&gt;6),"X","")</f>
        <v/>
      </c>
      <c r="CQ11" s="257" t="str">
        <f>IF(AND(AN11&lt;&gt;"-",AN11&gt;5,AD11&gt;6),"X","")</f>
        <v/>
      </c>
      <c r="CR11" s="257" t="str">
        <f>IF(COUNTBLANK(CJ11:CQ11)=8,"X","")</f>
        <v/>
      </c>
    </row>
    <row r="12" spans="1:96" x14ac:dyDescent="0.25">
      <c r="A12" s="240" t="str">
        <f>H12&amp;" "&amp;I12</f>
        <v>Luis Cruz</v>
      </c>
      <c r="B12" s="240" t="str">
        <f>IF(ISERROR(VLOOKUP(A12,AMA!$C$3:$C$24,1,FALSE)),IF(ISERROR(VLOOKUP(A12,'END-AAA'!$C$6:$C$33,1,FALSE)),IF(ISERROR(VLOOKUP(A12,'DB-AA'!$C$6:$C$33,1,FALSE)),IF(ISERROR(VLOOKUP(A12,'UTR-A'!$C$6:$C$33,1,FALSE)),IF(ISERROR(VLOOKUP(A12,'FAI-S A'!$C$6:$C$33,1,FALSE)),"","S A"),"A"),"AA"),"AAA"),"ML")</f>
        <v/>
      </c>
      <c r="C12" s="241"/>
      <c r="D12" s="242">
        <f>IF(BL12=1,3,IF(BM12=1,4,IF(BJ12=1,1,IF(BN12=1,5,IF(BK12=1,2,IF(BO12=1,6,IF(BP12=1,7,IF(BQ12=1,8,IF(BR12=1,9,"-")))))))))</f>
        <v>4</v>
      </c>
      <c r="E12" s="242">
        <f>IF(BC12=1,3,IF(BD12=1,4,IF(BA12=1,1,IF(BE12=1,5,IF(BB12=1,2,IF(BF12=1,6,IF(BG12=1,7,IF(BH12=1,8,IF(BI12=1,9,"-")))))))))</f>
        <v>4</v>
      </c>
      <c r="F12" s="242" t="str">
        <f>IF(OR(OR(Q12="Very High",Q12="High"),AND(OR(Q12="Very High",Q12="High",Q12="Normal"),OR(R12="Very High",R12="High"))),"K","T")</f>
        <v>T</v>
      </c>
      <c r="G12" s="242" t="s">
        <v>75</v>
      </c>
      <c r="H12" s="242" t="s">
        <v>521</v>
      </c>
      <c r="I12" s="242" t="s">
        <v>420</v>
      </c>
      <c r="J12" s="242" t="s">
        <v>763</v>
      </c>
      <c r="K12" s="242" t="s">
        <v>402</v>
      </c>
      <c r="L12" s="242">
        <v>35</v>
      </c>
      <c r="M12" s="242" t="s">
        <v>82</v>
      </c>
      <c r="N12" s="242" t="s">
        <v>83</v>
      </c>
      <c r="O12" s="242" t="s">
        <v>765</v>
      </c>
      <c r="P12" s="243" t="s">
        <v>765</v>
      </c>
      <c r="Q12" s="242" t="s">
        <v>201</v>
      </c>
      <c r="R12" s="243" t="s">
        <v>199</v>
      </c>
      <c r="S12" s="242">
        <v>5</v>
      </c>
      <c r="T12" s="242">
        <v>8</v>
      </c>
      <c r="U12" s="242">
        <v>8</v>
      </c>
      <c r="V12" s="242">
        <v>10</v>
      </c>
      <c r="W12" s="243">
        <v>9</v>
      </c>
      <c r="X12" s="242">
        <v>5</v>
      </c>
      <c r="Y12" s="242">
        <v>8</v>
      </c>
      <c r="Z12" s="242">
        <v>8</v>
      </c>
      <c r="AA12" s="242">
        <v>10</v>
      </c>
      <c r="AB12" s="243">
        <v>9</v>
      </c>
      <c r="AC12" s="242">
        <v>10</v>
      </c>
      <c r="AD12" s="242">
        <v>1</v>
      </c>
      <c r="AE12" s="242">
        <v>1</v>
      </c>
      <c r="AF12" s="242" t="s">
        <v>32</v>
      </c>
      <c r="AG12" s="242" t="s">
        <v>32</v>
      </c>
      <c r="AH12" s="242">
        <v>4</v>
      </c>
      <c r="AI12" s="242" t="s">
        <v>32</v>
      </c>
      <c r="AJ12" s="242">
        <v>8</v>
      </c>
      <c r="AK12" s="242" t="s">
        <v>32</v>
      </c>
      <c r="AL12" s="242" t="s">
        <v>32</v>
      </c>
      <c r="AM12" s="242" t="s">
        <v>32</v>
      </c>
      <c r="AN12" s="243" t="s">
        <v>32</v>
      </c>
      <c r="AO12" s="242">
        <v>1</v>
      </c>
      <c r="AP12" s="242">
        <v>7</v>
      </c>
      <c r="AQ12" s="243">
        <v>6</v>
      </c>
      <c r="AR12" s="244">
        <v>17610000</v>
      </c>
      <c r="AS12" s="243">
        <v>4</v>
      </c>
      <c r="AT12" s="248" t="s">
        <v>199</v>
      </c>
      <c r="AU1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7.416666666666667</v>
      </c>
      <c r="AV12" s="246" t="str">
        <f>IF(AU12&gt;9,"SuperStar",IF(AU12&gt;8,"Star",IF(AU12&gt;6.5,"GoodReg",IF(AU12&gt;5,"Reg",IF(AU12&gt;4,"Bench","Minors")))))</f>
        <v>GoodReg</v>
      </c>
      <c r="AW12" s="245">
        <f>AVERAGE(X12,Z12,AA12)+IF(OR(X12&gt;7,AND(X12&gt;5,AA12&gt;5)),0.5,0)+IF(Z12&gt;7,0.25,0)+IF(X12&lt;6,-0.5*(6-X12),0)</f>
        <v>7.416666666666667</v>
      </c>
      <c r="AX12" s="245" t="str">
        <f>IF(AW12&gt;9,"SuperStar",IF(AW12&gt;8,"Star",IF(AW12&gt;6.5,"GoodReg",IF(AW12&gt;5,"Reg",IF(AW12&gt;4,"Bench","Minors")))))</f>
        <v>GoodReg</v>
      </c>
      <c r="AY12" s="246">
        <f>MIN(AU12+(MAX(0,25-L12))^1.5,AW12)</f>
        <v>7.416666666666667</v>
      </c>
      <c r="AZ12" s="246" t="str">
        <f>IF(AY12&gt;9,"SuperStar",IF(AY12&gt;8,"Star",IF(AY12&gt;6.5,"GoodReg",IF(AY12&gt;5,"Reg",IF(AY12&gt;4,"Bench","Minors")))))</f>
        <v>GoodReg</v>
      </c>
      <c r="BA12" s="247">
        <f>IF(AND(OR(S12+V12&gt;12,AND(S12&gt;6,V12&gt;6)),AO12&gt;6,OR(AP12&gt;=AO12,AP12&gt;6)),1,0)</f>
        <v>0</v>
      </c>
      <c r="BB12" s="248">
        <f>IF(OR(AND(S12&gt;6,W12&gt;6),S12+V12&gt;12),1,0)</f>
        <v>1</v>
      </c>
      <c r="BC12" s="248">
        <f>IF(AND(S12&gt;6,U12&gt;6,V12&gt;6),1,0)</f>
        <v>0</v>
      </c>
      <c r="BD12" s="248">
        <f>IF(AND(U12&gt;7,OR(S12&gt;6,V12&gt;6)),1,0)</f>
        <v>1</v>
      </c>
      <c r="BE12" s="248">
        <f>IF(AND(U12&gt;6,OR(S12&gt;6,V12&gt;6)),1,0)</f>
        <v>1</v>
      </c>
      <c r="BF12" s="248">
        <f>IF(AND(OR(S12&gt;6,U12&gt;6),OR(S12&gt;6,V12&gt;6)),1,0)</f>
        <v>1</v>
      </c>
      <c r="BG12" s="248">
        <f>IF(AND(S12&gt;4,OR(S12&gt;6,U12&gt;6,V12&gt;6)),1,0)</f>
        <v>1</v>
      </c>
      <c r="BH12" s="248">
        <f>IF(AND(S12&gt;4,OR(S12&gt;6,T12&gt;6,U12&gt;6,V12&gt;6)),1,0)</f>
        <v>1</v>
      </c>
      <c r="BI12" s="243">
        <f>IF(AND(S12&gt;4,MAX(S12:W12)&gt;6),1,0)</f>
        <v>1</v>
      </c>
      <c r="BJ12" s="247">
        <f>IF(AND(OR(X12+AA12&gt;12,AND(X12&gt;6,AA12&gt;6)),AO12&gt;6,OR(AP12&gt;=AO12,AP12&gt;6)),1,0)</f>
        <v>0</v>
      </c>
      <c r="BK12" s="248">
        <f>IF(OR(AND(X12&gt;6,AB12&gt;6),X12+AA12&gt;12),1,0)</f>
        <v>1</v>
      </c>
      <c r="BL12" s="248">
        <f>IF(AND(X12&gt;6,Z12&gt;6,AA12&gt;6),1,0)</f>
        <v>0</v>
      </c>
      <c r="BM12" s="248">
        <f>IF(AND(Z12&gt;7,OR(X12&gt;6,AA12&gt;6)),1,0)</f>
        <v>1</v>
      </c>
      <c r="BN12" s="248">
        <f>IF(AND(Z12&gt;6,OR(X12&gt;6,AA12&gt;6)),1,0)</f>
        <v>1</v>
      </c>
      <c r="BO12" s="248">
        <f>IF(AND(OR(X12&gt;6,Z12&gt;6),OR(X12&gt;6,AA12&gt;6)),1,0)</f>
        <v>1</v>
      </c>
      <c r="BP12" s="248">
        <f>IF(AND(X12&gt;4,OR(X12&gt;6,Z12&gt;6,AA12&gt;6)),1,0)</f>
        <v>1</v>
      </c>
      <c r="BQ12" s="248">
        <f>IF(AND(X12&gt;4,OR(X12&gt;6,Y12&gt;6,Z12&gt;6,AA12&gt;6)),1,0)</f>
        <v>1</v>
      </c>
      <c r="BR12" s="243">
        <f>IF(AND(X12&gt;4,MAX(X12:AB12)&gt;6),1,0)</f>
        <v>1</v>
      </c>
      <c r="BS12" s="243">
        <f>IF(AVERAGE(AO12:AP12)&gt;9,1,0)+IF(AVERAGE(AO12:AP12)&gt;7,1,0)+IF(AO12&gt;7,1,0)+IF(AP12&gt;7,1,0)+IF(AQ12&gt;8,1,0)+IF(AQ12&gt;6,1,0)</f>
        <v>0</v>
      </c>
      <c r="BT12" s="249">
        <f>IF(OR(MAX(AG12,AH12,AL12,AN12)&gt;6,MAX(AI12,AJ12,AK12,AM12)&gt;7),2,IF(MAX(AG12:AN12)&gt;4,1,0))</f>
        <v>2</v>
      </c>
      <c r="BU12" s="242" t="str">
        <f>IF(AS12=1,"Yes","")</f>
        <v/>
      </c>
      <c r="BV12" s="241" t="str">
        <f>IF($B12="ML","There",IF(AND($X12&gt;=6,AVERAGE($Z12:$AA12)&gt;=6),"Likely",IF(OR($X12&gt;6,AND($X12=6,AVERAGE($Z12:$AA12)&gt;=3),AND($X12&gt;=5,AVERAGE($Z12:$AA12)&gt;=5),AVERAGE($X12,$Z12:$AA12)&gt;5),"Possible","Unlikely")))</f>
        <v>Possible</v>
      </c>
      <c r="BW12" s="242" t="str">
        <f>IF(OR(AND(S12&gt;=6,U12+V12&gt;=12),S12&gt;7),"Start",IF(AND(S12&gt;=5,U12+V12&gt;=8),"Bench","aack!"))</f>
        <v>Bench</v>
      </c>
      <c r="BX12" s="242" t="str">
        <f>IF(OR(AND(X12&gt;=6,Z12+AA12&gt;=12),X12&gt;7),"Start",IF(AND(X12&gt;=5,Z12+AA12&gt;=8),"Bench","aack!"))</f>
        <v>Bench</v>
      </c>
      <c r="BY12" s="242" t="str">
        <f>IF(S12&gt;5,"ML",IF(S12=5,"AAA",IF(S12=4,"AA",IF(S12=3,"A","SS-A"))))</f>
        <v>AAA</v>
      </c>
      <c r="BZ12" s="242">
        <f>S12-X12</f>
        <v>0</v>
      </c>
      <c r="CA12" s="242">
        <f>T12-Y12</f>
        <v>0</v>
      </c>
      <c r="CB12" s="242">
        <f>U12-Z12</f>
        <v>0</v>
      </c>
      <c r="CC12" s="242">
        <f>V12-AA12</f>
        <v>0</v>
      </c>
      <c r="CD12" s="242">
        <f>W12-AB12</f>
        <v>0</v>
      </c>
      <c r="CE12" s="242">
        <f>SUM(BZ12:CD12)</f>
        <v>0</v>
      </c>
      <c r="CF12" s="242">
        <f>X12+Z12+AA12</f>
        <v>23</v>
      </c>
      <c r="CG12" s="242">
        <f>X12+Z12</f>
        <v>13</v>
      </c>
      <c r="CH12" s="242">
        <f>X12+AA12</f>
        <v>15</v>
      </c>
      <c r="CI12" s="242" t="str">
        <f>IF(L12&gt;24,"Now - Age",IF(S12&gt;6,"Now",IF(X12&lt;6,"With Dev",MIN(X12-S12,7-S12))))</f>
        <v>Now - Age</v>
      </c>
      <c r="CJ12" s="257" t="str">
        <f>IF(AG12&lt;&gt;"-","X","")</f>
        <v/>
      </c>
      <c r="CK12" s="257" t="str">
        <f>IF(AND(AH12&lt;&gt;"-",AH12&gt;5),"X","")</f>
        <v/>
      </c>
      <c r="CL12" s="257" t="str">
        <f>IF(AND(AI12&lt;&gt;"-",AI12&gt;5),"X","")</f>
        <v/>
      </c>
      <c r="CM12" s="257" t="str">
        <f>IF(AND(AJ12&lt;&gt;"-",AJ12&gt;4,AC12&gt;6),"X","")</f>
        <v>X</v>
      </c>
      <c r="CN12" s="257" t="str">
        <f>IF(AND(AK12&lt;&gt;"-",AK12&gt;5,AC12&gt;5),"X","")</f>
        <v/>
      </c>
      <c r="CO12" s="257" t="str">
        <f>IF(AND(AL12&lt;&gt;"-",AL12&gt;3),"X","")</f>
        <v/>
      </c>
      <c r="CP12" s="257" t="str">
        <f>IF(AND(AM12&lt;&gt;"-",AM12&gt;6),"X","")</f>
        <v/>
      </c>
      <c r="CQ12" s="257" t="str">
        <f>IF(AND(AN12&lt;&gt;"-",AN12&gt;5,AD12&gt;6),"X","")</f>
        <v/>
      </c>
      <c r="CR12" s="257" t="str">
        <f>IF(COUNTBLANK(CJ12:CQ12)=8,"X","")</f>
        <v/>
      </c>
    </row>
    <row r="13" spans="1:96" s="306" customFormat="1" x14ac:dyDescent="0.25">
      <c r="A13" s="240" t="str">
        <f>H13&amp;" "&amp;I13</f>
        <v>Kevin Ramírez</v>
      </c>
      <c r="B13" s="240" t="str">
        <f>IF(ISERROR(VLOOKUP(A13,AMA!$C$3:$C$24,1,FALSE)),IF(ISERROR(VLOOKUP(A13,'END-AAA'!$C$6:$C$33,1,FALSE)),IF(ISERROR(VLOOKUP(A13,'DB-AA'!$C$6:$C$33,1,FALSE)),IF(ISERROR(VLOOKUP(A13,'UTR-A'!$C$6:$C$33,1,FALSE)),IF(ISERROR(VLOOKUP(A13,'FAI-S A'!$C$6:$C$33,1,FALSE)),"","S A"),"A"),"AA"),"AAA"),"ML")</f>
        <v>AAA</v>
      </c>
      <c r="C13" s="241"/>
      <c r="D13" s="242">
        <f>IF(BL13=1,3,IF(BM13=1,4,IF(BJ13=1,1,IF(BN13=1,5,IF(BK13=1,2,IF(BO13=1,6,IF(BP13=1,7,IF(BQ13=1,8,IF(BR13=1,9,"-")))))))))</f>
        <v>5</v>
      </c>
      <c r="E13" s="242">
        <f>IF(BC13=1,3,IF(BD13=1,4,IF(BA13=1,1,IF(BE13=1,5,IF(BB13=1,2,IF(BF13=1,6,IF(BG13=1,7,IF(BH13=1,8,IF(BI13=1,9,"-")))))))))</f>
        <v>5</v>
      </c>
      <c r="F13" s="242" t="str">
        <f>IF(OR(OR(Q13="Very High",Q13="High"),AND(OR(Q13="Very High",Q13="High",Q13="Normal"),OR(R13="Very High",R13="High"))),"K","T")</f>
        <v>T</v>
      </c>
      <c r="G13" s="242" t="s">
        <v>73</v>
      </c>
      <c r="H13" s="242" t="s">
        <v>1273</v>
      </c>
      <c r="I13" s="242" t="s">
        <v>1274</v>
      </c>
      <c r="J13" s="242" t="s">
        <v>783</v>
      </c>
      <c r="K13" s="242" t="s">
        <v>185</v>
      </c>
      <c r="L13" s="242">
        <v>32</v>
      </c>
      <c r="M13" s="242" t="s">
        <v>83</v>
      </c>
      <c r="N13" s="242" t="s">
        <v>83</v>
      </c>
      <c r="O13" s="242" t="s">
        <v>764</v>
      </c>
      <c r="P13" s="243" t="s">
        <v>764</v>
      </c>
      <c r="Q13" s="242" t="s">
        <v>200</v>
      </c>
      <c r="R13" s="243" t="s">
        <v>201</v>
      </c>
      <c r="S13" s="242">
        <v>6</v>
      </c>
      <c r="T13" s="242">
        <v>3</v>
      </c>
      <c r="U13" s="242">
        <v>7</v>
      </c>
      <c r="V13" s="242">
        <v>7</v>
      </c>
      <c r="W13" s="243">
        <v>3</v>
      </c>
      <c r="X13" s="242">
        <v>6</v>
      </c>
      <c r="Y13" s="242">
        <v>3</v>
      </c>
      <c r="Z13" s="242">
        <v>7</v>
      </c>
      <c r="AA13" s="242">
        <v>7</v>
      </c>
      <c r="AB13" s="243">
        <v>3</v>
      </c>
      <c r="AC13" s="242">
        <v>2</v>
      </c>
      <c r="AD13" s="242">
        <v>3</v>
      </c>
      <c r="AE13" s="242">
        <v>1</v>
      </c>
      <c r="AF13" s="242" t="s">
        <v>32</v>
      </c>
      <c r="AG13" s="242" t="s">
        <v>32</v>
      </c>
      <c r="AH13" s="242">
        <v>3</v>
      </c>
      <c r="AI13" s="242" t="s">
        <v>32</v>
      </c>
      <c r="AJ13" s="242" t="s">
        <v>32</v>
      </c>
      <c r="AK13" s="242" t="s">
        <v>32</v>
      </c>
      <c r="AL13" s="242" t="s">
        <v>32</v>
      </c>
      <c r="AM13" s="242" t="s">
        <v>32</v>
      </c>
      <c r="AN13" s="243" t="s">
        <v>32</v>
      </c>
      <c r="AO13" s="242">
        <v>2</v>
      </c>
      <c r="AP13" s="242">
        <v>2</v>
      </c>
      <c r="AQ13" s="243">
        <v>2</v>
      </c>
      <c r="AR13" s="244" t="s">
        <v>32</v>
      </c>
      <c r="AS13" s="243" t="s">
        <v>33</v>
      </c>
      <c r="AT13" s="248" t="s">
        <v>779</v>
      </c>
      <c r="AU1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7.166666666666667</v>
      </c>
      <c r="AV13" s="246" t="str">
        <f>IF(AU13&gt;9,"SuperStar",IF(AU13&gt;8,"Star",IF(AU13&gt;6.5,"GoodReg",IF(AU13&gt;5,"Reg",IF(AU13&gt;4,"Bench","Minors")))))</f>
        <v>GoodReg</v>
      </c>
      <c r="AW13" s="245">
        <f>AVERAGE(X13,Z13,AA13)+IF(OR(X13&gt;7,AND(X13&gt;5,AA13&gt;5)),0.5,0)+IF(Z13&gt;7,0.25,0)+IF(X13&lt;6,-0.5*(6-X13),0)</f>
        <v>7.166666666666667</v>
      </c>
      <c r="AX13" s="245" t="str">
        <f>IF(AW13&gt;9,"SuperStar",IF(AW13&gt;8,"Star",IF(AW13&gt;6.5,"GoodReg",IF(AW13&gt;5,"Reg",IF(AW13&gt;4,"Bench","Minors")))))</f>
        <v>GoodReg</v>
      </c>
      <c r="AY13" s="246">
        <f>MIN(AU13+(MAX(0,25-L13))^1.5,AW13)</f>
        <v>7.166666666666667</v>
      </c>
      <c r="AZ13" s="246" t="str">
        <f>IF(AY13&gt;9,"SuperStar",IF(AY13&gt;8,"Star",IF(AY13&gt;6.5,"GoodReg",IF(AY13&gt;5,"Reg",IF(AY13&gt;4,"Bench","Minors")))))</f>
        <v>GoodReg</v>
      </c>
      <c r="BA13" s="247">
        <f>IF(AND(OR(S13+V13&gt;12,AND(S13&gt;6,V13&gt;6)),AO13&gt;6,OR(AP13&gt;=AO13,AP13&gt;6)),1,0)</f>
        <v>0</v>
      </c>
      <c r="BB13" s="248">
        <f>IF(OR(AND(S13&gt;6,W13&gt;6),S13+V13&gt;12),1,0)</f>
        <v>1</v>
      </c>
      <c r="BC13" s="248">
        <f>IF(AND(S13&gt;6,U13&gt;6,V13&gt;6),1,0)</f>
        <v>0</v>
      </c>
      <c r="BD13" s="248">
        <f>IF(AND(U13&gt;7,OR(S13&gt;6,V13&gt;6)),1,0)</f>
        <v>0</v>
      </c>
      <c r="BE13" s="248">
        <f>IF(AND(U13&gt;6,OR(S13&gt;6,V13&gt;6)),1,0)</f>
        <v>1</v>
      </c>
      <c r="BF13" s="248">
        <f>IF(AND(OR(S13&gt;6,U13&gt;6),OR(S13&gt;6,V13&gt;6)),1,0)</f>
        <v>1</v>
      </c>
      <c r="BG13" s="248">
        <f>IF(AND(S13&gt;4,OR(S13&gt;6,U13&gt;6,V13&gt;6)),1,0)</f>
        <v>1</v>
      </c>
      <c r="BH13" s="248">
        <f>IF(AND(S13&gt;4,OR(S13&gt;6,T13&gt;6,U13&gt;6,V13&gt;6)),1,0)</f>
        <v>1</v>
      </c>
      <c r="BI13" s="243">
        <f>IF(AND(S13&gt;4,MAX(S13:W13)&gt;6),1,0)</f>
        <v>1</v>
      </c>
      <c r="BJ13" s="247">
        <f>IF(AND(OR(X13+AA13&gt;12,AND(X13&gt;6,AA13&gt;6)),AO13&gt;6,OR(AP13&gt;=AO13,AP13&gt;6)),1,0)</f>
        <v>0</v>
      </c>
      <c r="BK13" s="248">
        <f>IF(OR(AND(X13&gt;6,AB13&gt;6),X13+AA13&gt;12),1,0)</f>
        <v>1</v>
      </c>
      <c r="BL13" s="248">
        <f>IF(AND(X13&gt;6,Z13&gt;6,AA13&gt;6),1,0)</f>
        <v>0</v>
      </c>
      <c r="BM13" s="248">
        <f>IF(AND(Z13&gt;7,OR(X13&gt;6,AA13&gt;6)),1,0)</f>
        <v>0</v>
      </c>
      <c r="BN13" s="248">
        <f>IF(AND(Z13&gt;6,OR(X13&gt;6,AA13&gt;6)),1,0)</f>
        <v>1</v>
      </c>
      <c r="BO13" s="248">
        <f>IF(AND(OR(X13&gt;6,Z13&gt;6),OR(X13&gt;6,AA13&gt;6)),1,0)</f>
        <v>1</v>
      </c>
      <c r="BP13" s="248">
        <f>IF(AND(X13&gt;4,OR(X13&gt;6,Z13&gt;6,AA13&gt;6)),1,0)</f>
        <v>1</v>
      </c>
      <c r="BQ13" s="248">
        <f>IF(AND(X13&gt;4,OR(X13&gt;6,Y13&gt;6,Z13&gt;6,AA13&gt;6)),1,0)</f>
        <v>1</v>
      </c>
      <c r="BR13" s="243">
        <f>IF(AND(X13&gt;4,MAX(X13:AB13)&gt;6),1,0)</f>
        <v>1</v>
      </c>
      <c r="BS13" s="243">
        <f>IF(AVERAGE(AO13:AP13)&gt;9,1,0)+IF(AVERAGE(AO13:AP13)&gt;7,1,0)+IF(AO13&gt;7,1,0)+IF(AP13&gt;7,1,0)+IF(AQ13&gt;8,1,0)+IF(AQ13&gt;6,1,0)</f>
        <v>0</v>
      </c>
      <c r="BT13" s="249">
        <f>IF(OR(MAX(AG13,AH13,AL13,AN13)&gt;6,MAX(AI13,AJ13,AK13,AM13)&gt;7),2,IF(MAX(AG13:AN13)&gt;4,1,0))</f>
        <v>0</v>
      </c>
      <c r="BU13" s="242" t="str">
        <f>IF(AS13=1,"Yes","")</f>
        <v/>
      </c>
      <c r="BV13" s="241" t="str">
        <f>IF($B13="ML","There",IF(AND($X13&gt;=6,AVERAGE($Z13:$AA13)&gt;=6),"Likely",IF(OR($X13&gt;6,AND($X13=6,AVERAGE($Z13:$AA13)&gt;=3),AND($X13&gt;=5,AVERAGE($Z13:$AA13)&gt;=5),AVERAGE($X13,$Z13:$AA13)&gt;5),"Possible","Unlikely")))</f>
        <v>Likely</v>
      </c>
      <c r="BW13" s="242" t="str">
        <f>IF(OR(AND(S13&gt;=6,U13+V13&gt;=12),S13&gt;7),"Start",IF(AND(S13&gt;=5,U13+V13&gt;=8),"Bench","aack!"))</f>
        <v>Start</v>
      </c>
      <c r="BX13" s="242" t="str">
        <f>IF(OR(AND(X13&gt;=6,Z13+AA13&gt;=12),X13&gt;7),"Start",IF(AND(X13&gt;=5,Z13+AA13&gt;=8),"Bench","aack!"))</f>
        <v>Start</v>
      </c>
      <c r="BY13" s="242" t="str">
        <f>IF(S13&gt;5,"ML",IF(S13=5,"AAA",IF(S13=4,"AA",IF(S13=3,"A","SS-A"))))</f>
        <v>ML</v>
      </c>
      <c r="BZ13" s="242">
        <f>S13-X13</f>
        <v>0</v>
      </c>
      <c r="CA13" s="242">
        <f>T13-Y13</f>
        <v>0</v>
      </c>
      <c r="CB13" s="242">
        <f>U13-Z13</f>
        <v>0</v>
      </c>
      <c r="CC13" s="242">
        <f>V13-AA13</f>
        <v>0</v>
      </c>
      <c r="CD13" s="242">
        <f>W13-AB13</f>
        <v>0</v>
      </c>
      <c r="CE13" s="242">
        <f>SUM(BZ13:CD13)</f>
        <v>0</v>
      </c>
      <c r="CF13" s="242">
        <f>X13+Z13+AA13</f>
        <v>20</v>
      </c>
      <c r="CG13" s="242">
        <f>X13+Z13</f>
        <v>13</v>
      </c>
      <c r="CH13" s="242">
        <f>X13+AA13</f>
        <v>13</v>
      </c>
      <c r="CI13" s="242" t="str">
        <f>IF(L13&gt;24,"Now - Age",IF(S13&gt;6,"Now",IF(X13&lt;6,"With Dev",MIN(X13-S13,7-S13))))</f>
        <v>Now - Age</v>
      </c>
      <c r="CJ13" s="257" t="str">
        <f>IF(AG13&lt;&gt;"-","X","")</f>
        <v/>
      </c>
      <c r="CK13" s="257" t="str">
        <f>IF(AND(AH13&lt;&gt;"-",AH13&gt;5),"X","")</f>
        <v/>
      </c>
      <c r="CL13" s="257" t="str">
        <f>IF(AND(AI13&lt;&gt;"-",AI13&gt;5),"X","")</f>
        <v/>
      </c>
      <c r="CM13" s="257" t="str">
        <f>IF(AND(AJ13&lt;&gt;"-",AJ13&gt;4,AC13&gt;6),"X","")</f>
        <v/>
      </c>
      <c r="CN13" s="257" t="str">
        <f>IF(AND(AK13&lt;&gt;"-",AK13&gt;5,AC13&gt;5),"X","")</f>
        <v/>
      </c>
      <c r="CO13" s="257" t="str">
        <f>IF(AND(AL13&lt;&gt;"-",AL13&gt;3),"X","")</f>
        <v/>
      </c>
      <c r="CP13" s="257" t="str">
        <f>IF(AND(AM13&lt;&gt;"-",AM13&gt;6),"X","")</f>
        <v/>
      </c>
      <c r="CQ13" s="257" t="str">
        <f>IF(AND(AN13&lt;&gt;"-",AN13&gt;5,AD13&gt;6),"X","")</f>
        <v/>
      </c>
      <c r="CR13" s="257" t="str">
        <f>IF(COUNTBLANK(CJ13:CQ13)=8,"X","")</f>
        <v>X</v>
      </c>
    </row>
    <row r="14" spans="1:96" s="306" customFormat="1" x14ac:dyDescent="0.25">
      <c r="A14" s="240" t="str">
        <f>H14&amp;" "&amp;I14</f>
        <v>Sandor Vis</v>
      </c>
      <c r="B14" s="240" t="str">
        <f>IF(ISERROR(VLOOKUP(A14,AMA!$C$3:$C$24,1,FALSE)),IF(ISERROR(VLOOKUP(A14,'END-AAA'!$C$6:$C$33,1,FALSE)),IF(ISERROR(VLOOKUP(A14,'DB-AA'!$C$6:$C$33,1,FALSE)),IF(ISERROR(VLOOKUP(A14,'UTR-A'!$C$6:$C$33,1,FALSE)),IF(ISERROR(VLOOKUP(A14,'FAI-S A'!$C$6:$C$33,1,FALSE)),"","S A"),"A"),"AA"),"AAA"),"ML")</f>
        <v>ML</v>
      </c>
      <c r="C14" s="241"/>
      <c r="D14" s="242">
        <f>IF(BL14=1,3,IF(BM14=1,4,IF(BJ14=1,1,IF(BN14=1,5,IF(BK14=1,2,IF(BO14=1,6,IF(BP14=1,7,IF(BQ14=1,8,IF(BR14=1,9,"-")))))))))</f>
        <v>1</v>
      </c>
      <c r="E14" s="242">
        <f>IF(BC14=1,3,IF(BD14=1,4,IF(BA14=1,1,IF(BE14=1,5,IF(BB14=1,2,IF(BF14=1,6,IF(BG14=1,7,IF(BH14=1,8,IF(BI14=1,9,"-")))))))))</f>
        <v>1</v>
      </c>
      <c r="F14" s="242" t="str">
        <f>IF(OR(OR(Q14="Very High",Q14="High"),AND(OR(Q14="Very High",Q14="High",Q14="Normal"),OR(R14="Very High",R14="High"))),"K","T")</f>
        <v>T</v>
      </c>
      <c r="G14" s="242" t="s">
        <v>79</v>
      </c>
      <c r="H14" s="242" t="s">
        <v>761</v>
      </c>
      <c r="I14" s="242" t="s">
        <v>762</v>
      </c>
      <c r="J14" s="242" t="s">
        <v>763</v>
      </c>
      <c r="K14" s="242" t="s">
        <v>402</v>
      </c>
      <c r="L14" s="242">
        <v>24</v>
      </c>
      <c r="M14" s="242" t="s">
        <v>82</v>
      </c>
      <c r="N14" s="242" t="s">
        <v>82</v>
      </c>
      <c r="O14" s="242" t="s">
        <v>768</v>
      </c>
      <c r="P14" s="243" t="s">
        <v>765</v>
      </c>
      <c r="Q14" s="242" t="s">
        <v>200</v>
      </c>
      <c r="R14" s="243" t="s">
        <v>200</v>
      </c>
      <c r="S14" s="242">
        <v>8</v>
      </c>
      <c r="T14" s="242">
        <v>8</v>
      </c>
      <c r="U14" s="242">
        <v>3</v>
      </c>
      <c r="V14" s="242">
        <v>8</v>
      </c>
      <c r="W14" s="243">
        <v>8</v>
      </c>
      <c r="X14" s="242">
        <v>9</v>
      </c>
      <c r="Y14" s="242">
        <v>8</v>
      </c>
      <c r="Z14" s="242">
        <v>3</v>
      </c>
      <c r="AA14" s="242">
        <v>8</v>
      </c>
      <c r="AB14" s="243">
        <v>8</v>
      </c>
      <c r="AC14" s="242">
        <v>8</v>
      </c>
      <c r="AD14" s="242">
        <v>10</v>
      </c>
      <c r="AE14" s="242">
        <v>1</v>
      </c>
      <c r="AF14" s="242" t="s">
        <v>32</v>
      </c>
      <c r="AG14" s="242" t="s">
        <v>32</v>
      </c>
      <c r="AH14" s="242" t="s">
        <v>32</v>
      </c>
      <c r="AI14" s="242" t="s">
        <v>32</v>
      </c>
      <c r="AJ14" s="242" t="s">
        <v>32</v>
      </c>
      <c r="AK14" s="242" t="s">
        <v>32</v>
      </c>
      <c r="AL14" s="242">
        <v>5</v>
      </c>
      <c r="AM14" s="242" t="s">
        <v>32</v>
      </c>
      <c r="AN14" s="243">
        <v>5</v>
      </c>
      <c r="AO14" s="242">
        <v>10</v>
      </c>
      <c r="AP14" s="242">
        <v>10</v>
      </c>
      <c r="AQ14" s="243">
        <v>7</v>
      </c>
      <c r="AR14" s="244">
        <v>560000</v>
      </c>
      <c r="AS14" s="243" t="s">
        <v>33</v>
      </c>
      <c r="AT14" s="248" t="s">
        <v>779</v>
      </c>
      <c r="AU14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6.833333333333333</v>
      </c>
      <c r="AV14" s="246" t="str">
        <f>IF(AU14&gt;9,"SuperStar",IF(AU14&gt;8,"Star",IF(AU14&gt;6.5,"GoodReg",IF(AU14&gt;5,"Reg",IF(AU14&gt;4,"Bench","Minors")))))</f>
        <v>GoodReg</v>
      </c>
      <c r="AW14" s="245">
        <f>AVERAGE(X14,Z14,AA14)+IF(OR(X14&gt;7,AND(X14&gt;5,AA14&gt;5)),0.5,0)+IF(Z14&gt;7,0.25,0)+IF(X14&lt;6,-0.5*(6-X14),0)</f>
        <v>7.166666666666667</v>
      </c>
      <c r="AX14" s="245" t="str">
        <f>IF(AW14&gt;9,"SuperStar",IF(AW14&gt;8,"Star",IF(AW14&gt;6.5,"GoodReg",IF(AW14&gt;5,"Reg",IF(AW14&gt;4,"Bench","Minors")))))</f>
        <v>GoodReg</v>
      </c>
      <c r="AY14" s="246">
        <f>MIN(AU14+(MAX(0,25-L14))^1.5,AW14)</f>
        <v>7.166666666666667</v>
      </c>
      <c r="AZ14" s="246" t="str">
        <f>IF(AY14&gt;9,"SuperStar",IF(AY14&gt;8,"Star",IF(AY14&gt;6.5,"GoodReg",IF(AY14&gt;5,"Reg",IF(AY14&gt;4,"Bench","Minors")))))</f>
        <v>GoodReg</v>
      </c>
      <c r="BA14" s="247">
        <f>IF(AND(OR(S14+V14&gt;12,AND(S14&gt;6,V14&gt;6)),AO14&gt;6,OR(AP14&gt;=AO14,AP14&gt;6)),1,0)</f>
        <v>1</v>
      </c>
      <c r="BB14" s="248">
        <f>IF(OR(AND(S14&gt;6,W14&gt;6),S14+V14&gt;12),1,0)</f>
        <v>1</v>
      </c>
      <c r="BC14" s="248">
        <f>IF(AND(S14&gt;6,U14&gt;6,V14&gt;6),1,0)</f>
        <v>0</v>
      </c>
      <c r="BD14" s="248">
        <f>IF(AND(U14&gt;7,OR(S14&gt;6,V14&gt;6)),1,0)</f>
        <v>0</v>
      </c>
      <c r="BE14" s="248">
        <f>IF(AND(U14&gt;6,OR(S14&gt;6,V14&gt;6)),1,0)</f>
        <v>0</v>
      </c>
      <c r="BF14" s="248">
        <f>IF(AND(OR(S14&gt;6,U14&gt;6),OR(S14&gt;6,V14&gt;6)),1,0)</f>
        <v>1</v>
      </c>
      <c r="BG14" s="248">
        <f>IF(AND(S14&gt;4,OR(S14&gt;6,U14&gt;6,V14&gt;6)),1,0)</f>
        <v>1</v>
      </c>
      <c r="BH14" s="248">
        <f>IF(AND(S14&gt;4,OR(S14&gt;6,T14&gt;6,U14&gt;6,V14&gt;6)),1,0)</f>
        <v>1</v>
      </c>
      <c r="BI14" s="243">
        <f>IF(AND(S14&gt;4,MAX(S14:W14)&gt;6),1,0)</f>
        <v>1</v>
      </c>
      <c r="BJ14" s="247">
        <f>IF(AND(OR(X14+AA14&gt;12,AND(X14&gt;6,AA14&gt;6)),AO14&gt;6,OR(AP14&gt;=AO14,AP14&gt;6)),1,0)</f>
        <v>1</v>
      </c>
      <c r="BK14" s="248">
        <f>IF(OR(AND(X14&gt;6,AB14&gt;6),X14+AA14&gt;12),1,0)</f>
        <v>1</v>
      </c>
      <c r="BL14" s="248">
        <f>IF(AND(X14&gt;6,Z14&gt;6,AA14&gt;6),1,0)</f>
        <v>0</v>
      </c>
      <c r="BM14" s="248">
        <f>IF(AND(Z14&gt;7,OR(X14&gt;6,AA14&gt;6)),1,0)</f>
        <v>0</v>
      </c>
      <c r="BN14" s="248">
        <f>IF(AND(Z14&gt;6,OR(X14&gt;6,AA14&gt;6)),1,0)</f>
        <v>0</v>
      </c>
      <c r="BO14" s="248">
        <f>IF(AND(OR(X14&gt;6,Z14&gt;6),OR(X14&gt;6,AA14&gt;6)),1,0)</f>
        <v>1</v>
      </c>
      <c r="BP14" s="248">
        <f>IF(AND(X14&gt;4,OR(X14&gt;6,Z14&gt;6,AA14&gt;6)),1,0)</f>
        <v>1</v>
      </c>
      <c r="BQ14" s="248">
        <f>IF(AND(X14&gt;4,OR(X14&gt;6,Y14&gt;6,Z14&gt;6,AA14&gt;6)),1,0)</f>
        <v>1</v>
      </c>
      <c r="BR14" s="243">
        <f>IF(AND(X14&gt;4,MAX(X14:AB14)&gt;6),1,0)</f>
        <v>1</v>
      </c>
      <c r="BS14" s="243">
        <f>IF(AVERAGE(AO14:AP14)&gt;9,1,0)+IF(AVERAGE(AO14:AP14)&gt;7,1,0)+IF(AO14&gt;7,1,0)+IF(AP14&gt;7,1,0)+IF(AQ14&gt;8,1,0)+IF(AQ14&gt;6,1,0)</f>
        <v>5</v>
      </c>
      <c r="BT14" s="249">
        <f>IF(OR(MAX(AG14,AH14,AL14,AN14)&gt;6,MAX(AI14,AJ14,AK14,AM14)&gt;7),2,IF(MAX(AG14:AN14)&gt;4,1,0))</f>
        <v>1</v>
      </c>
      <c r="BU14" s="242" t="str">
        <f>IF(AS14=1,"Yes","")</f>
        <v/>
      </c>
      <c r="BV14" s="241" t="str">
        <f>IF($B14="ML","There",IF(AND($X14&gt;=6,AVERAGE($Z14:$AA14)&gt;=6),"Likely",IF(OR($X14&gt;6,AND($X14=6,AVERAGE($Z14:$AA14)&gt;=3),AND($X14&gt;=5,AVERAGE($Z14:$AA14)&gt;=5),AVERAGE($X14,$Z14:$AA14)&gt;5),"Possible","Unlikely")))</f>
        <v>There</v>
      </c>
      <c r="BW14" s="242" t="str">
        <f>IF(OR(AND(S14&gt;=6,U14+V14&gt;=12),S14&gt;7),"Start",IF(AND(S14&gt;=5,U14+V14&gt;=8),"Bench","aack!"))</f>
        <v>Start</v>
      </c>
      <c r="BX14" s="242" t="str">
        <f>IF(OR(AND(X14&gt;=6,Z14+AA14&gt;=12),X14&gt;7),"Start",IF(AND(X14&gt;=5,Z14+AA14&gt;=8),"Bench","aack!"))</f>
        <v>Start</v>
      </c>
      <c r="BY14" s="242" t="str">
        <f>IF(S14&gt;5,"ML",IF(S14=5,"AAA",IF(S14=4,"AA",IF(S14=3,"A","SS-A"))))</f>
        <v>ML</v>
      </c>
      <c r="BZ14" s="242">
        <f>S14-X14</f>
        <v>-1</v>
      </c>
      <c r="CA14" s="242">
        <f>T14-Y14</f>
        <v>0</v>
      </c>
      <c r="CB14" s="242">
        <f>U14-Z14</f>
        <v>0</v>
      </c>
      <c r="CC14" s="242">
        <f>V14-AA14</f>
        <v>0</v>
      </c>
      <c r="CD14" s="242">
        <f>W14-AB14</f>
        <v>0</v>
      </c>
      <c r="CE14" s="242">
        <f>SUM(BZ14:CD14)</f>
        <v>-1</v>
      </c>
      <c r="CF14" s="242">
        <f>X14+Z14+AA14</f>
        <v>20</v>
      </c>
      <c r="CG14" s="242">
        <f>X14+Z14</f>
        <v>12</v>
      </c>
      <c r="CH14" s="242">
        <f>X14+AA14</f>
        <v>17</v>
      </c>
      <c r="CI14" s="242" t="str">
        <f>IF(L14&gt;24,"Now - Age",IF(S14&gt;6,"Now",IF(X14&lt;6,"With Dev",MIN(X14-S14,7-S14))))</f>
        <v>Now</v>
      </c>
      <c r="CJ14" s="257" t="str">
        <f>IF(AG14&lt;&gt;"-","X","")</f>
        <v/>
      </c>
      <c r="CK14" s="257" t="str">
        <f>IF(AND(AH14&lt;&gt;"-",AH14&gt;5),"X","")</f>
        <v/>
      </c>
      <c r="CL14" s="257" t="str">
        <f>IF(AND(AI14&lt;&gt;"-",AI14&gt;5),"X","")</f>
        <v/>
      </c>
      <c r="CM14" s="257" t="str">
        <f>IF(AND(AJ14&lt;&gt;"-",AJ14&gt;4,AC14&gt;6),"X","")</f>
        <v/>
      </c>
      <c r="CN14" s="257" t="str">
        <f>IF(AND(AK14&lt;&gt;"-",AK14&gt;5,AC14&gt;5),"X","")</f>
        <v/>
      </c>
      <c r="CO14" s="257" t="str">
        <f>IF(AND(AL14&lt;&gt;"-",AL14&gt;3),"X","")</f>
        <v>X</v>
      </c>
      <c r="CP14" s="257" t="str">
        <f>IF(AND(AM14&lt;&gt;"-",AM14&gt;6),"X","")</f>
        <v/>
      </c>
      <c r="CQ14" s="257" t="str">
        <f>IF(AND(AN14&lt;&gt;"-",AN14&gt;5,AD14&gt;6),"X","")</f>
        <v/>
      </c>
      <c r="CR14" s="257" t="str">
        <f>IF(COUNTBLANK(CJ14:CQ14)=8,"X","")</f>
        <v/>
      </c>
    </row>
    <row r="15" spans="1:96" s="306" customFormat="1" x14ac:dyDescent="0.25">
      <c r="A15" s="240" t="str">
        <f>H15&amp;" "&amp;I15</f>
        <v>Norberto Escamilla</v>
      </c>
      <c r="B15" s="240" t="str">
        <f>IF(ISERROR(VLOOKUP(A15,AMA!$C$3:$C$24,1,FALSE)),IF(ISERROR(VLOOKUP(A15,'END-AAA'!$C$6:$C$33,1,FALSE)),IF(ISERROR(VLOOKUP(A15,'DB-AA'!$C$6:$C$33,1,FALSE)),IF(ISERROR(VLOOKUP(A15,'UTR-A'!$C$6:$C$33,1,FALSE)),IF(ISERROR(VLOOKUP(A15,'FAI-S A'!$C$6:$C$33,1,FALSE)),"","S A"),"A"),"AA"),"AAA"),"ML")</f>
        <v>ML</v>
      </c>
      <c r="C15" s="241"/>
      <c r="D15" s="242">
        <f>IF(BL15=1,3,IF(BM15=1,4,IF(BJ15=1,1,IF(BN15=1,5,IF(BK15=1,2,IF(BO15=1,6,IF(BP15=1,7,IF(BQ15=1,8,IF(BR15=1,9,"-")))))))))</f>
        <v>4</v>
      </c>
      <c r="E15" s="242">
        <f>IF(BC15=1,3,IF(BD15=1,4,IF(BA15=1,1,IF(BE15=1,5,IF(BB15=1,2,IF(BF15=1,6,IF(BG15=1,7,IF(BH15=1,8,IF(BI15=1,9,"-")))))))))</f>
        <v>4</v>
      </c>
      <c r="F15" s="242" t="str">
        <f>IF(OR(OR(Q15="Very High",Q15="High"),AND(OR(Q15="Very High",Q15="High",Q15="Normal"),OR(R15="Very High",R15="High"))),"K","T")</f>
        <v>T</v>
      </c>
      <c r="G15" s="242" t="s">
        <v>73</v>
      </c>
      <c r="H15" s="242" t="s">
        <v>715</v>
      </c>
      <c r="I15" s="242" t="s">
        <v>1131</v>
      </c>
      <c r="J15" s="242" t="s">
        <v>763</v>
      </c>
      <c r="K15" s="242" t="s">
        <v>402</v>
      </c>
      <c r="L15" s="242">
        <v>30</v>
      </c>
      <c r="M15" s="242" t="s">
        <v>83</v>
      </c>
      <c r="N15" s="242" t="s">
        <v>83</v>
      </c>
      <c r="O15" s="242" t="s">
        <v>768</v>
      </c>
      <c r="P15" s="243" t="s">
        <v>768</v>
      </c>
      <c r="Q15" s="242" t="s">
        <v>200</v>
      </c>
      <c r="R15" s="243" t="s">
        <v>200</v>
      </c>
      <c r="S15" s="242">
        <v>5</v>
      </c>
      <c r="T15" s="242">
        <v>6</v>
      </c>
      <c r="U15" s="242">
        <v>8</v>
      </c>
      <c r="V15" s="242">
        <v>8</v>
      </c>
      <c r="W15" s="243">
        <v>4</v>
      </c>
      <c r="X15" s="242">
        <v>5</v>
      </c>
      <c r="Y15" s="242">
        <v>6</v>
      </c>
      <c r="Z15" s="242">
        <v>8</v>
      </c>
      <c r="AA15" s="242">
        <v>8</v>
      </c>
      <c r="AB15" s="243">
        <v>4</v>
      </c>
      <c r="AC15" s="242">
        <v>3</v>
      </c>
      <c r="AD15" s="242">
        <v>5</v>
      </c>
      <c r="AE15" s="242">
        <v>1</v>
      </c>
      <c r="AF15" s="242" t="s">
        <v>32</v>
      </c>
      <c r="AG15" s="242" t="s">
        <v>32</v>
      </c>
      <c r="AH15" s="242">
        <v>8</v>
      </c>
      <c r="AI15" s="242" t="s">
        <v>32</v>
      </c>
      <c r="AJ15" s="242" t="s">
        <v>32</v>
      </c>
      <c r="AK15" s="242" t="s">
        <v>32</v>
      </c>
      <c r="AL15" s="242">
        <v>2</v>
      </c>
      <c r="AM15" s="242" t="s">
        <v>32</v>
      </c>
      <c r="AN15" s="243">
        <v>2</v>
      </c>
      <c r="AO15" s="242">
        <v>3</v>
      </c>
      <c r="AP15" s="242">
        <v>5</v>
      </c>
      <c r="AQ15" s="243">
        <v>6</v>
      </c>
      <c r="AR15" s="244">
        <v>8900000</v>
      </c>
      <c r="AS15" s="243">
        <v>2</v>
      </c>
      <c r="AT15" s="248" t="s">
        <v>779</v>
      </c>
      <c r="AU15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6.75</v>
      </c>
      <c r="AV15" s="246" t="str">
        <f>IF(AU15&gt;9,"SuperStar",IF(AU15&gt;8,"Star",IF(AU15&gt;6.5,"GoodReg",IF(AU15&gt;5,"Reg",IF(AU15&gt;4,"Bench","Minors")))))</f>
        <v>GoodReg</v>
      </c>
      <c r="AW15" s="245">
        <f>AVERAGE(X15,Z15,AA15)+IF(OR(X15&gt;7,AND(X15&gt;5,AA15&gt;5)),0.5,0)+IF(Z15&gt;7,0.25,0)+IF(X15&lt;6,-0.5*(6-X15),0)</f>
        <v>6.75</v>
      </c>
      <c r="AX15" s="245" t="str">
        <f>IF(AW15&gt;9,"SuperStar",IF(AW15&gt;8,"Star",IF(AW15&gt;6.5,"GoodReg",IF(AW15&gt;5,"Reg",IF(AW15&gt;4,"Bench","Minors")))))</f>
        <v>GoodReg</v>
      </c>
      <c r="AY15" s="246">
        <f>MIN(AU15+(MAX(0,25-L15))^1.5,AW15)</f>
        <v>6.75</v>
      </c>
      <c r="AZ15" s="246" t="str">
        <f>IF(AY15&gt;9,"SuperStar",IF(AY15&gt;8,"Star",IF(AY15&gt;6.5,"GoodReg",IF(AY15&gt;5,"Reg",IF(AY15&gt;4,"Bench","Minors")))))</f>
        <v>GoodReg</v>
      </c>
      <c r="BA15" s="247">
        <f>IF(AND(OR(S15+V15&gt;12,AND(S15&gt;6,V15&gt;6)),AO15&gt;6,OR(AP15&gt;=AO15,AP15&gt;6)),1,0)</f>
        <v>0</v>
      </c>
      <c r="BB15" s="248">
        <f>IF(OR(AND(S15&gt;6,W15&gt;6),S15+V15&gt;12),1,0)</f>
        <v>1</v>
      </c>
      <c r="BC15" s="248">
        <f>IF(AND(S15&gt;6,U15&gt;6,V15&gt;6),1,0)</f>
        <v>0</v>
      </c>
      <c r="BD15" s="248">
        <f>IF(AND(U15&gt;7,OR(S15&gt;6,V15&gt;6)),1,0)</f>
        <v>1</v>
      </c>
      <c r="BE15" s="248">
        <f>IF(AND(U15&gt;6,OR(S15&gt;6,V15&gt;6)),1,0)</f>
        <v>1</v>
      </c>
      <c r="BF15" s="248">
        <f>IF(AND(OR(S15&gt;6,U15&gt;6),OR(S15&gt;6,V15&gt;6)),1,0)</f>
        <v>1</v>
      </c>
      <c r="BG15" s="248">
        <f>IF(AND(S15&gt;4,OR(S15&gt;6,U15&gt;6,V15&gt;6)),1,0)</f>
        <v>1</v>
      </c>
      <c r="BH15" s="248">
        <f>IF(AND(S15&gt;4,OR(S15&gt;6,T15&gt;6,U15&gt;6,V15&gt;6)),1,0)</f>
        <v>1</v>
      </c>
      <c r="BI15" s="243">
        <f>IF(AND(S15&gt;4,MAX(S15:W15)&gt;6),1,0)</f>
        <v>1</v>
      </c>
      <c r="BJ15" s="247">
        <f>IF(AND(OR(X15+AA15&gt;12,AND(X15&gt;6,AA15&gt;6)),AO15&gt;6,OR(AP15&gt;=AO15,AP15&gt;6)),1,0)</f>
        <v>0</v>
      </c>
      <c r="BK15" s="248">
        <f>IF(OR(AND(X15&gt;6,AB15&gt;6),X15+AA15&gt;12),1,0)</f>
        <v>1</v>
      </c>
      <c r="BL15" s="248">
        <f>IF(AND(X15&gt;6,Z15&gt;6,AA15&gt;6),1,0)</f>
        <v>0</v>
      </c>
      <c r="BM15" s="248">
        <f>IF(AND(Z15&gt;7,OR(X15&gt;6,AA15&gt;6)),1,0)</f>
        <v>1</v>
      </c>
      <c r="BN15" s="248">
        <f>IF(AND(Z15&gt;6,OR(X15&gt;6,AA15&gt;6)),1,0)</f>
        <v>1</v>
      </c>
      <c r="BO15" s="248">
        <f>IF(AND(OR(X15&gt;6,Z15&gt;6),OR(X15&gt;6,AA15&gt;6)),1,0)</f>
        <v>1</v>
      </c>
      <c r="BP15" s="248">
        <f>IF(AND(X15&gt;4,OR(X15&gt;6,Z15&gt;6,AA15&gt;6)),1,0)</f>
        <v>1</v>
      </c>
      <c r="BQ15" s="248">
        <f>IF(AND(X15&gt;4,OR(X15&gt;6,Y15&gt;6,Z15&gt;6,AA15&gt;6)),1,0)</f>
        <v>1</v>
      </c>
      <c r="BR15" s="243">
        <f>IF(AND(X15&gt;4,MAX(X15:AB15)&gt;6),1,0)</f>
        <v>1</v>
      </c>
      <c r="BS15" s="243">
        <f>IF(AVERAGE(AO15:AP15)&gt;9,1,0)+IF(AVERAGE(AO15:AP15)&gt;7,1,0)+IF(AO15&gt;7,1,0)+IF(AP15&gt;7,1,0)+IF(AQ15&gt;8,1,0)+IF(AQ15&gt;6,1,0)</f>
        <v>0</v>
      </c>
      <c r="BT15" s="249">
        <f>IF(OR(MAX(AG15,AH15,AL15,AN15)&gt;6,MAX(AI15,AJ15,AK15,AM15)&gt;7),2,IF(MAX(AG15:AN15)&gt;4,1,0))</f>
        <v>2</v>
      </c>
      <c r="BU15" s="242" t="str">
        <f>IF(AS15=1,"Yes","")</f>
        <v/>
      </c>
      <c r="BV15" s="241" t="str">
        <f>IF($B15="ML","There",IF(AND($X15&gt;=6,AVERAGE($Z15:$AA15)&gt;=6),"Likely",IF(OR($X15&gt;6,AND($X15=6,AVERAGE($Z15:$AA15)&gt;=3),AND($X15&gt;=5,AVERAGE($Z15:$AA15)&gt;=5),AVERAGE($X15,$Z15:$AA15)&gt;5),"Possible","Unlikely")))</f>
        <v>There</v>
      </c>
      <c r="BW15" s="242" t="str">
        <f>IF(OR(AND(S15&gt;=6,U15+V15&gt;=12),S15&gt;7),"Start",IF(AND(S15&gt;=5,U15+V15&gt;=8),"Bench","aack!"))</f>
        <v>Bench</v>
      </c>
      <c r="BX15" s="242" t="str">
        <f>IF(OR(AND(X15&gt;=6,Z15+AA15&gt;=12),X15&gt;7),"Start",IF(AND(X15&gt;=5,Z15+AA15&gt;=8),"Bench","aack!"))</f>
        <v>Bench</v>
      </c>
      <c r="BY15" s="242" t="str">
        <f>IF(S15&gt;5,"ML",IF(S15=5,"AAA",IF(S15=4,"AA",IF(S15=3,"A","SS-A"))))</f>
        <v>AAA</v>
      </c>
      <c r="BZ15" s="242">
        <f>S15-X15</f>
        <v>0</v>
      </c>
      <c r="CA15" s="242">
        <f>T15-Y15</f>
        <v>0</v>
      </c>
      <c r="CB15" s="242">
        <f>U15-Z15</f>
        <v>0</v>
      </c>
      <c r="CC15" s="242">
        <f>V15-AA15</f>
        <v>0</v>
      </c>
      <c r="CD15" s="242">
        <f>W15-AB15</f>
        <v>0</v>
      </c>
      <c r="CE15" s="242">
        <f>SUM(BZ15:CD15)</f>
        <v>0</v>
      </c>
      <c r="CF15" s="242">
        <f>X15+Z15+AA15</f>
        <v>21</v>
      </c>
      <c r="CG15" s="242">
        <f>X15+Z15</f>
        <v>13</v>
      </c>
      <c r="CH15" s="242">
        <f>X15+AA15</f>
        <v>13</v>
      </c>
      <c r="CI15" s="242" t="str">
        <f>IF(L15&gt;24,"Now - Age",IF(S15&gt;6,"Now",IF(X15&lt;6,"With Dev",MIN(X15-S15,7-S15))))</f>
        <v>Now - Age</v>
      </c>
      <c r="CJ15" s="257" t="str">
        <f>IF(AG15&lt;&gt;"-","X","")</f>
        <v/>
      </c>
      <c r="CK15" s="257" t="str">
        <f>IF(AND(AH15&lt;&gt;"-",AH15&gt;5),"X","")</f>
        <v>X</v>
      </c>
      <c r="CL15" s="257" t="str">
        <f>IF(AND(AI15&lt;&gt;"-",AI15&gt;5),"X","")</f>
        <v/>
      </c>
      <c r="CM15" s="257" t="str">
        <f>IF(AND(AJ15&lt;&gt;"-",AJ15&gt;4,AC15&gt;6),"X","")</f>
        <v/>
      </c>
      <c r="CN15" s="257" t="str">
        <f>IF(AND(AK15&lt;&gt;"-",AK15&gt;5,AC15&gt;5),"X","")</f>
        <v/>
      </c>
      <c r="CO15" s="257" t="str">
        <f>IF(AND(AL15&lt;&gt;"-",AL15&gt;3),"X","")</f>
        <v/>
      </c>
      <c r="CP15" s="257" t="str">
        <f>IF(AND(AM15&lt;&gt;"-",AM15&gt;6),"X","")</f>
        <v/>
      </c>
      <c r="CQ15" s="257" t="str">
        <f>IF(AND(AN15&lt;&gt;"-",AN15&gt;5,AD15&gt;6),"X","")</f>
        <v/>
      </c>
      <c r="CR15" s="257" t="str">
        <f>IF(COUNTBLANK(CJ15:CQ15)=8,"X","")</f>
        <v/>
      </c>
    </row>
    <row r="16" spans="1:96" s="306" customFormat="1" x14ac:dyDescent="0.25">
      <c r="A16" s="240" t="str">
        <f>H16&amp;" "&amp;I16</f>
        <v>Nikolay Rusanovsky</v>
      </c>
      <c r="B16" s="240" t="str">
        <f>IF(ISERROR(VLOOKUP(A16,AMA!$C$3:$C$24,1,FALSE)),IF(ISERROR(VLOOKUP(A16,'END-AAA'!$C$6:$C$33,1,FALSE)),IF(ISERROR(VLOOKUP(A16,'DB-AA'!$C$6:$C$33,1,FALSE)),IF(ISERROR(VLOOKUP(A16,'UTR-A'!$C$6:$C$33,1,FALSE)),IF(ISERROR(VLOOKUP(A16,'FAI-S A'!$C$6:$C$33,1,FALSE)),"","S A"),"A"),"AA"),"AAA"),"ML")</f>
        <v>ML</v>
      </c>
      <c r="C16" s="241"/>
      <c r="D16" s="242">
        <f>IF(BL16=1,3,IF(BM16=1,4,IF(BJ16=1,1,IF(BN16=1,5,IF(BK16=1,2,IF(BO16=1,6,IF(BP16=1,7,IF(BQ16=1,8,IF(BR16=1,9,"-")))))))))</f>
        <v>1</v>
      </c>
      <c r="E16" s="242">
        <f>IF(BC16=1,3,IF(BD16=1,4,IF(BA16=1,1,IF(BE16=1,5,IF(BB16=1,2,IF(BF16=1,6,IF(BG16=1,7,IF(BH16=1,8,IF(BI16=1,9,"-")))))))))</f>
        <v>1</v>
      </c>
      <c r="F16" s="242" t="str">
        <f>IF(OR(OR(Q16="Very High",Q16="High"),AND(OR(Q16="Very High",Q16="High",Q16="Normal"),OR(R16="Very High",R16="High"))),"K","T")</f>
        <v>T</v>
      </c>
      <c r="G16" s="242" t="s">
        <v>74</v>
      </c>
      <c r="H16" s="242" t="s">
        <v>794</v>
      </c>
      <c r="I16" s="242" t="s">
        <v>795</v>
      </c>
      <c r="J16" s="242" t="s">
        <v>763</v>
      </c>
      <c r="K16" s="242" t="s">
        <v>402</v>
      </c>
      <c r="L16" s="242">
        <v>27</v>
      </c>
      <c r="M16" s="242" t="s">
        <v>83</v>
      </c>
      <c r="N16" s="242" t="s">
        <v>83</v>
      </c>
      <c r="O16" s="242" t="s">
        <v>768</v>
      </c>
      <c r="P16" s="243" t="s">
        <v>768</v>
      </c>
      <c r="Q16" s="242" t="s">
        <v>201</v>
      </c>
      <c r="R16" s="243" t="s">
        <v>200</v>
      </c>
      <c r="S16" s="242">
        <v>5</v>
      </c>
      <c r="T16" s="242">
        <v>2</v>
      </c>
      <c r="U16" s="242">
        <v>7</v>
      </c>
      <c r="V16" s="242">
        <v>8</v>
      </c>
      <c r="W16" s="243">
        <v>5</v>
      </c>
      <c r="X16" s="242">
        <v>5</v>
      </c>
      <c r="Y16" s="242">
        <v>3</v>
      </c>
      <c r="Z16" s="242">
        <v>7</v>
      </c>
      <c r="AA16" s="242">
        <v>8</v>
      </c>
      <c r="AB16" s="243">
        <v>6</v>
      </c>
      <c r="AC16" s="242">
        <v>7</v>
      </c>
      <c r="AD16" s="242">
        <v>5</v>
      </c>
      <c r="AE16" s="242">
        <v>1</v>
      </c>
      <c r="AF16" s="242" t="s">
        <v>32</v>
      </c>
      <c r="AG16" s="242" t="s">
        <v>32</v>
      </c>
      <c r="AH16" s="242" t="s">
        <v>32</v>
      </c>
      <c r="AI16" s="242">
        <v>6</v>
      </c>
      <c r="AJ16" s="242">
        <v>3</v>
      </c>
      <c r="AK16" s="242">
        <v>3</v>
      </c>
      <c r="AL16" s="242" t="s">
        <v>32</v>
      </c>
      <c r="AM16" s="242" t="s">
        <v>32</v>
      </c>
      <c r="AN16" s="243" t="s">
        <v>32</v>
      </c>
      <c r="AO16" s="242">
        <v>9</v>
      </c>
      <c r="AP16" s="242">
        <v>10</v>
      </c>
      <c r="AQ16" s="243">
        <v>10</v>
      </c>
      <c r="AR16" s="244">
        <v>560000</v>
      </c>
      <c r="AS16" s="243" t="s">
        <v>33</v>
      </c>
      <c r="AT16" s="248" t="s">
        <v>779</v>
      </c>
      <c r="AU16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6.166666666666667</v>
      </c>
      <c r="AV16" s="246" t="str">
        <f>IF(AU16&gt;9,"SuperStar",IF(AU16&gt;8,"Star",IF(AU16&gt;6.5,"GoodReg",IF(AU16&gt;5,"Reg",IF(AU16&gt;4,"Bench","Minors")))))</f>
        <v>Reg</v>
      </c>
      <c r="AW16" s="245">
        <f>AVERAGE(X16,Z16,AA16)+IF(OR(X16&gt;7,AND(X16&gt;5,AA16&gt;5)),0.5,0)+IF(Z16&gt;7,0.25,0)+IF(X16&lt;6,-0.5*(6-X16),0)</f>
        <v>6.166666666666667</v>
      </c>
      <c r="AX16" s="245" t="str">
        <f>IF(AW16&gt;9,"SuperStar",IF(AW16&gt;8,"Star",IF(AW16&gt;6.5,"GoodReg",IF(AW16&gt;5,"Reg",IF(AW16&gt;4,"Bench","Minors")))))</f>
        <v>Reg</v>
      </c>
      <c r="AY16" s="246">
        <f>MIN(AU16+(MAX(0,25-L16))^1.5,AW16)</f>
        <v>6.166666666666667</v>
      </c>
      <c r="AZ16" s="246" t="str">
        <f>IF(AY16&gt;9,"SuperStar",IF(AY16&gt;8,"Star",IF(AY16&gt;6.5,"GoodReg",IF(AY16&gt;5,"Reg",IF(AY16&gt;4,"Bench","Minors")))))</f>
        <v>Reg</v>
      </c>
      <c r="BA16" s="247">
        <f>IF(AND(OR(S16+V16&gt;12,AND(S16&gt;6,V16&gt;6)),AO16&gt;6,OR(AP16&gt;=AO16,AP16&gt;6)),1,0)</f>
        <v>1</v>
      </c>
      <c r="BB16" s="248">
        <f>IF(OR(AND(S16&gt;6,W16&gt;6),S16+V16&gt;12),1,0)</f>
        <v>1</v>
      </c>
      <c r="BC16" s="248">
        <f>IF(AND(S16&gt;6,U16&gt;6,V16&gt;6),1,0)</f>
        <v>0</v>
      </c>
      <c r="BD16" s="248">
        <f>IF(AND(U16&gt;7,OR(S16&gt;6,V16&gt;6)),1,0)</f>
        <v>0</v>
      </c>
      <c r="BE16" s="248">
        <f>IF(AND(U16&gt;6,OR(S16&gt;6,V16&gt;6)),1,0)</f>
        <v>1</v>
      </c>
      <c r="BF16" s="248">
        <f>IF(AND(OR(S16&gt;6,U16&gt;6),OR(S16&gt;6,V16&gt;6)),1,0)</f>
        <v>1</v>
      </c>
      <c r="BG16" s="248">
        <f>IF(AND(S16&gt;4,OR(S16&gt;6,U16&gt;6,V16&gt;6)),1,0)</f>
        <v>1</v>
      </c>
      <c r="BH16" s="248">
        <f>IF(AND(S16&gt;4,OR(S16&gt;6,T16&gt;6,U16&gt;6,V16&gt;6)),1,0)</f>
        <v>1</v>
      </c>
      <c r="BI16" s="243">
        <f>IF(AND(S16&gt;4,MAX(S16:W16)&gt;6),1,0)</f>
        <v>1</v>
      </c>
      <c r="BJ16" s="247">
        <f>IF(AND(OR(X16+AA16&gt;12,AND(X16&gt;6,AA16&gt;6)),AO16&gt;6,OR(AP16&gt;=AO16,AP16&gt;6)),1,0)</f>
        <v>1</v>
      </c>
      <c r="BK16" s="248">
        <f>IF(OR(AND(X16&gt;6,AB16&gt;6),X16+AA16&gt;12),1,0)</f>
        <v>1</v>
      </c>
      <c r="BL16" s="248">
        <f>IF(AND(X16&gt;6,Z16&gt;6,AA16&gt;6),1,0)</f>
        <v>0</v>
      </c>
      <c r="BM16" s="248">
        <f>IF(AND(Z16&gt;7,OR(X16&gt;6,AA16&gt;6)),1,0)</f>
        <v>0</v>
      </c>
      <c r="BN16" s="248">
        <f>IF(AND(Z16&gt;6,OR(X16&gt;6,AA16&gt;6)),1,0)</f>
        <v>1</v>
      </c>
      <c r="BO16" s="248">
        <f>IF(AND(OR(X16&gt;6,Z16&gt;6),OR(X16&gt;6,AA16&gt;6)),1,0)</f>
        <v>1</v>
      </c>
      <c r="BP16" s="248">
        <f>IF(AND(X16&gt;4,OR(X16&gt;6,Z16&gt;6,AA16&gt;6)),1,0)</f>
        <v>1</v>
      </c>
      <c r="BQ16" s="248">
        <f>IF(AND(X16&gt;4,OR(X16&gt;6,Y16&gt;6,Z16&gt;6,AA16&gt;6)),1,0)</f>
        <v>1</v>
      </c>
      <c r="BR16" s="243">
        <f>IF(AND(X16&gt;4,MAX(X16:AB16)&gt;6),1,0)</f>
        <v>1</v>
      </c>
      <c r="BS16" s="243">
        <f>IF(AVERAGE(AO16:AP16)&gt;9,1,0)+IF(AVERAGE(AO16:AP16)&gt;7,1,0)+IF(AO16&gt;7,1,0)+IF(AP16&gt;7,1,0)+IF(AQ16&gt;8,1,0)+IF(AQ16&gt;6,1,0)</f>
        <v>6</v>
      </c>
      <c r="BT16" s="249">
        <f>IF(OR(MAX(AG16,AH16,AL16,AN16)&gt;6,MAX(AI16,AJ16,AK16,AM16)&gt;7),2,IF(MAX(AG16:AN16)&gt;4,1,0))</f>
        <v>1</v>
      </c>
      <c r="BU16" s="242" t="str">
        <f>IF(AS16=1,"Yes","")</f>
        <v/>
      </c>
      <c r="BV16" s="241" t="str">
        <f>IF($B16="ML","There",IF(AND($X16&gt;=6,AVERAGE($Z16:$AA16)&gt;=6),"Likely",IF(OR($X16&gt;6,AND($X16=6,AVERAGE($Z16:$AA16)&gt;=3),AND($X16&gt;=5,AVERAGE($Z16:$AA16)&gt;=5),AVERAGE($X16,$Z16:$AA16)&gt;5),"Possible","Unlikely")))</f>
        <v>There</v>
      </c>
      <c r="BW16" s="242" t="str">
        <f>IF(OR(AND(S16&gt;=6,U16+V16&gt;=12),S16&gt;7),"Start",IF(AND(S16&gt;=5,U16+V16&gt;=8),"Bench","aack!"))</f>
        <v>Bench</v>
      </c>
      <c r="BX16" s="242" t="str">
        <f>IF(OR(AND(X16&gt;=6,Z16+AA16&gt;=12),X16&gt;7),"Start",IF(AND(X16&gt;=5,Z16+AA16&gt;=8),"Bench","aack!"))</f>
        <v>Bench</v>
      </c>
      <c r="BY16" s="242" t="str">
        <f>IF(S16&gt;5,"ML",IF(S16=5,"AAA",IF(S16=4,"AA",IF(S16=3,"A","SS-A"))))</f>
        <v>AAA</v>
      </c>
      <c r="BZ16" s="242">
        <f>S16-X16</f>
        <v>0</v>
      </c>
      <c r="CA16" s="242">
        <f>T16-Y16</f>
        <v>-1</v>
      </c>
      <c r="CB16" s="242">
        <f>U16-Z16</f>
        <v>0</v>
      </c>
      <c r="CC16" s="242">
        <f>V16-AA16</f>
        <v>0</v>
      </c>
      <c r="CD16" s="242">
        <f>W16-AB16</f>
        <v>-1</v>
      </c>
      <c r="CE16" s="242">
        <f>SUM(BZ16:CD16)</f>
        <v>-2</v>
      </c>
      <c r="CF16" s="242">
        <f>X16+Z16+AA16</f>
        <v>20</v>
      </c>
      <c r="CG16" s="242">
        <f>X16+Z16</f>
        <v>12</v>
      </c>
      <c r="CH16" s="242">
        <f>X16+AA16</f>
        <v>13</v>
      </c>
      <c r="CI16" s="242" t="str">
        <f>IF(L16&gt;24,"Now - Age",IF(S16&gt;6,"Now",IF(X16&lt;6,"With Dev",MIN(X16-S16,7-S16))))</f>
        <v>Now - Age</v>
      </c>
      <c r="CJ16" s="257" t="str">
        <f>IF(AG16&lt;&gt;"-","X","")</f>
        <v/>
      </c>
      <c r="CK16" s="257" t="str">
        <f>IF(AND(AH16&lt;&gt;"-",AH16&gt;5),"X","")</f>
        <v/>
      </c>
      <c r="CL16" s="257" t="str">
        <f>IF(AND(AI16&lt;&gt;"-",AI16&gt;5),"X","")</f>
        <v>X</v>
      </c>
      <c r="CM16" s="257" t="str">
        <f>IF(AND(AJ16&lt;&gt;"-",AJ16&gt;4,AC16&gt;6),"X","")</f>
        <v/>
      </c>
      <c r="CN16" s="257" t="str">
        <f>IF(AND(AK16&lt;&gt;"-",AK16&gt;5,AC16&gt;5),"X","")</f>
        <v/>
      </c>
      <c r="CO16" s="257" t="str">
        <f>IF(AND(AL16&lt;&gt;"-",AL16&gt;3),"X","")</f>
        <v/>
      </c>
      <c r="CP16" s="257" t="str">
        <f>IF(AND(AM16&lt;&gt;"-",AM16&gt;6),"X","")</f>
        <v/>
      </c>
      <c r="CQ16" s="257" t="str">
        <f>IF(AND(AN16&lt;&gt;"-",AN16&gt;5,AD16&gt;6),"X","")</f>
        <v/>
      </c>
      <c r="CR16" s="257" t="str">
        <f>IF(COUNTBLANK(CJ16:CQ16)=8,"X","")</f>
        <v/>
      </c>
    </row>
    <row r="17" spans="1:96" s="306" customFormat="1" x14ac:dyDescent="0.25">
      <c r="A17" s="240" t="str">
        <f>H17&amp;" "&amp;I17</f>
        <v>Roberto Martínez</v>
      </c>
      <c r="B17" s="240" t="str">
        <f>IF(ISERROR(VLOOKUP(A17,AMA!$C$3:$C$24,1,FALSE)),IF(ISERROR(VLOOKUP(A17,'END-AAA'!$C$6:$C$33,1,FALSE)),IF(ISERROR(VLOOKUP(A17,'DB-AA'!$C$6:$C$33,1,FALSE)),IF(ISERROR(VLOOKUP(A17,'UTR-A'!$C$6:$C$33,1,FALSE)),IF(ISERROR(VLOOKUP(A17,'FAI-S A'!$C$6:$C$33,1,FALSE)),"","S A"),"A"),"AA"),"AAA"),"ML")</f>
        <v/>
      </c>
      <c r="C17" s="241"/>
      <c r="D17" s="242">
        <f>IF(BL17=1,3,IF(BM17=1,4,IF(BJ17=1,1,IF(BN17=1,5,IF(BK17=1,2,IF(BO17=1,6,IF(BP17=1,7,IF(BQ17=1,8,IF(BR17=1,9,"-")))))))))</f>
        <v>1</v>
      </c>
      <c r="E17" s="242">
        <f>IF(BC17=1,3,IF(BD17=1,4,IF(BA17=1,1,IF(BE17=1,5,IF(BB17=1,2,IF(BF17=1,6,IF(BG17=1,7,IF(BH17=1,8,IF(BI17=1,9,"-")))))))))</f>
        <v>1</v>
      </c>
      <c r="F17" s="242" t="str">
        <f>IF(OR(OR(Q17="Very High",Q17="High"),AND(OR(Q17="Very High",Q17="High",Q17="Normal"),OR(R17="Very High",R17="High"))),"K","T")</f>
        <v>T</v>
      </c>
      <c r="G17" s="242" t="s">
        <v>77</v>
      </c>
      <c r="H17" s="242" t="s">
        <v>434</v>
      </c>
      <c r="I17" s="242" t="s">
        <v>430</v>
      </c>
      <c r="J17" s="242" t="s">
        <v>763</v>
      </c>
      <c r="K17" s="242" t="s">
        <v>402</v>
      </c>
      <c r="L17" s="242">
        <v>32</v>
      </c>
      <c r="M17" s="242" t="s">
        <v>82</v>
      </c>
      <c r="N17" s="242" t="s">
        <v>82</v>
      </c>
      <c r="O17" s="242" t="s">
        <v>764</v>
      </c>
      <c r="P17" s="243" t="s">
        <v>764</v>
      </c>
      <c r="Q17" s="242" t="s">
        <v>201</v>
      </c>
      <c r="R17" s="243" t="s">
        <v>199</v>
      </c>
      <c r="S17" s="242">
        <v>6</v>
      </c>
      <c r="T17" s="242">
        <v>6</v>
      </c>
      <c r="U17" s="242">
        <v>4</v>
      </c>
      <c r="V17" s="242">
        <v>7</v>
      </c>
      <c r="W17" s="243">
        <v>6</v>
      </c>
      <c r="X17" s="242">
        <v>6</v>
      </c>
      <c r="Y17" s="242">
        <v>6</v>
      </c>
      <c r="Z17" s="242">
        <v>4</v>
      </c>
      <c r="AA17" s="242">
        <v>7</v>
      </c>
      <c r="AB17" s="243">
        <v>6</v>
      </c>
      <c r="AC17" s="242">
        <v>5</v>
      </c>
      <c r="AD17" s="242">
        <v>10</v>
      </c>
      <c r="AE17" s="242">
        <v>1</v>
      </c>
      <c r="AF17" s="242" t="s">
        <v>32</v>
      </c>
      <c r="AG17" s="242" t="s">
        <v>32</v>
      </c>
      <c r="AH17" s="242" t="s">
        <v>32</v>
      </c>
      <c r="AI17" s="242" t="s">
        <v>32</v>
      </c>
      <c r="AJ17" s="242" t="s">
        <v>32</v>
      </c>
      <c r="AK17" s="242" t="s">
        <v>32</v>
      </c>
      <c r="AL17" s="242">
        <v>6</v>
      </c>
      <c r="AM17" s="242" t="s">
        <v>32</v>
      </c>
      <c r="AN17" s="243">
        <v>6</v>
      </c>
      <c r="AO17" s="242">
        <v>8</v>
      </c>
      <c r="AP17" s="242">
        <v>9</v>
      </c>
      <c r="AQ17" s="243">
        <v>10</v>
      </c>
      <c r="AR17" s="244">
        <v>9000000</v>
      </c>
      <c r="AS17" s="243">
        <v>6</v>
      </c>
      <c r="AT17" s="248" t="s">
        <v>779</v>
      </c>
      <c r="AU17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6.166666666666667</v>
      </c>
      <c r="AV17" s="246" t="str">
        <f>IF(AU17&gt;9,"SuperStar",IF(AU17&gt;8,"Star",IF(AU17&gt;6.5,"GoodReg",IF(AU17&gt;5,"Reg",IF(AU17&gt;4,"Bench","Minors")))))</f>
        <v>Reg</v>
      </c>
      <c r="AW17" s="245">
        <f>AVERAGE(X17,Z17,AA17)+IF(OR(X17&gt;7,AND(X17&gt;5,AA17&gt;5)),0.5,0)+IF(Z17&gt;7,0.25,0)+IF(X17&lt;6,-0.5*(6-X17),0)</f>
        <v>6.166666666666667</v>
      </c>
      <c r="AX17" s="245" t="str">
        <f>IF(AW17&gt;9,"SuperStar",IF(AW17&gt;8,"Star",IF(AW17&gt;6.5,"GoodReg",IF(AW17&gt;5,"Reg",IF(AW17&gt;4,"Bench","Minors")))))</f>
        <v>Reg</v>
      </c>
      <c r="AY17" s="246">
        <f>MIN(AU17+(MAX(0,25-L17))^1.5,AW17)</f>
        <v>6.166666666666667</v>
      </c>
      <c r="AZ17" s="246" t="str">
        <f>IF(AY17&gt;9,"SuperStar",IF(AY17&gt;8,"Star",IF(AY17&gt;6.5,"GoodReg",IF(AY17&gt;5,"Reg",IF(AY17&gt;4,"Bench","Minors")))))</f>
        <v>Reg</v>
      </c>
      <c r="BA17" s="247">
        <f>IF(AND(OR(S17+V17&gt;12,AND(S17&gt;6,V17&gt;6)),AO17&gt;6,OR(AP17&gt;=AO17,AP17&gt;6)),1,0)</f>
        <v>1</v>
      </c>
      <c r="BB17" s="248">
        <f>IF(OR(AND(S17&gt;6,W17&gt;6),S17+V17&gt;12),1,0)</f>
        <v>1</v>
      </c>
      <c r="BC17" s="248">
        <f>IF(AND(S17&gt;6,U17&gt;6,V17&gt;6),1,0)</f>
        <v>0</v>
      </c>
      <c r="BD17" s="248">
        <f>IF(AND(U17&gt;7,OR(S17&gt;6,V17&gt;6)),1,0)</f>
        <v>0</v>
      </c>
      <c r="BE17" s="248">
        <f>IF(AND(U17&gt;6,OR(S17&gt;6,V17&gt;6)),1,0)</f>
        <v>0</v>
      </c>
      <c r="BF17" s="248">
        <f>IF(AND(OR(S17&gt;6,U17&gt;6),OR(S17&gt;6,V17&gt;6)),1,0)</f>
        <v>0</v>
      </c>
      <c r="BG17" s="248">
        <f>IF(AND(S17&gt;4,OR(S17&gt;6,U17&gt;6,V17&gt;6)),1,0)</f>
        <v>1</v>
      </c>
      <c r="BH17" s="248">
        <f>IF(AND(S17&gt;4,OR(S17&gt;6,T17&gt;6,U17&gt;6,V17&gt;6)),1,0)</f>
        <v>1</v>
      </c>
      <c r="BI17" s="243">
        <f>IF(AND(S17&gt;4,MAX(S17:W17)&gt;6),1,0)</f>
        <v>1</v>
      </c>
      <c r="BJ17" s="247">
        <f>IF(AND(OR(X17+AA17&gt;12,AND(X17&gt;6,AA17&gt;6)),AO17&gt;6,OR(AP17&gt;=AO17,AP17&gt;6)),1,0)</f>
        <v>1</v>
      </c>
      <c r="BK17" s="248">
        <f>IF(OR(AND(X17&gt;6,AB17&gt;6),X17+AA17&gt;12),1,0)</f>
        <v>1</v>
      </c>
      <c r="BL17" s="248">
        <f>IF(AND(X17&gt;6,Z17&gt;6,AA17&gt;6),1,0)</f>
        <v>0</v>
      </c>
      <c r="BM17" s="248">
        <f>IF(AND(Z17&gt;7,OR(X17&gt;6,AA17&gt;6)),1,0)</f>
        <v>0</v>
      </c>
      <c r="BN17" s="248">
        <f>IF(AND(Z17&gt;6,OR(X17&gt;6,AA17&gt;6)),1,0)</f>
        <v>0</v>
      </c>
      <c r="BO17" s="248">
        <f>IF(AND(OR(X17&gt;6,Z17&gt;6),OR(X17&gt;6,AA17&gt;6)),1,0)</f>
        <v>0</v>
      </c>
      <c r="BP17" s="248">
        <f>IF(AND(X17&gt;4,OR(X17&gt;6,Z17&gt;6,AA17&gt;6)),1,0)</f>
        <v>1</v>
      </c>
      <c r="BQ17" s="248">
        <f>IF(AND(X17&gt;4,OR(X17&gt;6,Y17&gt;6,Z17&gt;6,AA17&gt;6)),1,0)</f>
        <v>1</v>
      </c>
      <c r="BR17" s="243">
        <f>IF(AND(X17&gt;4,MAX(X17:AB17)&gt;6),1,0)</f>
        <v>1</v>
      </c>
      <c r="BS17" s="243">
        <f>IF(AVERAGE(AO17:AP17)&gt;9,1,0)+IF(AVERAGE(AO17:AP17)&gt;7,1,0)+IF(AO17&gt;7,1,0)+IF(AP17&gt;7,1,0)+IF(AQ17&gt;8,1,0)+IF(AQ17&gt;6,1,0)</f>
        <v>5</v>
      </c>
      <c r="BT17" s="249">
        <f>IF(OR(MAX(AG17,AH17,AL17,AN17)&gt;6,MAX(AI17,AJ17,AK17,AM17)&gt;7),2,IF(MAX(AG17:AN17)&gt;4,1,0))</f>
        <v>1</v>
      </c>
      <c r="BU17" s="242" t="str">
        <f>IF(AS17=1,"Yes","")</f>
        <v/>
      </c>
      <c r="BV17" s="241" t="str">
        <f>IF($B17="ML","There",IF(AND($X17&gt;=6,AVERAGE($Z17:$AA17)&gt;=6),"Likely",IF(OR($X17&gt;6,AND($X17=6,AVERAGE($Z17:$AA17)&gt;=3),AND($X17&gt;=5,AVERAGE($Z17:$AA17)&gt;=5),AVERAGE($X17,$Z17:$AA17)&gt;5),"Possible","Unlikely")))</f>
        <v>Possible</v>
      </c>
      <c r="BW17" s="242" t="str">
        <f>IF(OR(AND(S17&gt;=6,U17+V17&gt;=12),S17&gt;7),"Start",IF(AND(S17&gt;=5,U17+V17&gt;=8),"Bench","aack!"))</f>
        <v>Bench</v>
      </c>
      <c r="BX17" s="242" t="str">
        <f>IF(OR(AND(X17&gt;=6,Z17+AA17&gt;=12),X17&gt;7),"Start",IF(AND(X17&gt;=5,Z17+AA17&gt;=8),"Bench","aack!"))</f>
        <v>Bench</v>
      </c>
      <c r="BY17" s="242" t="str">
        <f>IF(S17&gt;5,"ML",IF(S17=5,"AAA",IF(S17=4,"AA",IF(S17=3,"A","SS-A"))))</f>
        <v>ML</v>
      </c>
      <c r="BZ17" s="242">
        <f>S17-X17</f>
        <v>0</v>
      </c>
      <c r="CA17" s="242">
        <f>T17-Y17</f>
        <v>0</v>
      </c>
      <c r="CB17" s="242">
        <f>U17-Z17</f>
        <v>0</v>
      </c>
      <c r="CC17" s="242">
        <f>V17-AA17</f>
        <v>0</v>
      </c>
      <c r="CD17" s="242">
        <f>W17-AB17</f>
        <v>0</v>
      </c>
      <c r="CE17" s="242">
        <f>SUM(BZ17:CD17)</f>
        <v>0</v>
      </c>
      <c r="CF17" s="242">
        <f>X17+Z17+AA17</f>
        <v>17</v>
      </c>
      <c r="CG17" s="242">
        <f>X17+Z17</f>
        <v>10</v>
      </c>
      <c r="CH17" s="242">
        <f>X17+AA17</f>
        <v>13</v>
      </c>
      <c r="CI17" s="242" t="str">
        <f>IF(L17&gt;24,"Now - Age",IF(S17&gt;6,"Now",IF(X17&lt;6,"With Dev",MIN(X17-S17,7-S17))))</f>
        <v>Now - Age</v>
      </c>
      <c r="CJ17" s="257" t="str">
        <f>IF(AG17&lt;&gt;"-","X","")</f>
        <v/>
      </c>
      <c r="CK17" s="257" t="str">
        <f>IF(AND(AH17&lt;&gt;"-",AH17&gt;5),"X","")</f>
        <v/>
      </c>
      <c r="CL17" s="257" t="str">
        <f>IF(AND(AI17&lt;&gt;"-",AI17&gt;5),"X","")</f>
        <v/>
      </c>
      <c r="CM17" s="257" t="str">
        <f>IF(AND(AJ17&lt;&gt;"-",AJ17&gt;4,AC17&gt;6),"X","")</f>
        <v/>
      </c>
      <c r="CN17" s="257" t="str">
        <f>IF(AND(AK17&lt;&gt;"-",AK17&gt;5,AC17&gt;5),"X","")</f>
        <v/>
      </c>
      <c r="CO17" s="257" t="str">
        <f>IF(AND(AL17&lt;&gt;"-",AL17&gt;3),"X","")</f>
        <v>X</v>
      </c>
      <c r="CP17" s="257" t="str">
        <f>IF(AND(AM17&lt;&gt;"-",AM17&gt;6),"X","")</f>
        <v/>
      </c>
      <c r="CQ17" s="257" t="str">
        <f>IF(AND(AN17&lt;&gt;"-",AN17&gt;5,AD17&gt;6),"X","")</f>
        <v>X</v>
      </c>
      <c r="CR17" s="257" t="str">
        <f>IF(COUNTBLANK(CJ17:CQ17)=8,"X","")</f>
        <v/>
      </c>
    </row>
    <row r="18" spans="1:96" s="306" customFormat="1" x14ac:dyDescent="0.25">
      <c r="A18" s="240" t="str">
        <f>H18&amp;" "&amp;I18</f>
        <v>Owen Roosemont</v>
      </c>
      <c r="B18" s="240" t="str">
        <f>IF(ISERROR(VLOOKUP(A18,AMA!$C$3:$C$24,1,FALSE)),IF(ISERROR(VLOOKUP(A18,'END-AAA'!$C$6:$C$33,1,FALSE)),IF(ISERROR(VLOOKUP(A18,'DB-AA'!$C$6:$C$33,1,FALSE)),IF(ISERROR(VLOOKUP(A18,'UTR-A'!$C$6:$C$33,1,FALSE)),IF(ISERROR(VLOOKUP(A18,'FAI-S A'!$C$6:$C$33,1,FALSE)),"","S A"),"A"),"AA"),"AAA"),"ML")</f>
        <v/>
      </c>
      <c r="C18" s="241"/>
      <c r="D18" s="242">
        <f>IF(BL18=1,3,IF(BM18=1,4,IF(BJ18=1,1,IF(BN18=1,5,IF(BK18=1,2,IF(BO18=1,6,IF(BP18=1,7,IF(BQ18=1,8,IF(BR18=1,9,"-")))))))))</f>
        <v>2</v>
      </c>
      <c r="E18" s="242">
        <f>IF(BC18=1,3,IF(BD18=1,4,IF(BA18=1,1,IF(BE18=1,5,IF(BB18=1,2,IF(BF18=1,6,IF(BG18=1,7,IF(BH18=1,8,IF(BI18=1,9,"-")))))))))</f>
        <v>2</v>
      </c>
      <c r="F18" s="242" t="str">
        <f>IF(OR(OR(Q18="Very High",Q18="High"),AND(OR(Q18="Very High",Q18="High",Q18="Normal"),OR(R18="Very High",R18="High"))),"K","T")</f>
        <v>T</v>
      </c>
      <c r="G18" s="242" t="s">
        <v>77</v>
      </c>
      <c r="H18" s="242" t="s">
        <v>857</v>
      </c>
      <c r="I18" s="242" t="s">
        <v>858</v>
      </c>
      <c r="J18" s="242" t="s">
        <v>783</v>
      </c>
      <c r="K18" s="242" t="s">
        <v>185</v>
      </c>
      <c r="L18" s="242">
        <v>33</v>
      </c>
      <c r="M18" s="242" t="s">
        <v>83</v>
      </c>
      <c r="N18" s="242" t="s">
        <v>83</v>
      </c>
      <c r="O18" s="242" t="s">
        <v>773</v>
      </c>
      <c r="P18" s="243" t="s">
        <v>773</v>
      </c>
      <c r="Q18" s="242" t="s">
        <v>200</v>
      </c>
      <c r="R18" s="243" t="s">
        <v>200</v>
      </c>
      <c r="S18" s="242">
        <v>4</v>
      </c>
      <c r="T18" s="242">
        <v>5</v>
      </c>
      <c r="U18" s="242">
        <v>6</v>
      </c>
      <c r="V18" s="242">
        <v>10</v>
      </c>
      <c r="W18" s="243">
        <v>5</v>
      </c>
      <c r="X18" s="242">
        <v>4</v>
      </c>
      <c r="Y18" s="242">
        <v>5</v>
      </c>
      <c r="Z18" s="242">
        <v>6</v>
      </c>
      <c r="AA18" s="242">
        <v>10</v>
      </c>
      <c r="AB18" s="243">
        <v>5</v>
      </c>
      <c r="AC18" s="242">
        <v>1</v>
      </c>
      <c r="AD18" s="242">
        <v>5</v>
      </c>
      <c r="AE18" s="242">
        <v>1</v>
      </c>
      <c r="AF18" s="242" t="s">
        <v>32</v>
      </c>
      <c r="AG18" s="242" t="s">
        <v>32</v>
      </c>
      <c r="AH18" s="242">
        <v>1</v>
      </c>
      <c r="AI18" s="242" t="s">
        <v>32</v>
      </c>
      <c r="AJ18" s="242" t="s">
        <v>32</v>
      </c>
      <c r="AK18" s="242" t="s">
        <v>32</v>
      </c>
      <c r="AL18" s="242">
        <v>3</v>
      </c>
      <c r="AM18" s="242" t="s">
        <v>32</v>
      </c>
      <c r="AN18" s="243">
        <v>2</v>
      </c>
      <c r="AO18" s="242">
        <v>1</v>
      </c>
      <c r="AP18" s="242">
        <v>5</v>
      </c>
      <c r="AQ18" s="243">
        <v>2</v>
      </c>
      <c r="AR18" s="244" t="s">
        <v>32</v>
      </c>
      <c r="AS18" s="243" t="s">
        <v>33</v>
      </c>
      <c r="AT18" s="248" t="s">
        <v>199</v>
      </c>
      <c r="AU18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5.666666666666667</v>
      </c>
      <c r="AV18" s="246" t="str">
        <f>IF(AU18&gt;9,"SuperStar",IF(AU18&gt;8,"Star",IF(AU18&gt;6.5,"GoodReg",IF(AU18&gt;5,"Reg",IF(AU18&gt;4,"Bench","Minors")))))</f>
        <v>Reg</v>
      </c>
      <c r="AW18" s="245">
        <f>AVERAGE(X18,Z18,AA18)+IF(OR(X18&gt;7,AND(X18&gt;5,AA18&gt;5)),0.5,0)+IF(Z18&gt;7,0.25,0)+IF(X18&lt;6,-0.5*(6-X18),0)</f>
        <v>5.666666666666667</v>
      </c>
      <c r="AX18" s="245" t="str">
        <f>IF(AW18&gt;9,"SuperStar",IF(AW18&gt;8,"Star",IF(AW18&gt;6.5,"GoodReg",IF(AW18&gt;5,"Reg",IF(AW18&gt;4,"Bench","Minors")))))</f>
        <v>Reg</v>
      </c>
      <c r="AY18" s="246">
        <f>MIN(AU18+(MAX(0,25-L18))^1.5,AW18)</f>
        <v>5.666666666666667</v>
      </c>
      <c r="AZ18" s="246" t="str">
        <f>IF(AY18&gt;9,"SuperStar",IF(AY18&gt;8,"Star",IF(AY18&gt;6.5,"GoodReg",IF(AY18&gt;5,"Reg",IF(AY18&gt;4,"Bench","Minors")))))</f>
        <v>Reg</v>
      </c>
      <c r="BA18" s="247">
        <f>IF(AND(OR(S18+V18&gt;12,AND(S18&gt;6,V18&gt;6)),AO18&gt;6,OR(AP18&gt;=AO18,AP18&gt;6)),1,0)</f>
        <v>0</v>
      </c>
      <c r="BB18" s="248">
        <f>IF(OR(AND(S18&gt;6,W18&gt;6),S18+V18&gt;12),1,0)</f>
        <v>1</v>
      </c>
      <c r="BC18" s="248">
        <f>IF(AND(S18&gt;6,U18&gt;6,V18&gt;6),1,0)</f>
        <v>0</v>
      </c>
      <c r="BD18" s="248">
        <f>IF(AND(U18&gt;7,OR(S18&gt;6,V18&gt;6)),1,0)</f>
        <v>0</v>
      </c>
      <c r="BE18" s="248">
        <f>IF(AND(U18&gt;6,OR(S18&gt;6,V18&gt;6)),1,0)</f>
        <v>0</v>
      </c>
      <c r="BF18" s="248">
        <f>IF(AND(OR(S18&gt;6,U18&gt;6),OR(S18&gt;6,V18&gt;6)),1,0)</f>
        <v>0</v>
      </c>
      <c r="BG18" s="248">
        <f>IF(AND(S18&gt;4,OR(S18&gt;6,U18&gt;6,V18&gt;6)),1,0)</f>
        <v>0</v>
      </c>
      <c r="BH18" s="248">
        <f>IF(AND(S18&gt;4,OR(S18&gt;6,T18&gt;6,U18&gt;6,V18&gt;6)),1,0)</f>
        <v>0</v>
      </c>
      <c r="BI18" s="243">
        <f>IF(AND(S18&gt;4,MAX(S18:W18)&gt;6),1,0)</f>
        <v>0</v>
      </c>
      <c r="BJ18" s="247">
        <f>IF(AND(OR(X18+AA18&gt;12,AND(X18&gt;6,AA18&gt;6)),AO18&gt;6,OR(AP18&gt;=AO18,AP18&gt;6)),1,0)</f>
        <v>0</v>
      </c>
      <c r="BK18" s="248">
        <f>IF(OR(AND(X18&gt;6,AB18&gt;6),X18+AA18&gt;12),1,0)</f>
        <v>1</v>
      </c>
      <c r="BL18" s="248">
        <f>IF(AND(X18&gt;6,Z18&gt;6,AA18&gt;6),1,0)</f>
        <v>0</v>
      </c>
      <c r="BM18" s="248">
        <f>IF(AND(Z18&gt;7,OR(X18&gt;6,AA18&gt;6)),1,0)</f>
        <v>0</v>
      </c>
      <c r="BN18" s="248">
        <f>IF(AND(Z18&gt;6,OR(X18&gt;6,AA18&gt;6)),1,0)</f>
        <v>0</v>
      </c>
      <c r="BO18" s="248">
        <f>IF(AND(OR(X18&gt;6,Z18&gt;6),OR(X18&gt;6,AA18&gt;6)),1,0)</f>
        <v>0</v>
      </c>
      <c r="BP18" s="248">
        <f>IF(AND(X18&gt;4,OR(X18&gt;6,Z18&gt;6,AA18&gt;6)),1,0)</f>
        <v>0</v>
      </c>
      <c r="BQ18" s="248">
        <f>IF(AND(X18&gt;4,OR(X18&gt;6,Y18&gt;6,Z18&gt;6,AA18&gt;6)),1,0)</f>
        <v>0</v>
      </c>
      <c r="BR18" s="243">
        <f>IF(AND(X18&gt;4,MAX(X18:AB18)&gt;6),1,0)</f>
        <v>0</v>
      </c>
      <c r="BS18" s="243">
        <f>IF(AVERAGE(AO18:AP18)&gt;9,1,0)+IF(AVERAGE(AO18:AP18)&gt;7,1,0)+IF(AO18&gt;7,1,0)+IF(AP18&gt;7,1,0)+IF(AQ18&gt;8,1,0)+IF(AQ18&gt;6,1,0)</f>
        <v>0</v>
      </c>
      <c r="BT18" s="249">
        <f>IF(OR(MAX(AG18,AH18,AL18,AN18)&gt;6,MAX(AI18,AJ18,AK18,AM18)&gt;7),2,IF(MAX(AG18:AN18)&gt;4,1,0))</f>
        <v>0</v>
      </c>
      <c r="BU18" s="242" t="str">
        <f>IF(AS18=1,"Yes","")</f>
        <v/>
      </c>
      <c r="BV18" s="241" t="str">
        <f>IF($B18="ML","There",IF(AND($X18&gt;=6,AVERAGE($Z18:$AA18)&gt;=6),"Likely",IF(OR($X18&gt;6,AND($X18=6,AVERAGE($Z18:$AA18)&gt;=3),AND($X18&gt;=5,AVERAGE($Z18:$AA18)&gt;=5),AVERAGE($X18,$Z18:$AA18)&gt;5),"Possible","Unlikely")))</f>
        <v>Possible</v>
      </c>
      <c r="BW18" s="242" t="str">
        <f>IF(OR(AND(S18&gt;=6,U18+V18&gt;=12),S18&gt;7),"Start",IF(AND(S18&gt;=5,U18+V18&gt;=8),"Bench","aack!"))</f>
        <v>aack!</v>
      </c>
      <c r="BX18" s="242" t="str">
        <f>IF(OR(AND(X18&gt;=6,Z18+AA18&gt;=12),X18&gt;7),"Start",IF(AND(X18&gt;=5,Z18+AA18&gt;=8),"Bench","aack!"))</f>
        <v>aack!</v>
      </c>
      <c r="BY18" s="242" t="str">
        <f>IF(S18&gt;5,"ML",IF(S18=5,"AAA",IF(S18=4,"AA",IF(S18=3,"A","SS-A"))))</f>
        <v>AA</v>
      </c>
      <c r="BZ18" s="242">
        <f>S18-X18</f>
        <v>0</v>
      </c>
      <c r="CA18" s="242">
        <f>T18-Y18</f>
        <v>0</v>
      </c>
      <c r="CB18" s="242">
        <f>U18-Z18</f>
        <v>0</v>
      </c>
      <c r="CC18" s="242">
        <f>V18-AA18</f>
        <v>0</v>
      </c>
      <c r="CD18" s="242">
        <f>W18-AB18</f>
        <v>0</v>
      </c>
      <c r="CE18" s="242">
        <f>SUM(BZ18:CD18)</f>
        <v>0</v>
      </c>
      <c r="CF18" s="242">
        <f>X18+Z18+AA18</f>
        <v>20</v>
      </c>
      <c r="CG18" s="242">
        <f>X18+Z18</f>
        <v>10</v>
      </c>
      <c r="CH18" s="242">
        <f>X18+AA18</f>
        <v>14</v>
      </c>
      <c r="CI18" s="242" t="str">
        <f>IF(L18&gt;24,"Now - Age",IF(S18&gt;6,"Now",IF(X18&lt;6,"With Dev",MIN(X18-S18,7-S18))))</f>
        <v>Now - Age</v>
      </c>
      <c r="CJ18" s="257" t="str">
        <f>IF(AG18&lt;&gt;"-","X","")</f>
        <v/>
      </c>
      <c r="CK18" s="257" t="str">
        <f>IF(AND(AH18&lt;&gt;"-",AH18&gt;5),"X","")</f>
        <v/>
      </c>
      <c r="CL18" s="257" t="str">
        <f>IF(AND(AI18&lt;&gt;"-",AI18&gt;5),"X","")</f>
        <v/>
      </c>
      <c r="CM18" s="257" t="str">
        <f>IF(AND(AJ18&lt;&gt;"-",AJ18&gt;4,AC18&gt;6),"X","")</f>
        <v/>
      </c>
      <c r="CN18" s="257" t="str">
        <f>IF(AND(AK18&lt;&gt;"-",AK18&gt;5,AC18&gt;5),"X","")</f>
        <v/>
      </c>
      <c r="CO18" s="257" t="str">
        <f>IF(AND(AL18&lt;&gt;"-",AL18&gt;3),"X","")</f>
        <v/>
      </c>
      <c r="CP18" s="257" t="str">
        <f>IF(AND(AM18&lt;&gt;"-",AM18&gt;6),"X","")</f>
        <v/>
      </c>
      <c r="CQ18" s="257" t="str">
        <f>IF(AND(AN18&lt;&gt;"-",AN18&gt;5,AD18&gt;6),"X","")</f>
        <v/>
      </c>
      <c r="CR18" s="257" t="str">
        <f>IF(COUNTBLANK(CJ18:CQ18)=8,"X","")</f>
        <v>X</v>
      </c>
    </row>
    <row r="19" spans="1:96" s="306" customFormat="1" x14ac:dyDescent="0.25">
      <c r="A19" s="240" t="str">
        <f>H19&amp;" "&amp;I19</f>
        <v>Rafael Rico</v>
      </c>
      <c r="B19" s="240" t="str">
        <f>IF(ISERROR(VLOOKUP(A19,AMA!$C$3:$C$24,1,FALSE)),IF(ISERROR(VLOOKUP(A19,'END-AAA'!$C$6:$C$33,1,FALSE)),IF(ISERROR(VLOOKUP(A19,'DB-AA'!$C$6:$C$33,1,FALSE)),IF(ISERROR(VLOOKUP(A19,'UTR-A'!$C$6:$C$33,1,FALSE)),IF(ISERROR(VLOOKUP(A19,'FAI-S A'!$C$6:$C$33,1,FALSE)),"","S A"),"A"),"AA"),"AAA"),"ML")</f>
        <v/>
      </c>
      <c r="C19" s="241"/>
      <c r="D19" s="242">
        <f>IF(BL19=1,3,IF(BM19=1,4,IF(BJ19=1,1,IF(BN19=1,5,IF(BK19=1,2,IF(BO19=1,6,IF(BP19=1,7,IF(BQ19=1,8,IF(BR19=1,9,"-")))))))))</f>
        <v>7</v>
      </c>
      <c r="E19" s="242">
        <f>IF(BC19=1,3,IF(BD19=1,4,IF(BA19=1,1,IF(BE19=1,5,IF(BB19=1,2,IF(BF19=1,6,IF(BG19=1,7,IF(BH19=1,8,IF(BI19=1,9,"-")))))))))</f>
        <v>7</v>
      </c>
      <c r="F19" s="242" t="str">
        <f>IF(OR(OR(Q19="Very High",Q19="High"),AND(OR(Q19="Very High",Q19="High",Q19="Normal"),OR(R19="Very High",R19="High"))),"K","T")</f>
        <v>K</v>
      </c>
      <c r="G19" s="242" t="s">
        <v>73</v>
      </c>
      <c r="H19" s="242" t="s">
        <v>718</v>
      </c>
      <c r="I19" s="242" t="s">
        <v>790</v>
      </c>
      <c r="J19" s="242" t="s">
        <v>769</v>
      </c>
      <c r="K19" s="242" t="s">
        <v>186</v>
      </c>
      <c r="L19" s="242">
        <v>27</v>
      </c>
      <c r="M19" s="242" t="s">
        <v>83</v>
      </c>
      <c r="N19" s="242" t="s">
        <v>83</v>
      </c>
      <c r="O19" s="242" t="s">
        <v>773</v>
      </c>
      <c r="P19" s="243" t="s">
        <v>773</v>
      </c>
      <c r="Q19" s="242" t="s">
        <v>200</v>
      </c>
      <c r="R19" s="243" t="s">
        <v>199</v>
      </c>
      <c r="S19" s="242">
        <v>5</v>
      </c>
      <c r="T19" s="242">
        <v>3</v>
      </c>
      <c r="U19" s="242">
        <v>6</v>
      </c>
      <c r="V19" s="242">
        <v>7</v>
      </c>
      <c r="W19" s="243">
        <v>9</v>
      </c>
      <c r="X19" s="242">
        <v>5</v>
      </c>
      <c r="Y19" s="242">
        <v>4</v>
      </c>
      <c r="Z19" s="242">
        <v>6</v>
      </c>
      <c r="AA19" s="242">
        <v>7</v>
      </c>
      <c r="AB19" s="243">
        <v>9</v>
      </c>
      <c r="AC19" s="242">
        <v>3</v>
      </c>
      <c r="AD19" s="242">
        <v>1</v>
      </c>
      <c r="AE19" s="242">
        <v>1</v>
      </c>
      <c r="AF19" s="242" t="s">
        <v>32</v>
      </c>
      <c r="AG19" s="242" t="s">
        <v>32</v>
      </c>
      <c r="AH19" s="242">
        <v>4</v>
      </c>
      <c r="AI19" s="242" t="s">
        <v>32</v>
      </c>
      <c r="AJ19" s="242" t="s">
        <v>32</v>
      </c>
      <c r="AK19" s="242" t="s">
        <v>32</v>
      </c>
      <c r="AL19" s="242" t="s">
        <v>32</v>
      </c>
      <c r="AM19" s="242" t="s">
        <v>32</v>
      </c>
      <c r="AN19" s="243" t="s">
        <v>32</v>
      </c>
      <c r="AO19" s="242">
        <v>1</v>
      </c>
      <c r="AP19" s="242">
        <v>2</v>
      </c>
      <c r="AQ19" s="243">
        <v>1</v>
      </c>
      <c r="AR19" s="244" t="s">
        <v>32</v>
      </c>
      <c r="AS19" s="243" t="s">
        <v>33</v>
      </c>
      <c r="AT19" s="248" t="s">
        <v>199</v>
      </c>
      <c r="AU19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5.5</v>
      </c>
      <c r="AV19" s="246" t="str">
        <f>IF(AU19&gt;9,"SuperStar",IF(AU19&gt;8,"Star",IF(AU19&gt;6.5,"GoodReg",IF(AU19&gt;5,"Reg",IF(AU19&gt;4,"Bench","Minors")))))</f>
        <v>Reg</v>
      </c>
      <c r="AW19" s="245">
        <f>AVERAGE(X19,Z19,AA19)+IF(OR(X19&gt;7,AND(X19&gt;5,AA19&gt;5)),0.5,0)+IF(Z19&gt;7,0.25,0)+IF(X19&lt;6,-0.5*(6-X19),0)</f>
        <v>5.5</v>
      </c>
      <c r="AX19" s="245" t="str">
        <f>IF(AW19&gt;9,"SuperStar",IF(AW19&gt;8,"Star",IF(AW19&gt;6.5,"GoodReg",IF(AW19&gt;5,"Reg",IF(AW19&gt;4,"Bench","Minors")))))</f>
        <v>Reg</v>
      </c>
      <c r="AY19" s="246">
        <f>MIN(AU19+(MAX(0,25-L19))^1.5,AW19)</f>
        <v>5.5</v>
      </c>
      <c r="AZ19" s="246" t="str">
        <f>IF(AY19&gt;9,"SuperStar",IF(AY19&gt;8,"Star",IF(AY19&gt;6.5,"GoodReg",IF(AY19&gt;5,"Reg",IF(AY19&gt;4,"Bench","Minors")))))</f>
        <v>Reg</v>
      </c>
      <c r="BA19" s="247">
        <f>IF(AND(OR(S19+V19&gt;12,AND(S19&gt;6,V19&gt;6)),AO19&gt;6,OR(AP19&gt;=AO19,AP19&gt;6)),1,0)</f>
        <v>0</v>
      </c>
      <c r="BB19" s="248">
        <f>IF(OR(AND(S19&gt;6,W19&gt;6),S19+V19&gt;12),1,0)</f>
        <v>0</v>
      </c>
      <c r="BC19" s="248">
        <f>IF(AND(S19&gt;6,U19&gt;6,V19&gt;6),1,0)</f>
        <v>0</v>
      </c>
      <c r="BD19" s="248">
        <f>IF(AND(U19&gt;7,OR(S19&gt;6,V19&gt;6)),1,0)</f>
        <v>0</v>
      </c>
      <c r="BE19" s="248">
        <f>IF(AND(U19&gt;6,OR(S19&gt;6,V19&gt;6)),1,0)</f>
        <v>0</v>
      </c>
      <c r="BF19" s="248">
        <f>IF(AND(OR(S19&gt;6,U19&gt;6),OR(S19&gt;6,V19&gt;6)),1,0)</f>
        <v>0</v>
      </c>
      <c r="BG19" s="248">
        <f>IF(AND(S19&gt;4,OR(S19&gt;6,U19&gt;6,V19&gt;6)),1,0)</f>
        <v>1</v>
      </c>
      <c r="BH19" s="248">
        <f>IF(AND(S19&gt;4,OR(S19&gt;6,T19&gt;6,U19&gt;6,V19&gt;6)),1,0)</f>
        <v>1</v>
      </c>
      <c r="BI19" s="243">
        <f>IF(AND(S19&gt;4,MAX(S19:W19)&gt;6),1,0)</f>
        <v>1</v>
      </c>
      <c r="BJ19" s="247">
        <f>IF(AND(OR(X19+AA19&gt;12,AND(X19&gt;6,AA19&gt;6)),AO19&gt;6,OR(AP19&gt;=AO19,AP19&gt;6)),1,0)</f>
        <v>0</v>
      </c>
      <c r="BK19" s="248">
        <f>IF(OR(AND(X19&gt;6,AB19&gt;6),X19+AA19&gt;12),1,0)</f>
        <v>0</v>
      </c>
      <c r="BL19" s="248">
        <f>IF(AND(X19&gt;6,Z19&gt;6,AA19&gt;6),1,0)</f>
        <v>0</v>
      </c>
      <c r="BM19" s="248">
        <f>IF(AND(Z19&gt;7,OR(X19&gt;6,AA19&gt;6)),1,0)</f>
        <v>0</v>
      </c>
      <c r="BN19" s="248">
        <f>IF(AND(Z19&gt;6,OR(X19&gt;6,AA19&gt;6)),1,0)</f>
        <v>0</v>
      </c>
      <c r="BO19" s="248">
        <f>IF(AND(OR(X19&gt;6,Z19&gt;6),OR(X19&gt;6,AA19&gt;6)),1,0)</f>
        <v>0</v>
      </c>
      <c r="BP19" s="248">
        <f>IF(AND(X19&gt;4,OR(X19&gt;6,Z19&gt;6,AA19&gt;6)),1,0)</f>
        <v>1</v>
      </c>
      <c r="BQ19" s="248">
        <f>IF(AND(X19&gt;4,OR(X19&gt;6,Y19&gt;6,Z19&gt;6,AA19&gt;6)),1,0)</f>
        <v>1</v>
      </c>
      <c r="BR19" s="243">
        <f>IF(AND(X19&gt;4,MAX(X19:AB19)&gt;6),1,0)</f>
        <v>1</v>
      </c>
      <c r="BS19" s="243">
        <f>IF(AVERAGE(AO19:AP19)&gt;9,1,0)+IF(AVERAGE(AO19:AP19)&gt;7,1,0)+IF(AO19&gt;7,1,0)+IF(AP19&gt;7,1,0)+IF(AQ19&gt;8,1,0)+IF(AQ19&gt;6,1,0)</f>
        <v>0</v>
      </c>
      <c r="BT19" s="249">
        <f>IF(OR(MAX(AG19,AH19,AL19,AN19)&gt;6,MAX(AI19,AJ19,AK19,AM19)&gt;7),2,IF(MAX(AG19:AN19)&gt;4,1,0))</f>
        <v>0</v>
      </c>
      <c r="BU19" s="242" t="str">
        <f>IF(AS19=1,"Yes","")</f>
        <v/>
      </c>
      <c r="BV19" s="241" t="str">
        <f>IF($B19="ML","There",IF(AND($X19&gt;=6,AVERAGE($Z19:$AA19)&gt;=6),"Likely",IF(OR($X19&gt;6,AND($X19=6,AVERAGE($Z19:$AA19)&gt;=3),AND($X19&gt;=5,AVERAGE($Z19:$AA19)&gt;=5),AVERAGE($X19,$Z19:$AA19)&gt;5),"Possible","Unlikely")))</f>
        <v>Possible</v>
      </c>
      <c r="BW19" s="242" t="str">
        <f>IF(OR(AND(S19&gt;=6,U19+V19&gt;=12),S19&gt;7),"Start",IF(AND(S19&gt;=5,U19+V19&gt;=8),"Bench","aack!"))</f>
        <v>Bench</v>
      </c>
      <c r="BX19" s="242" t="str">
        <f>IF(OR(AND(X19&gt;=6,Z19+AA19&gt;=12),X19&gt;7),"Start",IF(AND(X19&gt;=5,Z19+AA19&gt;=8),"Bench","aack!"))</f>
        <v>Bench</v>
      </c>
      <c r="BY19" s="242" t="str">
        <f>IF(S19&gt;5,"ML",IF(S19=5,"AAA",IF(S19=4,"AA",IF(S19=3,"A","SS-A"))))</f>
        <v>AAA</v>
      </c>
      <c r="BZ19" s="242">
        <f>S19-X19</f>
        <v>0</v>
      </c>
      <c r="CA19" s="242">
        <f>T19-Y19</f>
        <v>-1</v>
      </c>
      <c r="CB19" s="242">
        <f>U19-Z19</f>
        <v>0</v>
      </c>
      <c r="CC19" s="242">
        <f>V19-AA19</f>
        <v>0</v>
      </c>
      <c r="CD19" s="242">
        <f>W19-AB19</f>
        <v>0</v>
      </c>
      <c r="CE19" s="242">
        <f>SUM(BZ19:CD19)</f>
        <v>-1</v>
      </c>
      <c r="CF19" s="242">
        <f>X19+Z19+AA19</f>
        <v>18</v>
      </c>
      <c r="CG19" s="242">
        <f>X19+Z19</f>
        <v>11</v>
      </c>
      <c r="CH19" s="242">
        <f>X19+AA19</f>
        <v>12</v>
      </c>
      <c r="CI19" s="242" t="str">
        <f>IF(L19&gt;24,"Now - Age",IF(S19&gt;6,"Now",IF(X19&lt;6,"With Dev",MIN(X19-S19,7-S19))))</f>
        <v>Now - Age</v>
      </c>
      <c r="CJ19" s="257" t="str">
        <f>IF(AG19&lt;&gt;"-","X","")</f>
        <v/>
      </c>
      <c r="CK19" s="257" t="str">
        <f>IF(AND(AH19&lt;&gt;"-",AH19&gt;5),"X","")</f>
        <v/>
      </c>
      <c r="CL19" s="257" t="str">
        <f>IF(AND(AI19&lt;&gt;"-",AI19&gt;5),"X","")</f>
        <v/>
      </c>
      <c r="CM19" s="257" t="str">
        <f>IF(AND(AJ19&lt;&gt;"-",AJ19&gt;4,AC19&gt;6),"X","")</f>
        <v/>
      </c>
      <c r="CN19" s="257" t="str">
        <f>IF(AND(AK19&lt;&gt;"-",AK19&gt;5,AC19&gt;5),"X","")</f>
        <v/>
      </c>
      <c r="CO19" s="257" t="str">
        <f>IF(AND(AL19&lt;&gt;"-",AL19&gt;3),"X","")</f>
        <v/>
      </c>
      <c r="CP19" s="257" t="str">
        <f>IF(AND(AM19&lt;&gt;"-",AM19&gt;6),"X","")</f>
        <v/>
      </c>
      <c r="CQ19" s="257" t="str">
        <f>IF(AND(AN19&lt;&gt;"-",AN19&gt;5,AD19&gt;6),"X","")</f>
        <v/>
      </c>
      <c r="CR19" s="257" t="str">
        <f>IF(COUNTBLANK(CJ19:CQ19)=8,"X","")</f>
        <v>X</v>
      </c>
    </row>
    <row r="20" spans="1:96" s="306" customFormat="1" x14ac:dyDescent="0.25">
      <c r="A20" s="240" t="str">
        <f>H20&amp;" "&amp;I20</f>
        <v>Juan Romero</v>
      </c>
      <c r="B20" s="240" t="str">
        <f>IF(ISERROR(VLOOKUP(A20,AMA!$C$3:$C$24,1,FALSE)),IF(ISERROR(VLOOKUP(A20,'END-AAA'!$C$6:$C$33,1,FALSE)),IF(ISERROR(VLOOKUP(A20,'DB-AA'!$C$6:$C$33,1,FALSE)),IF(ISERROR(VLOOKUP(A20,'UTR-A'!$C$6:$C$33,1,FALSE)),IF(ISERROR(VLOOKUP(A20,'FAI-S A'!$C$6:$C$33,1,FALSE)),"","S A"),"A"),"AA"),"AAA"),"ML")</f>
        <v/>
      </c>
      <c r="C20" s="241"/>
      <c r="D20" s="242">
        <f>IF(BL20=1,3,IF(BM20=1,4,IF(BJ20=1,1,IF(BN20=1,5,IF(BK20=1,2,IF(BO20=1,6,IF(BP20=1,7,IF(BQ20=1,8,IF(BR20=1,9,"-")))))))))</f>
        <v>2</v>
      </c>
      <c r="E20" s="242">
        <f>IF(BC20=1,3,IF(BD20=1,4,IF(BA20=1,1,IF(BE20=1,5,IF(BB20=1,2,IF(BF20=1,6,IF(BG20=1,7,IF(BH20=1,8,IF(BI20=1,9,"-")))))))))</f>
        <v>2</v>
      </c>
      <c r="F20" s="242" t="str">
        <f>IF(OR(OR(Q20="Very High",Q20="High"),AND(OR(Q20="Very High",Q20="High",Q20="Normal"),OR(R20="Very High",R20="High"))),"K","T")</f>
        <v>T</v>
      </c>
      <c r="G20" s="242" t="s">
        <v>79</v>
      </c>
      <c r="H20" s="242" t="s">
        <v>400</v>
      </c>
      <c r="I20" s="242" t="s">
        <v>793</v>
      </c>
      <c r="J20" s="242" t="s">
        <v>769</v>
      </c>
      <c r="K20" s="242" t="s">
        <v>186</v>
      </c>
      <c r="L20" s="242">
        <v>35</v>
      </c>
      <c r="M20" s="242" t="s">
        <v>85</v>
      </c>
      <c r="N20" s="242" t="s">
        <v>82</v>
      </c>
      <c r="O20" s="242" t="s">
        <v>773</v>
      </c>
      <c r="P20" s="243" t="s">
        <v>773</v>
      </c>
      <c r="Q20" s="242" t="s">
        <v>201</v>
      </c>
      <c r="R20" s="243" t="s">
        <v>200</v>
      </c>
      <c r="S20" s="242">
        <v>5</v>
      </c>
      <c r="T20" s="242">
        <v>3</v>
      </c>
      <c r="U20" s="242">
        <v>4</v>
      </c>
      <c r="V20" s="242">
        <v>8</v>
      </c>
      <c r="W20" s="243">
        <v>5</v>
      </c>
      <c r="X20" s="242">
        <v>5</v>
      </c>
      <c r="Y20" s="242">
        <v>3</v>
      </c>
      <c r="Z20" s="242">
        <v>4</v>
      </c>
      <c r="AA20" s="242">
        <v>8</v>
      </c>
      <c r="AB20" s="243">
        <v>5</v>
      </c>
      <c r="AC20" s="242">
        <v>1</v>
      </c>
      <c r="AD20" s="242">
        <v>5</v>
      </c>
      <c r="AE20" s="242">
        <v>1</v>
      </c>
      <c r="AF20" s="242" t="s">
        <v>32</v>
      </c>
      <c r="AG20" s="242" t="s">
        <v>32</v>
      </c>
      <c r="AH20" s="242" t="s">
        <v>32</v>
      </c>
      <c r="AI20" s="242" t="s">
        <v>32</v>
      </c>
      <c r="AJ20" s="242" t="s">
        <v>32</v>
      </c>
      <c r="AK20" s="242" t="s">
        <v>32</v>
      </c>
      <c r="AL20" s="242">
        <v>1</v>
      </c>
      <c r="AM20" s="242" t="s">
        <v>32</v>
      </c>
      <c r="AN20" s="243">
        <v>3</v>
      </c>
      <c r="AO20" s="242">
        <v>4</v>
      </c>
      <c r="AP20" s="242">
        <v>8</v>
      </c>
      <c r="AQ20" s="243">
        <v>8</v>
      </c>
      <c r="AR20" s="244" t="s">
        <v>32</v>
      </c>
      <c r="AS20" s="243" t="s">
        <v>33</v>
      </c>
      <c r="AT20" s="248" t="s">
        <v>779</v>
      </c>
      <c r="AU20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5.166666666666667</v>
      </c>
      <c r="AV20" s="246" t="str">
        <f>IF(AU20&gt;9,"SuperStar",IF(AU20&gt;8,"Star",IF(AU20&gt;6.5,"GoodReg",IF(AU20&gt;5,"Reg",IF(AU20&gt;4,"Bench","Minors")))))</f>
        <v>Reg</v>
      </c>
      <c r="AW20" s="245">
        <f>AVERAGE(X20,Z20,AA20)+IF(OR(X20&gt;7,AND(X20&gt;5,AA20&gt;5)),0.5,0)+IF(Z20&gt;7,0.25,0)+IF(X20&lt;6,-0.5*(6-X20),0)</f>
        <v>5.166666666666667</v>
      </c>
      <c r="AX20" s="245" t="str">
        <f>IF(AW20&gt;9,"SuperStar",IF(AW20&gt;8,"Star",IF(AW20&gt;6.5,"GoodReg",IF(AW20&gt;5,"Reg",IF(AW20&gt;4,"Bench","Minors")))))</f>
        <v>Reg</v>
      </c>
      <c r="AY20" s="246">
        <f>MIN(AU20+(MAX(0,25-L20))^1.5,AW20)</f>
        <v>5.166666666666667</v>
      </c>
      <c r="AZ20" s="246" t="str">
        <f>IF(AY20&gt;9,"SuperStar",IF(AY20&gt;8,"Star",IF(AY20&gt;6.5,"GoodReg",IF(AY20&gt;5,"Reg",IF(AY20&gt;4,"Bench","Minors")))))</f>
        <v>Reg</v>
      </c>
      <c r="BA20" s="247">
        <f>IF(AND(OR(S20+V20&gt;12,AND(S20&gt;6,V20&gt;6)),AO20&gt;6,OR(AP20&gt;=AO20,AP20&gt;6)),1,0)</f>
        <v>0</v>
      </c>
      <c r="BB20" s="248">
        <f>IF(OR(AND(S20&gt;6,W20&gt;6),S20+V20&gt;12),1,0)</f>
        <v>1</v>
      </c>
      <c r="BC20" s="248">
        <f>IF(AND(S20&gt;6,U20&gt;6,V20&gt;6),1,0)</f>
        <v>0</v>
      </c>
      <c r="BD20" s="248">
        <f>IF(AND(U20&gt;7,OR(S20&gt;6,V20&gt;6)),1,0)</f>
        <v>0</v>
      </c>
      <c r="BE20" s="248">
        <f>IF(AND(U20&gt;6,OR(S20&gt;6,V20&gt;6)),1,0)</f>
        <v>0</v>
      </c>
      <c r="BF20" s="248">
        <f>IF(AND(OR(S20&gt;6,U20&gt;6),OR(S20&gt;6,V20&gt;6)),1,0)</f>
        <v>0</v>
      </c>
      <c r="BG20" s="248">
        <f>IF(AND(S20&gt;4,OR(S20&gt;6,U20&gt;6,V20&gt;6)),1,0)</f>
        <v>1</v>
      </c>
      <c r="BH20" s="248">
        <f>IF(AND(S20&gt;4,OR(S20&gt;6,T20&gt;6,U20&gt;6,V20&gt;6)),1,0)</f>
        <v>1</v>
      </c>
      <c r="BI20" s="243">
        <f>IF(AND(S20&gt;4,MAX(S20:W20)&gt;6),1,0)</f>
        <v>1</v>
      </c>
      <c r="BJ20" s="247">
        <f>IF(AND(OR(X20+AA20&gt;12,AND(X20&gt;6,AA20&gt;6)),AO20&gt;6,OR(AP20&gt;=AO20,AP20&gt;6)),1,0)</f>
        <v>0</v>
      </c>
      <c r="BK20" s="248">
        <f>IF(OR(AND(X20&gt;6,AB20&gt;6),X20+AA20&gt;12),1,0)</f>
        <v>1</v>
      </c>
      <c r="BL20" s="248">
        <f>IF(AND(X20&gt;6,Z20&gt;6,AA20&gt;6),1,0)</f>
        <v>0</v>
      </c>
      <c r="BM20" s="248">
        <f>IF(AND(Z20&gt;7,OR(X20&gt;6,AA20&gt;6)),1,0)</f>
        <v>0</v>
      </c>
      <c r="BN20" s="248">
        <f>IF(AND(Z20&gt;6,OR(X20&gt;6,AA20&gt;6)),1,0)</f>
        <v>0</v>
      </c>
      <c r="BO20" s="248">
        <f>IF(AND(OR(X20&gt;6,Z20&gt;6),OR(X20&gt;6,AA20&gt;6)),1,0)</f>
        <v>0</v>
      </c>
      <c r="BP20" s="248">
        <f>IF(AND(X20&gt;4,OR(X20&gt;6,Z20&gt;6,AA20&gt;6)),1,0)</f>
        <v>1</v>
      </c>
      <c r="BQ20" s="248">
        <f>IF(AND(X20&gt;4,OR(X20&gt;6,Y20&gt;6,Z20&gt;6,AA20&gt;6)),1,0)</f>
        <v>1</v>
      </c>
      <c r="BR20" s="243">
        <f>IF(AND(X20&gt;4,MAX(X20:AB20)&gt;6),1,0)</f>
        <v>1</v>
      </c>
      <c r="BS20" s="243">
        <f>IF(AVERAGE(AO20:AP20)&gt;9,1,0)+IF(AVERAGE(AO20:AP20)&gt;7,1,0)+IF(AO20&gt;7,1,0)+IF(AP20&gt;7,1,0)+IF(AQ20&gt;8,1,0)+IF(AQ20&gt;6,1,0)</f>
        <v>2</v>
      </c>
      <c r="BT20" s="249">
        <f>IF(OR(MAX(AG20,AH20,AL20,AN20)&gt;6,MAX(AI20,AJ20,AK20,AM20)&gt;7),2,IF(MAX(AG20:AN20)&gt;4,1,0))</f>
        <v>0</v>
      </c>
      <c r="BU20" s="242" t="str">
        <f>IF(AS20=1,"Yes","")</f>
        <v/>
      </c>
      <c r="BV20" s="241" t="str">
        <f>IF($B20="ML","There",IF(AND($X20&gt;=6,AVERAGE($Z20:$AA20)&gt;=6),"Likely",IF(OR($X20&gt;6,AND($X20=6,AVERAGE($Z20:$AA20)&gt;=3),AND($X20&gt;=5,AVERAGE($Z20:$AA20)&gt;=5),AVERAGE($X20,$Z20:$AA20)&gt;5),"Possible","Unlikely")))</f>
        <v>Possible</v>
      </c>
      <c r="BW20" s="242" t="str">
        <f>IF(OR(AND(S20&gt;=6,U20+V20&gt;=12),S20&gt;7),"Start",IF(AND(S20&gt;=5,U20+V20&gt;=8),"Bench","aack!"))</f>
        <v>Bench</v>
      </c>
      <c r="BX20" s="242" t="str">
        <f>IF(OR(AND(X20&gt;=6,Z20+AA20&gt;=12),X20&gt;7),"Start",IF(AND(X20&gt;=5,Z20+AA20&gt;=8),"Bench","aack!"))</f>
        <v>Bench</v>
      </c>
      <c r="BY20" s="242" t="str">
        <f>IF(S20&gt;5,"ML",IF(S20=5,"AAA",IF(S20=4,"AA",IF(S20=3,"A","SS-A"))))</f>
        <v>AAA</v>
      </c>
      <c r="BZ20" s="242">
        <f>S20-X20</f>
        <v>0</v>
      </c>
      <c r="CA20" s="242">
        <f>T20-Y20</f>
        <v>0</v>
      </c>
      <c r="CB20" s="242">
        <f>U20-Z20</f>
        <v>0</v>
      </c>
      <c r="CC20" s="242">
        <f>V20-AA20</f>
        <v>0</v>
      </c>
      <c r="CD20" s="242">
        <f>W20-AB20</f>
        <v>0</v>
      </c>
      <c r="CE20" s="242">
        <f>SUM(BZ20:CD20)</f>
        <v>0</v>
      </c>
      <c r="CF20" s="242">
        <f>X20+Z20+AA20</f>
        <v>17</v>
      </c>
      <c r="CG20" s="242">
        <f>X20+Z20</f>
        <v>9</v>
      </c>
      <c r="CH20" s="242">
        <f>X20+AA20</f>
        <v>13</v>
      </c>
      <c r="CI20" s="242" t="str">
        <f>IF(L20&gt;24,"Now - Age",IF(S20&gt;6,"Now",IF(X20&lt;6,"With Dev",MIN(X20-S20,7-S20))))</f>
        <v>Now - Age</v>
      </c>
      <c r="CJ20" s="257" t="str">
        <f>IF(AG20&lt;&gt;"-","X","")</f>
        <v/>
      </c>
      <c r="CK20" s="257" t="str">
        <f>IF(AND(AH20&lt;&gt;"-",AH20&gt;5),"X","")</f>
        <v/>
      </c>
      <c r="CL20" s="257" t="str">
        <f>IF(AND(AI20&lt;&gt;"-",AI20&gt;5),"X","")</f>
        <v/>
      </c>
      <c r="CM20" s="257" t="str">
        <f>IF(AND(AJ20&lt;&gt;"-",AJ20&gt;4,AC20&gt;6),"X","")</f>
        <v/>
      </c>
      <c r="CN20" s="257" t="str">
        <f>IF(AND(AK20&lt;&gt;"-",AK20&gt;5,AC20&gt;5),"X","")</f>
        <v/>
      </c>
      <c r="CO20" s="257" t="str">
        <f>IF(AND(AL20&lt;&gt;"-",AL20&gt;3),"X","")</f>
        <v/>
      </c>
      <c r="CP20" s="257" t="str">
        <f>IF(AND(AM20&lt;&gt;"-",AM20&gt;6),"X","")</f>
        <v/>
      </c>
      <c r="CQ20" s="257" t="str">
        <f>IF(AND(AN20&lt;&gt;"-",AN20&gt;5,AD20&gt;6),"X","")</f>
        <v/>
      </c>
      <c r="CR20" s="257" t="str">
        <f>IF(COUNTBLANK(CJ20:CQ20)=8,"X","")</f>
        <v>X</v>
      </c>
    </row>
    <row r="21" spans="1:96" s="306" customFormat="1" x14ac:dyDescent="0.25">
      <c r="A21" s="240" t="str">
        <f>H21&amp;" "&amp;I21</f>
        <v>Ryan Brown</v>
      </c>
      <c r="B21" s="240" t="str">
        <f>IF(ISERROR(VLOOKUP(A21,AMA!$C$3:$C$24,1,FALSE)),IF(ISERROR(VLOOKUP(A21,'END-AAA'!$C$6:$C$33,1,FALSE)),IF(ISERROR(VLOOKUP(A21,'DB-AA'!$C$6:$C$33,1,FALSE)),IF(ISERROR(VLOOKUP(A21,'UTR-A'!$C$6:$C$33,1,FALSE)),IF(ISERROR(VLOOKUP(A21,'FAI-S A'!$C$6:$C$33,1,FALSE)),"","S A"),"A"),"AA"),"AAA"),"ML")</f>
        <v>ML</v>
      </c>
      <c r="C21" s="241"/>
      <c r="D21" s="242">
        <f>IF(BL21=1,3,IF(BM21=1,4,IF(BJ21=1,1,IF(BN21=1,5,IF(BK21=1,2,IF(BO21=1,6,IF(BP21=1,7,IF(BQ21=1,8,IF(BR21=1,9,"-")))))))))</f>
        <v>7</v>
      </c>
      <c r="E21" s="242">
        <f>IF(BC21=1,3,IF(BD21=1,4,IF(BA21=1,1,IF(BE21=1,5,IF(BB21=1,2,IF(BF21=1,6,IF(BG21=1,7,IF(BH21=1,8,IF(BI21=1,9,"-")))))))))</f>
        <v>7</v>
      </c>
      <c r="F21" s="242" t="str">
        <f>IF(OR(OR(Q21="Very High",Q21="High"),AND(OR(Q21="Very High",Q21="High",Q21="Normal"),OR(R21="Very High",R21="High"))),"K","T")</f>
        <v>K</v>
      </c>
      <c r="G21" s="242" t="s">
        <v>78</v>
      </c>
      <c r="H21" s="242" t="s">
        <v>524</v>
      </c>
      <c r="I21" s="242" t="s">
        <v>774</v>
      </c>
      <c r="J21" s="242" t="s">
        <v>763</v>
      </c>
      <c r="K21" s="242" t="s">
        <v>402</v>
      </c>
      <c r="L21" s="242">
        <v>29</v>
      </c>
      <c r="M21" s="242" t="s">
        <v>83</v>
      </c>
      <c r="N21" s="242" t="s">
        <v>83</v>
      </c>
      <c r="O21" s="242" t="s">
        <v>768</v>
      </c>
      <c r="P21" s="243" t="s">
        <v>768</v>
      </c>
      <c r="Q21" s="242" t="s">
        <v>199</v>
      </c>
      <c r="R21" s="243" t="s">
        <v>201</v>
      </c>
      <c r="S21" s="242">
        <v>5</v>
      </c>
      <c r="T21" s="242">
        <v>3</v>
      </c>
      <c r="U21" s="242">
        <v>8</v>
      </c>
      <c r="V21" s="242">
        <v>3</v>
      </c>
      <c r="W21" s="243">
        <v>4</v>
      </c>
      <c r="X21" s="242">
        <v>6</v>
      </c>
      <c r="Y21" s="242">
        <v>4</v>
      </c>
      <c r="Z21" s="242">
        <v>8</v>
      </c>
      <c r="AA21" s="242">
        <v>4</v>
      </c>
      <c r="AB21" s="243">
        <v>4</v>
      </c>
      <c r="AC21" s="242">
        <v>1</v>
      </c>
      <c r="AD21" s="242">
        <v>7</v>
      </c>
      <c r="AE21" s="242">
        <v>1</v>
      </c>
      <c r="AF21" s="242" t="s">
        <v>32</v>
      </c>
      <c r="AG21" s="242" t="s">
        <v>32</v>
      </c>
      <c r="AH21" s="242" t="s">
        <v>32</v>
      </c>
      <c r="AI21" s="242" t="s">
        <v>32</v>
      </c>
      <c r="AJ21" s="242" t="s">
        <v>32</v>
      </c>
      <c r="AK21" s="242" t="s">
        <v>32</v>
      </c>
      <c r="AL21" s="242">
        <v>9</v>
      </c>
      <c r="AM21" s="242">
        <v>7</v>
      </c>
      <c r="AN21" s="243">
        <v>9</v>
      </c>
      <c r="AO21" s="242">
        <v>7</v>
      </c>
      <c r="AP21" s="242">
        <v>10</v>
      </c>
      <c r="AQ21" s="243">
        <v>10</v>
      </c>
      <c r="AR21" s="244">
        <v>767000</v>
      </c>
      <c r="AS21" s="243" t="s">
        <v>34</v>
      </c>
      <c r="AT21" s="248" t="s">
        <v>779</v>
      </c>
      <c r="AU2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5.083333333333333</v>
      </c>
      <c r="AV21" s="246" t="str">
        <f>IF(AU21&gt;9,"SuperStar",IF(AU21&gt;8,"Star",IF(AU21&gt;6.5,"GoodReg",IF(AU21&gt;5,"Reg",IF(AU21&gt;4,"Bench","Minors")))))</f>
        <v>Reg</v>
      </c>
      <c r="AW21" s="245">
        <f>AVERAGE(X21,Z21,AA21)+IF(OR(X21&gt;7,AND(X21&gt;5,AA21&gt;5)),0.5,0)+IF(Z21&gt;7,0.25,0)+IF(X21&lt;6,-0.5*(6-X21),0)</f>
        <v>6.25</v>
      </c>
      <c r="AX21" s="245" t="str">
        <f>IF(AW21&gt;9,"SuperStar",IF(AW21&gt;8,"Star",IF(AW21&gt;6.5,"GoodReg",IF(AW21&gt;5,"Reg",IF(AW21&gt;4,"Bench","Minors")))))</f>
        <v>Reg</v>
      </c>
      <c r="AY21" s="246">
        <f>MIN(AU21+(MAX(0,25-L21))^1.5,AW21)</f>
        <v>5.083333333333333</v>
      </c>
      <c r="AZ21" s="246" t="str">
        <f>IF(AY21&gt;9,"SuperStar",IF(AY21&gt;8,"Star",IF(AY21&gt;6.5,"GoodReg",IF(AY21&gt;5,"Reg",IF(AY21&gt;4,"Bench","Minors")))))</f>
        <v>Reg</v>
      </c>
      <c r="BA21" s="247">
        <f>IF(AND(OR(S21+V21&gt;12,AND(S21&gt;6,V21&gt;6)),AO21&gt;6,OR(AP21&gt;=AO21,AP21&gt;6)),1,0)</f>
        <v>0</v>
      </c>
      <c r="BB21" s="248">
        <f>IF(OR(AND(S21&gt;6,W21&gt;6),S21+V21&gt;12),1,0)</f>
        <v>0</v>
      </c>
      <c r="BC21" s="248">
        <f>IF(AND(S21&gt;6,U21&gt;6,V21&gt;6),1,0)</f>
        <v>0</v>
      </c>
      <c r="BD21" s="248">
        <f>IF(AND(U21&gt;7,OR(S21&gt;6,V21&gt;6)),1,0)</f>
        <v>0</v>
      </c>
      <c r="BE21" s="248">
        <f>IF(AND(U21&gt;6,OR(S21&gt;6,V21&gt;6)),1,0)</f>
        <v>0</v>
      </c>
      <c r="BF21" s="248">
        <f>IF(AND(OR(S21&gt;6,U21&gt;6),OR(S21&gt;6,V21&gt;6)),1,0)</f>
        <v>0</v>
      </c>
      <c r="BG21" s="248">
        <f>IF(AND(S21&gt;4,OR(S21&gt;6,U21&gt;6,V21&gt;6)),1,0)</f>
        <v>1</v>
      </c>
      <c r="BH21" s="248">
        <f>IF(AND(S21&gt;4,OR(S21&gt;6,T21&gt;6,U21&gt;6,V21&gt;6)),1,0)</f>
        <v>1</v>
      </c>
      <c r="BI21" s="243">
        <f>IF(AND(S21&gt;4,MAX(S21:W21)&gt;6),1,0)</f>
        <v>1</v>
      </c>
      <c r="BJ21" s="247">
        <f>IF(AND(OR(X21+AA21&gt;12,AND(X21&gt;6,AA21&gt;6)),AO21&gt;6,OR(AP21&gt;=AO21,AP21&gt;6)),1,0)</f>
        <v>0</v>
      </c>
      <c r="BK21" s="248">
        <f>IF(OR(AND(X21&gt;6,AB21&gt;6),X21+AA21&gt;12),1,0)</f>
        <v>0</v>
      </c>
      <c r="BL21" s="248">
        <f>IF(AND(X21&gt;6,Z21&gt;6,AA21&gt;6),1,0)</f>
        <v>0</v>
      </c>
      <c r="BM21" s="248">
        <f>IF(AND(Z21&gt;7,OR(X21&gt;6,AA21&gt;6)),1,0)</f>
        <v>0</v>
      </c>
      <c r="BN21" s="248">
        <f>IF(AND(Z21&gt;6,OR(X21&gt;6,AA21&gt;6)),1,0)</f>
        <v>0</v>
      </c>
      <c r="BO21" s="248">
        <f>IF(AND(OR(X21&gt;6,Z21&gt;6),OR(X21&gt;6,AA21&gt;6)),1,0)</f>
        <v>0</v>
      </c>
      <c r="BP21" s="248">
        <f>IF(AND(X21&gt;4,OR(X21&gt;6,Z21&gt;6,AA21&gt;6)),1,0)</f>
        <v>1</v>
      </c>
      <c r="BQ21" s="248">
        <f>IF(AND(X21&gt;4,OR(X21&gt;6,Y21&gt;6,Z21&gt;6,AA21&gt;6)),1,0)</f>
        <v>1</v>
      </c>
      <c r="BR21" s="243">
        <f>IF(AND(X21&gt;4,MAX(X21:AB21)&gt;6),1,0)</f>
        <v>1</v>
      </c>
      <c r="BS21" s="243">
        <f>IF(AVERAGE(AO21:AP21)&gt;9,1,0)+IF(AVERAGE(AO21:AP21)&gt;7,1,0)+IF(AO21&gt;7,1,0)+IF(AP21&gt;7,1,0)+IF(AQ21&gt;8,1,0)+IF(AQ21&gt;6,1,0)</f>
        <v>4</v>
      </c>
      <c r="BT21" s="249">
        <f>IF(OR(MAX(AG21,AH21,AL21,AN21)&gt;6,MAX(AI21,AJ21,AK21,AM21)&gt;7),2,IF(MAX(AG21:AN21)&gt;4,1,0))</f>
        <v>2</v>
      </c>
      <c r="BU21" s="242" t="str">
        <f>IF(AS21=1,"Yes","")</f>
        <v/>
      </c>
      <c r="BV21" s="241" t="str">
        <f>IF($B21="ML","There",IF(AND($X21&gt;=6,AVERAGE($Z21:$AA21)&gt;=6),"Likely",IF(OR($X21&gt;6,AND($X21=6,AVERAGE($Z21:$AA21)&gt;=3),AND($X21&gt;=5,AVERAGE($Z21:$AA21)&gt;=5),AVERAGE($X21,$Z21:$AA21)&gt;5),"Possible","Unlikely")))</f>
        <v>There</v>
      </c>
      <c r="BW21" s="242" t="str">
        <f>IF(OR(AND(S21&gt;=6,U21+V21&gt;=12),S21&gt;7),"Start",IF(AND(S21&gt;=5,U21+V21&gt;=8),"Bench","aack!"))</f>
        <v>Bench</v>
      </c>
      <c r="BX21" s="242" t="str">
        <f>IF(OR(AND(X21&gt;=6,Z21+AA21&gt;=12),X21&gt;7),"Start",IF(AND(X21&gt;=5,Z21+AA21&gt;=8),"Bench","aack!"))</f>
        <v>Start</v>
      </c>
      <c r="BY21" s="242" t="str">
        <f>IF(S21&gt;5,"ML",IF(S21=5,"AAA",IF(S21=4,"AA",IF(S21=3,"A","SS-A"))))</f>
        <v>AAA</v>
      </c>
      <c r="BZ21" s="242">
        <f>S21-X21</f>
        <v>-1</v>
      </c>
      <c r="CA21" s="242">
        <f>T21-Y21</f>
        <v>-1</v>
      </c>
      <c r="CB21" s="242">
        <f>U21-Z21</f>
        <v>0</v>
      </c>
      <c r="CC21" s="242">
        <f>V21-AA21</f>
        <v>-1</v>
      </c>
      <c r="CD21" s="242">
        <f>W21-AB21</f>
        <v>0</v>
      </c>
      <c r="CE21" s="242">
        <f>SUM(BZ21:CD21)</f>
        <v>-3</v>
      </c>
      <c r="CF21" s="242">
        <f>X21+Z21+AA21</f>
        <v>18</v>
      </c>
      <c r="CG21" s="242">
        <f>X21+Z21</f>
        <v>14</v>
      </c>
      <c r="CH21" s="242">
        <f>X21+AA21</f>
        <v>10</v>
      </c>
      <c r="CI21" s="242" t="str">
        <f>IF(L21&gt;24,"Now - Age",IF(S21&gt;6,"Now",IF(X21&lt;6,"With Dev",MIN(X21-S21,7-S21))))</f>
        <v>Now - Age</v>
      </c>
      <c r="CJ21" s="257" t="str">
        <f>IF(AG21&lt;&gt;"-","X","")</f>
        <v/>
      </c>
      <c r="CK21" s="257" t="str">
        <f>IF(AND(AH21&lt;&gt;"-",AH21&gt;5),"X","")</f>
        <v/>
      </c>
      <c r="CL21" s="257" t="str">
        <f>IF(AND(AI21&lt;&gt;"-",AI21&gt;5),"X","")</f>
        <v/>
      </c>
      <c r="CM21" s="257" t="str">
        <f>IF(AND(AJ21&lt;&gt;"-",AJ21&gt;4,AC21&gt;6),"X","")</f>
        <v/>
      </c>
      <c r="CN21" s="257" t="str">
        <f>IF(AND(AK21&lt;&gt;"-",AK21&gt;5,AC21&gt;5),"X","")</f>
        <v/>
      </c>
      <c r="CO21" s="257" t="str">
        <f>IF(AND(AL21&lt;&gt;"-",AL21&gt;3),"X","")</f>
        <v>X</v>
      </c>
      <c r="CP21" s="257" t="str">
        <f>IF(AND(AM21&lt;&gt;"-",AM21&gt;6),"X","")</f>
        <v>X</v>
      </c>
      <c r="CQ21" s="257" t="str">
        <f>IF(AND(AN21&lt;&gt;"-",AN21&gt;5,AD21&gt;6),"X","")</f>
        <v>X</v>
      </c>
      <c r="CR21" s="257" t="str">
        <f>IF(COUNTBLANK(CJ21:CQ21)=8,"X","")</f>
        <v/>
      </c>
    </row>
    <row r="22" spans="1:96" s="306" customFormat="1" x14ac:dyDescent="0.25">
      <c r="A22" s="240" t="str">
        <f>H22&amp;" "&amp;I22</f>
        <v>Bernardo Ríos</v>
      </c>
      <c r="B22" s="240" t="str">
        <f>IF(ISERROR(VLOOKUP(A22,AMA!$C$3:$C$24,1,FALSE)),IF(ISERROR(VLOOKUP(A22,'END-AAA'!$C$6:$C$33,1,FALSE)),IF(ISERROR(VLOOKUP(A22,'DB-AA'!$C$6:$C$33,1,FALSE)),IF(ISERROR(VLOOKUP(A22,'UTR-A'!$C$6:$C$33,1,FALSE)),IF(ISERROR(VLOOKUP(A22,'FAI-S A'!$C$6:$C$33,1,FALSE)),"","S A"),"A"),"AA"),"AAA"),"ML")</f>
        <v/>
      </c>
      <c r="C22" s="241"/>
      <c r="D22" s="242" t="str">
        <f>IF(BL22=1,3,IF(BM22=1,4,IF(BJ22=1,1,IF(BN22=1,5,IF(BK22=1,2,IF(BO22=1,6,IF(BP22=1,7,IF(BQ22=1,8,IF(BR22=1,9,"-")))))))))</f>
        <v>-</v>
      </c>
      <c r="E22" s="242" t="str">
        <f>IF(BC22=1,3,IF(BD22=1,4,IF(BA22=1,1,IF(BE22=1,5,IF(BB22=1,2,IF(BF22=1,6,IF(BG22=1,7,IF(BH22=1,8,IF(BI22=1,9,"-")))))))))</f>
        <v>-</v>
      </c>
      <c r="F22" s="242" t="str">
        <f>IF(OR(OR(Q22="Very High",Q22="High"),AND(OR(Q22="Very High",Q22="High",Q22="Normal"),OR(R22="Very High",R22="High"))),"K","T")</f>
        <v>K</v>
      </c>
      <c r="G22" s="242" t="s">
        <v>79</v>
      </c>
      <c r="H22" s="242" t="s">
        <v>419</v>
      </c>
      <c r="I22" s="242" t="s">
        <v>770</v>
      </c>
      <c r="J22" s="242" t="s">
        <v>763</v>
      </c>
      <c r="K22" s="242" t="s">
        <v>402</v>
      </c>
      <c r="L22" s="242">
        <v>31</v>
      </c>
      <c r="M22" s="242" t="s">
        <v>82</v>
      </c>
      <c r="N22" s="242" t="s">
        <v>82</v>
      </c>
      <c r="O22" s="242" t="s">
        <v>764</v>
      </c>
      <c r="P22" s="243" t="s">
        <v>764</v>
      </c>
      <c r="Q22" s="242" t="s">
        <v>200</v>
      </c>
      <c r="R22" s="243" t="s">
        <v>199</v>
      </c>
      <c r="S22" s="242">
        <v>6</v>
      </c>
      <c r="T22" s="242">
        <v>5</v>
      </c>
      <c r="U22" s="242">
        <v>5</v>
      </c>
      <c r="V22" s="242">
        <v>4</v>
      </c>
      <c r="W22" s="243">
        <v>3</v>
      </c>
      <c r="X22" s="242">
        <v>6</v>
      </c>
      <c r="Y22" s="242">
        <v>5</v>
      </c>
      <c r="Z22" s="242">
        <v>5</v>
      </c>
      <c r="AA22" s="242">
        <v>4</v>
      </c>
      <c r="AB22" s="243">
        <v>3</v>
      </c>
      <c r="AC22" s="242">
        <v>1</v>
      </c>
      <c r="AD22" s="242">
        <v>7</v>
      </c>
      <c r="AE22" s="242">
        <v>1</v>
      </c>
      <c r="AF22" s="242" t="s">
        <v>32</v>
      </c>
      <c r="AG22" s="242" t="s">
        <v>32</v>
      </c>
      <c r="AH22" s="242" t="s">
        <v>32</v>
      </c>
      <c r="AI22" s="242" t="s">
        <v>32</v>
      </c>
      <c r="AJ22" s="242" t="s">
        <v>32</v>
      </c>
      <c r="AK22" s="242" t="s">
        <v>32</v>
      </c>
      <c r="AL22" s="242">
        <v>6</v>
      </c>
      <c r="AM22" s="242" t="s">
        <v>32</v>
      </c>
      <c r="AN22" s="243">
        <v>5</v>
      </c>
      <c r="AO22" s="242">
        <v>7</v>
      </c>
      <c r="AP22" s="242">
        <v>10</v>
      </c>
      <c r="AQ22" s="243">
        <v>9</v>
      </c>
      <c r="AR22" s="244">
        <v>1440000</v>
      </c>
      <c r="AS22" s="243" t="s">
        <v>34</v>
      </c>
      <c r="AT22" s="248" t="s">
        <v>779</v>
      </c>
      <c r="AU2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5</v>
      </c>
      <c r="AV22" s="246" t="str">
        <f>IF(AU22&gt;9,"SuperStar",IF(AU22&gt;8,"Star",IF(AU22&gt;6.5,"GoodReg",IF(AU22&gt;5,"Reg",IF(AU22&gt;4,"Bench","Minors")))))</f>
        <v>Bench</v>
      </c>
      <c r="AW22" s="245">
        <f>AVERAGE(X22,Z22,AA22)+IF(OR(X22&gt;7,AND(X22&gt;5,AA22&gt;5)),0.5,0)+IF(Z22&gt;7,0.25,0)+IF(X22&lt;6,-0.5*(6-X22),0)</f>
        <v>5</v>
      </c>
      <c r="AX22" s="245" t="str">
        <f>IF(AW22&gt;9,"SuperStar",IF(AW22&gt;8,"Star",IF(AW22&gt;6.5,"GoodReg",IF(AW22&gt;5,"Reg",IF(AW22&gt;4,"Bench","Minors")))))</f>
        <v>Bench</v>
      </c>
      <c r="AY22" s="246">
        <f>MIN(AU22+(MAX(0,25-L22))^1.5,AW22)</f>
        <v>5</v>
      </c>
      <c r="AZ22" s="246" t="str">
        <f>IF(AY22&gt;9,"SuperStar",IF(AY22&gt;8,"Star",IF(AY22&gt;6.5,"GoodReg",IF(AY22&gt;5,"Reg",IF(AY22&gt;4,"Bench","Minors")))))</f>
        <v>Bench</v>
      </c>
      <c r="BA22" s="247">
        <f>IF(AND(OR(S22+V22&gt;12,AND(S22&gt;6,V22&gt;6)),AO22&gt;6,OR(AP22&gt;=AO22,AP22&gt;6)),1,0)</f>
        <v>0</v>
      </c>
      <c r="BB22" s="248">
        <f>IF(OR(AND(S22&gt;6,W22&gt;6),S22+V22&gt;12),1,0)</f>
        <v>0</v>
      </c>
      <c r="BC22" s="248">
        <f>IF(AND(S22&gt;6,U22&gt;6,V22&gt;6),1,0)</f>
        <v>0</v>
      </c>
      <c r="BD22" s="248">
        <f>IF(AND(U22&gt;7,OR(S22&gt;6,V22&gt;6)),1,0)</f>
        <v>0</v>
      </c>
      <c r="BE22" s="248">
        <f>IF(AND(U22&gt;6,OR(S22&gt;6,V22&gt;6)),1,0)</f>
        <v>0</v>
      </c>
      <c r="BF22" s="248">
        <f>IF(AND(OR(S22&gt;6,U22&gt;6),OR(S22&gt;6,V22&gt;6)),1,0)</f>
        <v>0</v>
      </c>
      <c r="BG22" s="248">
        <f>IF(AND(S22&gt;4,OR(S22&gt;6,U22&gt;6,V22&gt;6)),1,0)</f>
        <v>0</v>
      </c>
      <c r="BH22" s="248">
        <f>IF(AND(S22&gt;4,OR(S22&gt;6,T22&gt;6,U22&gt;6,V22&gt;6)),1,0)</f>
        <v>0</v>
      </c>
      <c r="BI22" s="243">
        <f>IF(AND(S22&gt;4,MAX(S22:W22)&gt;6),1,0)</f>
        <v>0</v>
      </c>
      <c r="BJ22" s="247">
        <f>IF(AND(OR(X22+AA22&gt;12,AND(X22&gt;6,AA22&gt;6)),AO22&gt;6,OR(AP22&gt;=AO22,AP22&gt;6)),1,0)</f>
        <v>0</v>
      </c>
      <c r="BK22" s="248">
        <f>IF(OR(AND(X22&gt;6,AB22&gt;6),X22+AA22&gt;12),1,0)</f>
        <v>0</v>
      </c>
      <c r="BL22" s="248">
        <f>IF(AND(X22&gt;6,Z22&gt;6,AA22&gt;6),1,0)</f>
        <v>0</v>
      </c>
      <c r="BM22" s="248">
        <f>IF(AND(Z22&gt;7,OR(X22&gt;6,AA22&gt;6)),1,0)</f>
        <v>0</v>
      </c>
      <c r="BN22" s="248">
        <f>IF(AND(Z22&gt;6,OR(X22&gt;6,AA22&gt;6)),1,0)</f>
        <v>0</v>
      </c>
      <c r="BO22" s="248">
        <f>IF(AND(OR(X22&gt;6,Z22&gt;6),OR(X22&gt;6,AA22&gt;6)),1,0)</f>
        <v>0</v>
      </c>
      <c r="BP22" s="248">
        <f>IF(AND(X22&gt;4,OR(X22&gt;6,Z22&gt;6,AA22&gt;6)),1,0)</f>
        <v>0</v>
      </c>
      <c r="BQ22" s="248">
        <f>IF(AND(X22&gt;4,OR(X22&gt;6,Y22&gt;6,Z22&gt;6,AA22&gt;6)),1,0)</f>
        <v>0</v>
      </c>
      <c r="BR22" s="243">
        <f>IF(AND(X22&gt;4,MAX(X22:AB22)&gt;6),1,0)</f>
        <v>0</v>
      </c>
      <c r="BS22" s="243">
        <f>IF(AVERAGE(AO22:AP22)&gt;9,1,0)+IF(AVERAGE(AO22:AP22)&gt;7,1,0)+IF(AO22&gt;7,1,0)+IF(AP22&gt;7,1,0)+IF(AQ22&gt;8,1,0)+IF(AQ22&gt;6,1,0)</f>
        <v>4</v>
      </c>
      <c r="BT22" s="249">
        <f>IF(OR(MAX(AG22,AH22,AL22,AN22)&gt;6,MAX(AI22,AJ22,AK22,AM22)&gt;7),2,IF(MAX(AG22:AN22)&gt;4,1,0))</f>
        <v>1</v>
      </c>
      <c r="BU22" s="242" t="str">
        <f>IF(AS22=1,"Yes","")</f>
        <v/>
      </c>
      <c r="BV22" s="241" t="str">
        <f>IF($B22="ML","There",IF(AND($X22&gt;=6,AVERAGE($Z22:$AA22)&gt;=6),"Likely",IF(OR($X22&gt;6,AND($X22=6,AVERAGE($Z22:$AA22)&gt;=3),AND($X22&gt;=5,AVERAGE($Z22:$AA22)&gt;=5),AVERAGE($X22,$Z22:$AA22)&gt;5),"Possible","Unlikely")))</f>
        <v>Possible</v>
      </c>
      <c r="BW22" s="242" t="str">
        <f>IF(OR(AND(S22&gt;=6,U22+V22&gt;=12),S22&gt;7),"Start",IF(AND(S22&gt;=5,U22+V22&gt;=8),"Bench","aack!"))</f>
        <v>Bench</v>
      </c>
      <c r="BX22" s="242" t="str">
        <f>IF(OR(AND(X22&gt;=6,Z22+AA22&gt;=12),X22&gt;7),"Start",IF(AND(X22&gt;=5,Z22+AA22&gt;=8),"Bench","aack!"))</f>
        <v>Bench</v>
      </c>
      <c r="BY22" s="242" t="str">
        <f>IF(S22&gt;5,"ML",IF(S22=5,"AAA",IF(S22=4,"AA",IF(S22=3,"A","SS-A"))))</f>
        <v>ML</v>
      </c>
      <c r="BZ22" s="242">
        <f>S22-X22</f>
        <v>0</v>
      </c>
      <c r="CA22" s="242">
        <f>T22-Y22</f>
        <v>0</v>
      </c>
      <c r="CB22" s="242">
        <f>U22-Z22</f>
        <v>0</v>
      </c>
      <c r="CC22" s="242">
        <f>V22-AA22</f>
        <v>0</v>
      </c>
      <c r="CD22" s="242">
        <f>W22-AB22</f>
        <v>0</v>
      </c>
      <c r="CE22" s="242">
        <f>SUM(BZ22:CD22)</f>
        <v>0</v>
      </c>
      <c r="CF22" s="242">
        <f>X22+Z22+AA22</f>
        <v>15</v>
      </c>
      <c r="CG22" s="242">
        <f>X22+Z22</f>
        <v>11</v>
      </c>
      <c r="CH22" s="242">
        <f>X22+AA22</f>
        <v>10</v>
      </c>
      <c r="CI22" s="242" t="str">
        <f>IF(L22&gt;24,"Now - Age",IF(S22&gt;6,"Now",IF(X22&lt;6,"With Dev",MIN(X22-S22,7-S22))))</f>
        <v>Now - Age</v>
      </c>
      <c r="CJ22" s="257" t="str">
        <f>IF(AG22&lt;&gt;"-","X","")</f>
        <v/>
      </c>
      <c r="CK22" s="257" t="str">
        <f>IF(AND(AH22&lt;&gt;"-",AH22&gt;5),"X","")</f>
        <v/>
      </c>
      <c r="CL22" s="257" t="str">
        <f>IF(AND(AI22&lt;&gt;"-",AI22&gt;5),"X","")</f>
        <v/>
      </c>
      <c r="CM22" s="257" t="str">
        <f>IF(AND(AJ22&lt;&gt;"-",AJ22&gt;4,AC22&gt;6),"X","")</f>
        <v/>
      </c>
      <c r="CN22" s="257" t="str">
        <f>IF(AND(AK22&lt;&gt;"-",AK22&gt;5,AC22&gt;5),"X","")</f>
        <v/>
      </c>
      <c r="CO22" s="257" t="str">
        <f>IF(AND(AL22&lt;&gt;"-",AL22&gt;3),"X","")</f>
        <v>X</v>
      </c>
      <c r="CP22" s="257" t="str">
        <f>IF(AND(AM22&lt;&gt;"-",AM22&gt;6),"X","")</f>
        <v/>
      </c>
      <c r="CQ22" s="257" t="str">
        <f>IF(AND(AN22&lt;&gt;"-",AN22&gt;5,AD22&gt;6),"X","")</f>
        <v/>
      </c>
      <c r="CR22" s="257" t="str">
        <f>IF(COUNTBLANK(CJ22:CQ22)=8,"X","")</f>
        <v/>
      </c>
    </row>
    <row r="23" spans="1:96" s="306" customFormat="1" x14ac:dyDescent="0.25">
      <c r="A23" s="240" t="str">
        <f>H23&amp;" "&amp;I23</f>
        <v>Lindsay Durrington</v>
      </c>
      <c r="B23" s="240" t="str">
        <f>IF(ISERROR(VLOOKUP(A23,AMA!$C$3:$C$24,1,FALSE)),IF(ISERROR(VLOOKUP(A23,'END-AAA'!$C$6:$C$33,1,FALSE)),IF(ISERROR(VLOOKUP(A23,'DB-AA'!$C$6:$C$33,1,FALSE)),IF(ISERROR(VLOOKUP(A23,'UTR-A'!$C$6:$C$33,1,FALSE)),IF(ISERROR(VLOOKUP(A23,'FAI-S A'!$C$6:$C$33,1,FALSE)),"","S A"),"A"),"AA"),"AAA"),"ML")</f>
        <v>ML</v>
      </c>
      <c r="C23" s="241"/>
      <c r="D23" s="242">
        <f>IF(BL23=1,3,IF(BM23=1,4,IF(BJ23=1,1,IF(BN23=1,5,IF(BK23=1,2,IF(BO23=1,6,IF(BP23=1,7,IF(BQ23=1,8,IF(BR23=1,9,"-")))))))))</f>
        <v>8</v>
      </c>
      <c r="E23" s="242">
        <f>IF(BC23=1,3,IF(BD23=1,4,IF(BA23=1,1,IF(BE23=1,5,IF(BB23=1,2,IF(BF23=1,6,IF(BG23=1,7,IF(BH23=1,8,IF(BI23=1,9,"-")))))))))</f>
        <v>8</v>
      </c>
      <c r="F23" s="242" t="str">
        <f>IF(OR(OR(Q23="Very High",Q23="High"),AND(OR(Q23="Very High",Q23="High",Q23="Normal"),OR(R23="Very High",R23="High"))),"K","T")</f>
        <v>T</v>
      </c>
      <c r="G23" s="242" t="s">
        <v>75</v>
      </c>
      <c r="H23" s="242" t="s">
        <v>777</v>
      </c>
      <c r="I23" s="242" t="s">
        <v>778</v>
      </c>
      <c r="J23" s="242" t="s">
        <v>763</v>
      </c>
      <c r="K23" s="242" t="s">
        <v>402</v>
      </c>
      <c r="L23" s="242">
        <v>25</v>
      </c>
      <c r="M23" s="242" t="s">
        <v>85</v>
      </c>
      <c r="N23" s="242" t="s">
        <v>83</v>
      </c>
      <c r="O23" s="242" t="s">
        <v>764</v>
      </c>
      <c r="P23" s="243" t="s">
        <v>764</v>
      </c>
      <c r="Q23" s="242" t="s">
        <v>200</v>
      </c>
      <c r="R23" s="243" t="s">
        <v>200</v>
      </c>
      <c r="S23" s="242">
        <v>5</v>
      </c>
      <c r="T23" s="242">
        <v>7</v>
      </c>
      <c r="U23" s="242">
        <v>6</v>
      </c>
      <c r="V23" s="242">
        <v>5</v>
      </c>
      <c r="W23" s="243">
        <v>5</v>
      </c>
      <c r="X23" s="242">
        <v>5</v>
      </c>
      <c r="Y23" s="242">
        <v>7</v>
      </c>
      <c r="Z23" s="242">
        <v>6</v>
      </c>
      <c r="AA23" s="242">
        <v>5</v>
      </c>
      <c r="AB23" s="243">
        <v>5</v>
      </c>
      <c r="AC23" s="242">
        <v>10</v>
      </c>
      <c r="AD23" s="242">
        <v>10</v>
      </c>
      <c r="AE23" s="242">
        <v>1</v>
      </c>
      <c r="AF23" s="242" t="s">
        <v>32</v>
      </c>
      <c r="AG23" s="242" t="s">
        <v>32</v>
      </c>
      <c r="AH23" s="242" t="s">
        <v>32</v>
      </c>
      <c r="AI23" s="242" t="s">
        <v>32</v>
      </c>
      <c r="AJ23" s="242">
        <v>7</v>
      </c>
      <c r="AK23" s="242" t="s">
        <v>32</v>
      </c>
      <c r="AL23" s="242">
        <v>4</v>
      </c>
      <c r="AM23" s="242" t="s">
        <v>32</v>
      </c>
      <c r="AN23" s="243" t="s">
        <v>32</v>
      </c>
      <c r="AO23" s="242">
        <v>3</v>
      </c>
      <c r="AP23" s="242">
        <v>4</v>
      </c>
      <c r="AQ23" s="243">
        <v>7</v>
      </c>
      <c r="AR23" s="244">
        <v>560000</v>
      </c>
      <c r="AS23" s="243" t="s">
        <v>33</v>
      </c>
      <c r="AT23" s="248" t="s">
        <v>779</v>
      </c>
      <c r="AU2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4.833333333333333</v>
      </c>
      <c r="AV23" s="246" t="str">
        <f>IF(AU23&gt;9,"SuperStar",IF(AU23&gt;8,"Star",IF(AU23&gt;6.5,"GoodReg",IF(AU23&gt;5,"Reg",IF(AU23&gt;4,"Bench","Minors")))))</f>
        <v>Bench</v>
      </c>
      <c r="AW23" s="245">
        <f>AVERAGE(X23,Z23,AA23)+IF(OR(X23&gt;7,AND(X23&gt;5,AA23&gt;5)),0.5,0)+IF(Z23&gt;7,0.25,0)+IF(X23&lt;6,-0.5*(6-X23),0)</f>
        <v>4.833333333333333</v>
      </c>
      <c r="AX23" s="245" t="str">
        <f>IF(AW23&gt;9,"SuperStar",IF(AW23&gt;8,"Star",IF(AW23&gt;6.5,"GoodReg",IF(AW23&gt;5,"Reg",IF(AW23&gt;4,"Bench","Minors")))))</f>
        <v>Bench</v>
      </c>
      <c r="AY23" s="246">
        <f>MIN(AU23+(MAX(0,25-L23))^1.5,AW23)</f>
        <v>4.833333333333333</v>
      </c>
      <c r="AZ23" s="246" t="str">
        <f>IF(AY23&gt;9,"SuperStar",IF(AY23&gt;8,"Star",IF(AY23&gt;6.5,"GoodReg",IF(AY23&gt;5,"Reg",IF(AY23&gt;4,"Bench","Minors")))))</f>
        <v>Bench</v>
      </c>
      <c r="BA23" s="247">
        <f>IF(AND(OR(S23+V23&gt;12,AND(S23&gt;6,V23&gt;6)),AO23&gt;6,OR(AP23&gt;=AO23,AP23&gt;6)),1,0)</f>
        <v>0</v>
      </c>
      <c r="BB23" s="248">
        <f>IF(OR(AND(S23&gt;6,W23&gt;6),S23+V23&gt;12),1,0)</f>
        <v>0</v>
      </c>
      <c r="BC23" s="248">
        <f>IF(AND(S23&gt;6,U23&gt;6,V23&gt;6),1,0)</f>
        <v>0</v>
      </c>
      <c r="BD23" s="248">
        <f>IF(AND(U23&gt;7,OR(S23&gt;6,V23&gt;6)),1,0)</f>
        <v>0</v>
      </c>
      <c r="BE23" s="248">
        <f>IF(AND(U23&gt;6,OR(S23&gt;6,V23&gt;6)),1,0)</f>
        <v>0</v>
      </c>
      <c r="BF23" s="248">
        <f>IF(AND(OR(S23&gt;6,U23&gt;6),OR(S23&gt;6,V23&gt;6)),1,0)</f>
        <v>0</v>
      </c>
      <c r="BG23" s="248">
        <f>IF(AND(S23&gt;4,OR(S23&gt;6,U23&gt;6,V23&gt;6)),1,0)</f>
        <v>0</v>
      </c>
      <c r="BH23" s="248">
        <f>IF(AND(S23&gt;4,OR(S23&gt;6,T23&gt;6,U23&gt;6,V23&gt;6)),1,0)</f>
        <v>1</v>
      </c>
      <c r="BI23" s="243">
        <f>IF(AND(S23&gt;4,MAX(S23:W23)&gt;6),1,0)</f>
        <v>1</v>
      </c>
      <c r="BJ23" s="247">
        <f>IF(AND(OR(X23+AA23&gt;12,AND(X23&gt;6,AA23&gt;6)),AO23&gt;6,OR(AP23&gt;=AO23,AP23&gt;6)),1,0)</f>
        <v>0</v>
      </c>
      <c r="BK23" s="248">
        <f>IF(OR(AND(X23&gt;6,AB23&gt;6),X23+AA23&gt;12),1,0)</f>
        <v>0</v>
      </c>
      <c r="BL23" s="248">
        <f>IF(AND(X23&gt;6,Z23&gt;6,AA23&gt;6),1,0)</f>
        <v>0</v>
      </c>
      <c r="BM23" s="248">
        <f>IF(AND(Z23&gt;7,OR(X23&gt;6,AA23&gt;6)),1,0)</f>
        <v>0</v>
      </c>
      <c r="BN23" s="248">
        <f>IF(AND(Z23&gt;6,OR(X23&gt;6,AA23&gt;6)),1,0)</f>
        <v>0</v>
      </c>
      <c r="BO23" s="248">
        <f>IF(AND(OR(X23&gt;6,Z23&gt;6),OR(X23&gt;6,AA23&gt;6)),1,0)</f>
        <v>0</v>
      </c>
      <c r="BP23" s="248">
        <f>IF(AND(X23&gt;4,OR(X23&gt;6,Z23&gt;6,AA23&gt;6)),1,0)</f>
        <v>0</v>
      </c>
      <c r="BQ23" s="248">
        <f>IF(AND(X23&gt;4,OR(X23&gt;6,Y23&gt;6,Z23&gt;6,AA23&gt;6)),1,0)</f>
        <v>1</v>
      </c>
      <c r="BR23" s="243">
        <f>IF(AND(X23&gt;4,MAX(X23:AB23)&gt;6),1,0)</f>
        <v>1</v>
      </c>
      <c r="BS23" s="243">
        <f>IF(AVERAGE(AO23:AP23)&gt;9,1,0)+IF(AVERAGE(AO23:AP23)&gt;7,1,0)+IF(AO23&gt;7,1,0)+IF(AP23&gt;7,1,0)+IF(AQ23&gt;8,1,0)+IF(AQ23&gt;6,1,0)</f>
        <v>1</v>
      </c>
      <c r="BT23" s="249">
        <f>IF(OR(MAX(AG23,AH23,AL23,AN23)&gt;6,MAX(AI23,AJ23,AK23,AM23)&gt;7),2,IF(MAX(AG23:AN23)&gt;4,1,0))</f>
        <v>1</v>
      </c>
      <c r="BU23" s="242" t="str">
        <f>IF(AS23=1,"Yes","")</f>
        <v/>
      </c>
      <c r="BV23" s="241" t="str">
        <f>IF($B23="ML","There",IF(AND($X23&gt;=6,AVERAGE($Z23:$AA23)&gt;=6),"Likely",IF(OR($X23&gt;6,AND($X23=6,AVERAGE($Z23:$AA23)&gt;=3),AND($X23&gt;=5,AVERAGE($Z23:$AA23)&gt;=5),AVERAGE($X23,$Z23:$AA23)&gt;5),"Possible","Unlikely")))</f>
        <v>There</v>
      </c>
      <c r="BW23" s="242" t="str">
        <f>IF(OR(AND(S23&gt;=6,U23+V23&gt;=12),S23&gt;7),"Start",IF(AND(S23&gt;=5,U23+V23&gt;=8),"Bench","aack!"))</f>
        <v>Bench</v>
      </c>
      <c r="BX23" s="242" t="str">
        <f>IF(OR(AND(X23&gt;=6,Z23+AA23&gt;=12),X23&gt;7),"Start",IF(AND(X23&gt;=5,Z23+AA23&gt;=8),"Bench","aack!"))</f>
        <v>Bench</v>
      </c>
      <c r="BY23" s="242" t="str">
        <f>IF(S23&gt;5,"ML",IF(S23=5,"AAA",IF(S23=4,"AA",IF(S23=3,"A","SS-A"))))</f>
        <v>AAA</v>
      </c>
      <c r="BZ23" s="242">
        <f>S23-X23</f>
        <v>0</v>
      </c>
      <c r="CA23" s="242">
        <f>T23-Y23</f>
        <v>0</v>
      </c>
      <c r="CB23" s="242">
        <f>U23-Z23</f>
        <v>0</v>
      </c>
      <c r="CC23" s="242">
        <f>V23-AA23</f>
        <v>0</v>
      </c>
      <c r="CD23" s="242">
        <f>W23-AB23</f>
        <v>0</v>
      </c>
      <c r="CE23" s="242">
        <f>SUM(BZ23:CD23)</f>
        <v>0</v>
      </c>
      <c r="CF23" s="242">
        <f>X23+Z23+AA23</f>
        <v>16</v>
      </c>
      <c r="CG23" s="242">
        <f>X23+Z23</f>
        <v>11</v>
      </c>
      <c r="CH23" s="242">
        <f>X23+AA23</f>
        <v>10</v>
      </c>
      <c r="CI23" s="242" t="str">
        <f>IF(L23&gt;24,"Now - Age",IF(S23&gt;6,"Now",IF(X23&lt;6,"With Dev",MIN(X23-S23,7-S23))))</f>
        <v>Now - Age</v>
      </c>
      <c r="CJ23" s="257" t="str">
        <f>IF(AG23&lt;&gt;"-","X","")</f>
        <v/>
      </c>
      <c r="CK23" s="257" t="str">
        <f>IF(AND(AH23&lt;&gt;"-",AH23&gt;5),"X","")</f>
        <v/>
      </c>
      <c r="CL23" s="257" t="str">
        <f>IF(AND(AI23&lt;&gt;"-",AI23&gt;5),"X","")</f>
        <v/>
      </c>
      <c r="CM23" s="257" t="str">
        <f>IF(AND(AJ23&lt;&gt;"-",AJ23&gt;4,AC23&gt;6),"X","")</f>
        <v>X</v>
      </c>
      <c r="CN23" s="257" t="str">
        <f>IF(AND(AK23&lt;&gt;"-",AK23&gt;5,AC23&gt;5),"X","")</f>
        <v/>
      </c>
      <c r="CO23" s="257" t="str">
        <f>IF(AND(AL23&lt;&gt;"-",AL23&gt;3),"X","")</f>
        <v>X</v>
      </c>
      <c r="CP23" s="257" t="str">
        <f>IF(AND(AM23&lt;&gt;"-",AM23&gt;6),"X","")</f>
        <v/>
      </c>
      <c r="CQ23" s="257" t="str">
        <f>IF(AND(AN23&lt;&gt;"-",AN23&gt;5,AD23&gt;6),"X","")</f>
        <v/>
      </c>
      <c r="CR23" s="257" t="str">
        <f>IF(COUNTBLANK(CJ23:CQ23)=8,"X","")</f>
        <v/>
      </c>
    </row>
    <row r="24" spans="1:96" s="306" customFormat="1" x14ac:dyDescent="0.25">
      <c r="A24" s="240" t="str">
        <f>H24&amp;" "&amp;I24</f>
        <v>Horiuchi Sugimoto</v>
      </c>
      <c r="B24" s="240" t="str">
        <f>IF(ISERROR(VLOOKUP(A24,AMA!$C$3:$C$24,1,FALSE)),IF(ISERROR(VLOOKUP(A24,'END-AAA'!$C$6:$C$33,1,FALSE)),IF(ISERROR(VLOOKUP(A24,'DB-AA'!$C$6:$C$33,1,FALSE)),IF(ISERROR(VLOOKUP(A24,'UTR-A'!$C$6:$C$33,1,FALSE)),IF(ISERROR(VLOOKUP(A24,'FAI-S A'!$C$6:$C$33,1,FALSE)),"","S A"),"A"),"AA"),"AAA"),"ML")</f>
        <v>ML</v>
      </c>
      <c r="C24" s="241"/>
      <c r="D24" s="242">
        <f>IF(BL24=1,3,IF(BM24=1,4,IF(BJ24=1,1,IF(BN24=1,5,IF(BK24=1,2,IF(BO24=1,6,IF(BP24=1,7,IF(BQ24=1,8,IF(BR24=1,9,"-")))))))))</f>
        <v>1</v>
      </c>
      <c r="E24" s="242">
        <f>IF(BC24=1,3,IF(BD24=1,4,IF(BA24=1,1,IF(BE24=1,5,IF(BB24=1,2,IF(BF24=1,6,IF(BG24=1,7,IF(BH24=1,8,IF(BI24=1,9,"-")))))))))</f>
        <v>1</v>
      </c>
      <c r="F24" s="242" t="str">
        <f>IF(OR(OR(Q24="Very High",Q24="High"),AND(OR(Q24="Very High",Q24="High",Q24="Normal"),OR(R24="Very High",R24="High"))),"K","T")</f>
        <v>T</v>
      </c>
      <c r="G24" s="242" t="s">
        <v>76</v>
      </c>
      <c r="H24" s="242" t="s">
        <v>796</v>
      </c>
      <c r="I24" s="242" t="s">
        <v>442</v>
      </c>
      <c r="J24" s="242" t="s">
        <v>763</v>
      </c>
      <c r="K24" s="242" t="s">
        <v>402</v>
      </c>
      <c r="L24" s="242">
        <v>32</v>
      </c>
      <c r="M24" s="242" t="s">
        <v>83</v>
      </c>
      <c r="N24" s="242" t="s">
        <v>83</v>
      </c>
      <c r="O24" s="242" t="s">
        <v>764</v>
      </c>
      <c r="P24" s="243" t="s">
        <v>764</v>
      </c>
      <c r="Q24" s="242" t="s">
        <v>201</v>
      </c>
      <c r="R24" s="243" t="s">
        <v>200</v>
      </c>
      <c r="S24" s="242">
        <v>5</v>
      </c>
      <c r="T24" s="242">
        <v>5</v>
      </c>
      <c r="U24" s="242">
        <v>3</v>
      </c>
      <c r="V24" s="242">
        <v>8</v>
      </c>
      <c r="W24" s="243">
        <v>4</v>
      </c>
      <c r="X24" s="242">
        <v>5</v>
      </c>
      <c r="Y24" s="242">
        <v>5</v>
      </c>
      <c r="Z24" s="242">
        <v>3</v>
      </c>
      <c r="AA24" s="242">
        <v>8</v>
      </c>
      <c r="AB24" s="243">
        <v>4</v>
      </c>
      <c r="AC24" s="242">
        <v>5</v>
      </c>
      <c r="AD24" s="242">
        <v>1</v>
      </c>
      <c r="AE24" s="242">
        <v>1</v>
      </c>
      <c r="AF24" s="242" t="s">
        <v>32</v>
      </c>
      <c r="AG24" s="242" t="s">
        <v>32</v>
      </c>
      <c r="AH24" s="242" t="s">
        <v>32</v>
      </c>
      <c r="AI24" s="242">
        <v>9</v>
      </c>
      <c r="AJ24" s="242" t="s">
        <v>32</v>
      </c>
      <c r="AK24" s="242">
        <v>7</v>
      </c>
      <c r="AL24" s="242" t="s">
        <v>32</v>
      </c>
      <c r="AM24" s="242" t="s">
        <v>32</v>
      </c>
      <c r="AN24" s="243" t="s">
        <v>32</v>
      </c>
      <c r="AO24" s="242">
        <v>8</v>
      </c>
      <c r="AP24" s="242">
        <v>9</v>
      </c>
      <c r="AQ24" s="243">
        <v>7</v>
      </c>
      <c r="AR24" s="244">
        <v>560000</v>
      </c>
      <c r="AS24" s="243" t="s">
        <v>33</v>
      </c>
      <c r="AT24" s="248" t="s">
        <v>201</v>
      </c>
      <c r="AU24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4.833333333333333</v>
      </c>
      <c r="AV24" s="246" t="str">
        <f>IF(AU24&gt;9,"SuperStar",IF(AU24&gt;8,"Star",IF(AU24&gt;6.5,"GoodReg",IF(AU24&gt;5,"Reg",IF(AU24&gt;4,"Bench","Minors")))))</f>
        <v>Bench</v>
      </c>
      <c r="AW24" s="245">
        <f>AVERAGE(X24,Z24,AA24)+IF(OR(X24&gt;7,AND(X24&gt;5,AA24&gt;5)),0.5,0)+IF(Z24&gt;7,0.25,0)+IF(X24&lt;6,-0.5*(6-X24),0)</f>
        <v>4.833333333333333</v>
      </c>
      <c r="AX24" s="245" t="str">
        <f>IF(AW24&gt;9,"SuperStar",IF(AW24&gt;8,"Star",IF(AW24&gt;6.5,"GoodReg",IF(AW24&gt;5,"Reg",IF(AW24&gt;4,"Bench","Minors")))))</f>
        <v>Bench</v>
      </c>
      <c r="AY24" s="246">
        <f>MIN(AU24+(MAX(0,25-L24))^1.5,AW24)</f>
        <v>4.833333333333333</v>
      </c>
      <c r="AZ24" s="246" t="str">
        <f>IF(AY24&gt;9,"SuperStar",IF(AY24&gt;8,"Star",IF(AY24&gt;6.5,"GoodReg",IF(AY24&gt;5,"Reg",IF(AY24&gt;4,"Bench","Minors")))))</f>
        <v>Bench</v>
      </c>
      <c r="BA24" s="247">
        <f>IF(AND(OR(S24+V24&gt;12,AND(S24&gt;6,V24&gt;6)),AO24&gt;6,OR(AP24&gt;=AO24,AP24&gt;6)),1,0)</f>
        <v>1</v>
      </c>
      <c r="BB24" s="248">
        <f>IF(OR(AND(S24&gt;6,W24&gt;6),S24+V24&gt;12),1,0)</f>
        <v>1</v>
      </c>
      <c r="BC24" s="248">
        <f>IF(AND(S24&gt;6,U24&gt;6,V24&gt;6),1,0)</f>
        <v>0</v>
      </c>
      <c r="BD24" s="248">
        <f>IF(AND(U24&gt;7,OR(S24&gt;6,V24&gt;6)),1,0)</f>
        <v>0</v>
      </c>
      <c r="BE24" s="248">
        <f>IF(AND(U24&gt;6,OR(S24&gt;6,V24&gt;6)),1,0)</f>
        <v>0</v>
      </c>
      <c r="BF24" s="248">
        <f>IF(AND(OR(S24&gt;6,U24&gt;6),OR(S24&gt;6,V24&gt;6)),1,0)</f>
        <v>0</v>
      </c>
      <c r="BG24" s="248">
        <f>IF(AND(S24&gt;4,OR(S24&gt;6,U24&gt;6,V24&gt;6)),1,0)</f>
        <v>1</v>
      </c>
      <c r="BH24" s="248">
        <f>IF(AND(S24&gt;4,OR(S24&gt;6,T24&gt;6,U24&gt;6,V24&gt;6)),1,0)</f>
        <v>1</v>
      </c>
      <c r="BI24" s="243">
        <f>IF(AND(S24&gt;4,MAX(S24:W24)&gt;6),1,0)</f>
        <v>1</v>
      </c>
      <c r="BJ24" s="247">
        <f>IF(AND(OR(X24+AA24&gt;12,AND(X24&gt;6,AA24&gt;6)),AO24&gt;6,OR(AP24&gt;=AO24,AP24&gt;6)),1,0)</f>
        <v>1</v>
      </c>
      <c r="BK24" s="248">
        <f>IF(OR(AND(X24&gt;6,AB24&gt;6),X24+AA24&gt;12),1,0)</f>
        <v>1</v>
      </c>
      <c r="BL24" s="248">
        <f>IF(AND(X24&gt;6,Z24&gt;6,AA24&gt;6),1,0)</f>
        <v>0</v>
      </c>
      <c r="BM24" s="248">
        <f>IF(AND(Z24&gt;7,OR(X24&gt;6,AA24&gt;6)),1,0)</f>
        <v>0</v>
      </c>
      <c r="BN24" s="248">
        <f>IF(AND(Z24&gt;6,OR(X24&gt;6,AA24&gt;6)),1,0)</f>
        <v>0</v>
      </c>
      <c r="BO24" s="248">
        <f>IF(AND(OR(X24&gt;6,Z24&gt;6),OR(X24&gt;6,AA24&gt;6)),1,0)</f>
        <v>0</v>
      </c>
      <c r="BP24" s="248">
        <f>IF(AND(X24&gt;4,OR(X24&gt;6,Z24&gt;6,AA24&gt;6)),1,0)</f>
        <v>1</v>
      </c>
      <c r="BQ24" s="248">
        <f>IF(AND(X24&gt;4,OR(X24&gt;6,Y24&gt;6,Z24&gt;6,AA24&gt;6)),1,0)</f>
        <v>1</v>
      </c>
      <c r="BR24" s="243">
        <f>IF(AND(X24&gt;4,MAX(X24:AB24)&gt;6),1,0)</f>
        <v>1</v>
      </c>
      <c r="BS24" s="243">
        <f>IF(AVERAGE(AO24:AP24)&gt;9,1,0)+IF(AVERAGE(AO24:AP24)&gt;7,1,0)+IF(AO24&gt;7,1,0)+IF(AP24&gt;7,1,0)+IF(AQ24&gt;8,1,0)+IF(AQ24&gt;6,1,0)</f>
        <v>4</v>
      </c>
      <c r="BT24" s="249">
        <f>IF(OR(MAX(AG24,AH24,AL24,AN24)&gt;6,MAX(AI24,AJ24,AK24,AM24)&gt;7),2,IF(MAX(AG24:AN24)&gt;4,1,0))</f>
        <v>2</v>
      </c>
      <c r="BU24" s="242" t="str">
        <f>IF(AS24=1,"Yes","")</f>
        <v/>
      </c>
      <c r="BV24" s="241" t="str">
        <f>IF($B24="ML","There",IF(AND($X24&gt;=6,AVERAGE($Z24:$AA24)&gt;=6),"Likely",IF(OR($X24&gt;6,AND($X24=6,AVERAGE($Z24:$AA24)&gt;=3),AND($X24&gt;=5,AVERAGE($Z24:$AA24)&gt;=5),AVERAGE($X24,$Z24:$AA24)&gt;5),"Possible","Unlikely")))</f>
        <v>There</v>
      </c>
      <c r="BW24" s="242" t="str">
        <f>IF(OR(AND(S24&gt;=6,U24+V24&gt;=12),S24&gt;7),"Start",IF(AND(S24&gt;=5,U24+V24&gt;=8),"Bench","aack!"))</f>
        <v>Bench</v>
      </c>
      <c r="BX24" s="242" t="str">
        <f>IF(OR(AND(X24&gt;=6,Z24+AA24&gt;=12),X24&gt;7),"Start",IF(AND(X24&gt;=5,Z24+AA24&gt;=8),"Bench","aack!"))</f>
        <v>Bench</v>
      </c>
      <c r="BY24" s="242" t="str">
        <f>IF(S24&gt;5,"ML",IF(S24=5,"AAA",IF(S24=4,"AA",IF(S24=3,"A","SS-A"))))</f>
        <v>AAA</v>
      </c>
      <c r="BZ24" s="242">
        <f>S24-X24</f>
        <v>0</v>
      </c>
      <c r="CA24" s="242">
        <f>T24-Y24</f>
        <v>0</v>
      </c>
      <c r="CB24" s="242">
        <f>U24-Z24</f>
        <v>0</v>
      </c>
      <c r="CC24" s="242">
        <f>V24-AA24</f>
        <v>0</v>
      </c>
      <c r="CD24" s="242">
        <f>W24-AB24</f>
        <v>0</v>
      </c>
      <c r="CE24" s="242">
        <f>SUM(BZ24:CD24)</f>
        <v>0</v>
      </c>
      <c r="CF24" s="242">
        <f>X24+Z24+AA24</f>
        <v>16</v>
      </c>
      <c r="CG24" s="242">
        <f>X24+Z24</f>
        <v>8</v>
      </c>
      <c r="CH24" s="242">
        <f>X24+AA24</f>
        <v>13</v>
      </c>
      <c r="CI24" s="242" t="str">
        <f>IF(L24&gt;24,"Now - Age",IF(S24&gt;6,"Now",IF(X24&lt;6,"With Dev",MIN(X24-S24,7-S24))))</f>
        <v>Now - Age</v>
      </c>
      <c r="CJ24" s="257" t="str">
        <f>IF(AG24&lt;&gt;"-","X","")</f>
        <v/>
      </c>
      <c r="CK24" s="257" t="str">
        <f>IF(AND(AH24&lt;&gt;"-",AH24&gt;5),"X","")</f>
        <v/>
      </c>
      <c r="CL24" s="257" t="str">
        <f>IF(AND(AI24&lt;&gt;"-",AI24&gt;5),"X","")</f>
        <v>X</v>
      </c>
      <c r="CM24" s="257" t="str">
        <f>IF(AND(AJ24&lt;&gt;"-",AJ24&gt;4,AC24&gt;6),"X","")</f>
        <v/>
      </c>
      <c r="CN24" s="257" t="str">
        <f>IF(AND(AK24&lt;&gt;"-",AK24&gt;5,AC24&gt;5),"X","")</f>
        <v/>
      </c>
      <c r="CO24" s="257" t="str">
        <f>IF(AND(AL24&lt;&gt;"-",AL24&gt;3),"X","")</f>
        <v/>
      </c>
      <c r="CP24" s="257" t="str">
        <f>IF(AND(AM24&lt;&gt;"-",AM24&gt;6),"X","")</f>
        <v/>
      </c>
      <c r="CQ24" s="257" t="str">
        <f>IF(AND(AN24&lt;&gt;"-",AN24&gt;5,AD24&gt;6),"X","")</f>
        <v/>
      </c>
      <c r="CR24" s="257" t="str">
        <f>IF(COUNTBLANK(CJ24:CQ24)=8,"X","")</f>
        <v/>
      </c>
    </row>
    <row r="25" spans="1:96" s="306" customFormat="1" x14ac:dyDescent="0.25">
      <c r="A25" s="240" t="str">
        <f>H25&amp;" "&amp;I25</f>
        <v>Edgardo Acarcon</v>
      </c>
      <c r="B25" s="240" t="str">
        <f>IF(ISERROR(VLOOKUP(A25,AMA!$C$3:$C$24,1,FALSE)),IF(ISERROR(VLOOKUP(A25,'END-AAA'!$C$6:$C$33,1,FALSE)),IF(ISERROR(VLOOKUP(A25,'DB-AA'!$C$6:$C$33,1,FALSE)),IF(ISERROR(VLOOKUP(A25,'UTR-A'!$C$6:$C$33,1,FALSE)),IF(ISERROR(VLOOKUP(A25,'FAI-S A'!$C$6:$C$33,1,FALSE)),"","S A"),"A"),"AA"),"AAA"),"ML")</f>
        <v/>
      </c>
      <c r="C25" s="241"/>
      <c r="D25" s="242">
        <f>IF(BL25=1,3,IF(BM25=1,4,IF(BJ25=1,1,IF(BN25=1,5,IF(BK25=1,2,IF(BO25=1,6,IF(BP25=1,7,IF(BQ25=1,8,IF(BR25=1,9,"-")))))))))</f>
        <v>7</v>
      </c>
      <c r="E25" s="242">
        <f>IF(BC25=1,3,IF(BD25=1,4,IF(BA25=1,1,IF(BE25=1,5,IF(BB25=1,2,IF(BF25=1,6,IF(BG25=1,7,IF(BH25=1,8,IF(BI25=1,9,"-")))))))))</f>
        <v>7</v>
      </c>
      <c r="F25" s="242" t="str">
        <f>IF(OR(OR(Q25="Very High",Q25="High"),AND(OR(Q25="Very High",Q25="High",Q25="Normal"),OR(R25="Very High",R25="High"))),"K","T")</f>
        <v>T</v>
      </c>
      <c r="G25" s="242" t="s">
        <v>77</v>
      </c>
      <c r="H25" s="242" t="s">
        <v>771</v>
      </c>
      <c r="I25" s="242" t="s">
        <v>772</v>
      </c>
      <c r="J25" s="242" t="s">
        <v>763</v>
      </c>
      <c r="K25" s="242" t="s">
        <v>402</v>
      </c>
      <c r="L25" s="242">
        <v>34</v>
      </c>
      <c r="M25" s="242" t="s">
        <v>83</v>
      </c>
      <c r="N25" s="242" t="s">
        <v>83</v>
      </c>
      <c r="O25" s="242" t="s">
        <v>773</v>
      </c>
      <c r="P25" s="243" t="s">
        <v>773</v>
      </c>
      <c r="Q25" s="242" t="s">
        <v>201</v>
      </c>
      <c r="R25" s="243" t="s">
        <v>200</v>
      </c>
      <c r="S25" s="242">
        <v>5</v>
      </c>
      <c r="T25" s="242">
        <v>3</v>
      </c>
      <c r="U25" s="242">
        <v>7</v>
      </c>
      <c r="V25" s="242">
        <v>4</v>
      </c>
      <c r="W25" s="243">
        <v>3</v>
      </c>
      <c r="X25" s="242">
        <v>5</v>
      </c>
      <c r="Y25" s="242">
        <v>3</v>
      </c>
      <c r="Z25" s="242">
        <v>7</v>
      </c>
      <c r="AA25" s="242">
        <v>4</v>
      </c>
      <c r="AB25" s="243">
        <v>3</v>
      </c>
      <c r="AC25" s="242">
        <v>1</v>
      </c>
      <c r="AD25" s="242">
        <v>7</v>
      </c>
      <c r="AE25" s="242">
        <v>1</v>
      </c>
      <c r="AF25" s="242" t="s">
        <v>32</v>
      </c>
      <c r="AG25" s="242" t="s">
        <v>32</v>
      </c>
      <c r="AH25" s="242" t="s">
        <v>32</v>
      </c>
      <c r="AI25" s="242" t="s">
        <v>32</v>
      </c>
      <c r="AJ25" s="242" t="s">
        <v>32</v>
      </c>
      <c r="AK25" s="242" t="s">
        <v>32</v>
      </c>
      <c r="AL25" s="242">
        <v>5</v>
      </c>
      <c r="AM25" s="242" t="s">
        <v>32</v>
      </c>
      <c r="AN25" s="243" t="s">
        <v>32</v>
      </c>
      <c r="AO25" s="242">
        <v>5</v>
      </c>
      <c r="AP25" s="242">
        <v>10</v>
      </c>
      <c r="AQ25" s="243">
        <v>10</v>
      </c>
      <c r="AR25" s="244">
        <v>1000000</v>
      </c>
      <c r="AS25" s="243" t="s">
        <v>33</v>
      </c>
      <c r="AT25" s="248" t="s">
        <v>779</v>
      </c>
      <c r="AU25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4.833333333333333</v>
      </c>
      <c r="AV25" s="246" t="str">
        <f>IF(AU25&gt;9,"SuperStar",IF(AU25&gt;8,"Star",IF(AU25&gt;6.5,"GoodReg",IF(AU25&gt;5,"Reg",IF(AU25&gt;4,"Bench","Minors")))))</f>
        <v>Bench</v>
      </c>
      <c r="AW25" s="245">
        <f>AVERAGE(X25,Z25,AA25)+IF(OR(X25&gt;7,AND(X25&gt;5,AA25&gt;5)),0.5,0)+IF(Z25&gt;7,0.25,0)+IF(X25&lt;6,-0.5*(6-X25),0)</f>
        <v>4.833333333333333</v>
      </c>
      <c r="AX25" s="245" t="str">
        <f>IF(AW25&gt;9,"SuperStar",IF(AW25&gt;8,"Star",IF(AW25&gt;6.5,"GoodReg",IF(AW25&gt;5,"Reg",IF(AW25&gt;4,"Bench","Minors")))))</f>
        <v>Bench</v>
      </c>
      <c r="AY25" s="246">
        <f>MIN(AU25+(MAX(0,25-L25))^1.5,AW25)</f>
        <v>4.833333333333333</v>
      </c>
      <c r="AZ25" s="246" t="str">
        <f>IF(AY25&gt;9,"SuperStar",IF(AY25&gt;8,"Star",IF(AY25&gt;6.5,"GoodReg",IF(AY25&gt;5,"Reg",IF(AY25&gt;4,"Bench","Minors")))))</f>
        <v>Bench</v>
      </c>
      <c r="BA25" s="247">
        <f>IF(AND(OR(S25+V25&gt;12,AND(S25&gt;6,V25&gt;6)),AO25&gt;6,OR(AP25&gt;=AO25,AP25&gt;6)),1,0)</f>
        <v>0</v>
      </c>
      <c r="BB25" s="248">
        <f>IF(OR(AND(S25&gt;6,W25&gt;6),S25+V25&gt;12),1,0)</f>
        <v>0</v>
      </c>
      <c r="BC25" s="248">
        <f>IF(AND(S25&gt;6,U25&gt;6,V25&gt;6),1,0)</f>
        <v>0</v>
      </c>
      <c r="BD25" s="248">
        <f>IF(AND(U25&gt;7,OR(S25&gt;6,V25&gt;6)),1,0)</f>
        <v>0</v>
      </c>
      <c r="BE25" s="248">
        <f>IF(AND(U25&gt;6,OR(S25&gt;6,V25&gt;6)),1,0)</f>
        <v>0</v>
      </c>
      <c r="BF25" s="248">
        <f>IF(AND(OR(S25&gt;6,U25&gt;6),OR(S25&gt;6,V25&gt;6)),1,0)</f>
        <v>0</v>
      </c>
      <c r="BG25" s="248">
        <f>IF(AND(S25&gt;4,OR(S25&gt;6,U25&gt;6,V25&gt;6)),1,0)</f>
        <v>1</v>
      </c>
      <c r="BH25" s="248">
        <f>IF(AND(S25&gt;4,OR(S25&gt;6,T25&gt;6,U25&gt;6,V25&gt;6)),1,0)</f>
        <v>1</v>
      </c>
      <c r="BI25" s="243">
        <f>IF(AND(S25&gt;4,MAX(S25:W25)&gt;6),1,0)</f>
        <v>1</v>
      </c>
      <c r="BJ25" s="247">
        <f>IF(AND(OR(X25+AA25&gt;12,AND(X25&gt;6,AA25&gt;6)),AO25&gt;6,OR(AP25&gt;=AO25,AP25&gt;6)),1,0)</f>
        <v>0</v>
      </c>
      <c r="BK25" s="248">
        <f>IF(OR(AND(X25&gt;6,AB25&gt;6),X25+AA25&gt;12),1,0)</f>
        <v>0</v>
      </c>
      <c r="BL25" s="248">
        <f>IF(AND(X25&gt;6,Z25&gt;6,AA25&gt;6),1,0)</f>
        <v>0</v>
      </c>
      <c r="BM25" s="248">
        <f>IF(AND(Z25&gt;7,OR(X25&gt;6,AA25&gt;6)),1,0)</f>
        <v>0</v>
      </c>
      <c r="BN25" s="248">
        <f>IF(AND(Z25&gt;6,OR(X25&gt;6,AA25&gt;6)),1,0)</f>
        <v>0</v>
      </c>
      <c r="BO25" s="248">
        <f>IF(AND(OR(X25&gt;6,Z25&gt;6),OR(X25&gt;6,AA25&gt;6)),1,0)</f>
        <v>0</v>
      </c>
      <c r="BP25" s="248">
        <f>IF(AND(X25&gt;4,OR(X25&gt;6,Z25&gt;6,AA25&gt;6)),1,0)</f>
        <v>1</v>
      </c>
      <c r="BQ25" s="248">
        <f>IF(AND(X25&gt;4,OR(X25&gt;6,Y25&gt;6,Z25&gt;6,AA25&gt;6)),1,0)</f>
        <v>1</v>
      </c>
      <c r="BR25" s="243">
        <f>IF(AND(X25&gt;4,MAX(X25:AB25)&gt;6),1,0)</f>
        <v>1</v>
      </c>
      <c r="BS25" s="243">
        <f>IF(AVERAGE(AO25:AP25)&gt;9,1,0)+IF(AVERAGE(AO25:AP25)&gt;7,1,0)+IF(AO25&gt;7,1,0)+IF(AP25&gt;7,1,0)+IF(AQ25&gt;8,1,0)+IF(AQ25&gt;6,1,0)</f>
        <v>4</v>
      </c>
      <c r="BT25" s="249">
        <f>IF(OR(MAX(AG25,AH25,AL25,AN25)&gt;6,MAX(AI25,AJ25,AK25,AM25)&gt;7),2,IF(MAX(AG25:AN25)&gt;4,1,0))</f>
        <v>1</v>
      </c>
      <c r="BU25" s="242" t="str">
        <f>IF(AS25=1,"Yes","")</f>
        <v/>
      </c>
      <c r="BV25" s="241" t="str">
        <f>IF($B25="ML","There",IF(AND($X25&gt;=6,AVERAGE($Z25:$AA25)&gt;=6),"Likely",IF(OR($X25&gt;6,AND($X25=6,AVERAGE($Z25:$AA25)&gt;=3),AND($X25&gt;=5,AVERAGE($Z25:$AA25)&gt;=5),AVERAGE($X25,$Z25:$AA25)&gt;5),"Possible","Unlikely")))</f>
        <v>Possible</v>
      </c>
      <c r="BW25" s="242" t="str">
        <f>IF(OR(AND(S25&gt;=6,U25+V25&gt;=12),S25&gt;7),"Start",IF(AND(S25&gt;=5,U25+V25&gt;=8),"Bench","aack!"))</f>
        <v>Bench</v>
      </c>
      <c r="BX25" s="242" t="str">
        <f>IF(OR(AND(X25&gt;=6,Z25+AA25&gt;=12),X25&gt;7),"Start",IF(AND(X25&gt;=5,Z25+AA25&gt;=8),"Bench","aack!"))</f>
        <v>Bench</v>
      </c>
      <c r="BY25" s="242" t="str">
        <f>IF(S25&gt;5,"ML",IF(S25=5,"AAA",IF(S25=4,"AA",IF(S25=3,"A","SS-A"))))</f>
        <v>AAA</v>
      </c>
      <c r="BZ25" s="242">
        <f>S25-X25</f>
        <v>0</v>
      </c>
      <c r="CA25" s="242">
        <f>T25-Y25</f>
        <v>0</v>
      </c>
      <c r="CB25" s="242">
        <f>U25-Z25</f>
        <v>0</v>
      </c>
      <c r="CC25" s="242">
        <f>V25-AA25</f>
        <v>0</v>
      </c>
      <c r="CD25" s="242">
        <f>W25-AB25</f>
        <v>0</v>
      </c>
      <c r="CE25" s="242">
        <f>SUM(BZ25:CD25)</f>
        <v>0</v>
      </c>
      <c r="CF25" s="242">
        <f>X25+Z25+AA25</f>
        <v>16</v>
      </c>
      <c r="CG25" s="242">
        <f>X25+Z25</f>
        <v>12</v>
      </c>
      <c r="CH25" s="242">
        <f>X25+AA25</f>
        <v>9</v>
      </c>
      <c r="CI25" s="242" t="str">
        <f>IF(L25&gt;24,"Now - Age",IF(S25&gt;6,"Now",IF(X25&lt;6,"With Dev",MIN(X25-S25,7-S25))))</f>
        <v>Now - Age</v>
      </c>
      <c r="CJ25" s="257" t="str">
        <f>IF(AG25&lt;&gt;"-","X","")</f>
        <v/>
      </c>
      <c r="CK25" s="257" t="str">
        <f>IF(AND(AH25&lt;&gt;"-",AH25&gt;5),"X","")</f>
        <v/>
      </c>
      <c r="CL25" s="257" t="str">
        <f>IF(AND(AI25&lt;&gt;"-",AI25&gt;5),"X","")</f>
        <v/>
      </c>
      <c r="CM25" s="257" t="str">
        <f>IF(AND(AJ25&lt;&gt;"-",AJ25&gt;4,AC25&gt;6),"X","")</f>
        <v/>
      </c>
      <c r="CN25" s="257" t="str">
        <f>IF(AND(AK25&lt;&gt;"-",AK25&gt;5,AC25&gt;5),"X","")</f>
        <v/>
      </c>
      <c r="CO25" s="257" t="str">
        <f>IF(AND(AL25&lt;&gt;"-",AL25&gt;3),"X","")</f>
        <v>X</v>
      </c>
      <c r="CP25" s="257" t="str">
        <f>IF(AND(AM25&lt;&gt;"-",AM25&gt;6),"X","")</f>
        <v/>
      </c>
      <c r="CQ25" s="257" t="str">
        <f>IF(AND(AN25&lt;&gt;"-",AN25&gt;5,AD25&gt;6),"X","")</f>
        <v/>
      </c>
      <c r="CR25" s="257" t="str">
        <f>IF(COUNTBLANK(CJ25:CQ25)=8,"X","")</f>
        <v/>
      </c>
    </row>
    <row r="26" spans="1:96" s="306" customFormat="1" x14ac:dyDescent="0.25">
      <c r="A26" s="240" t="str">
        <f>H26&amp;" "&amp;I26</f>
        <v>Gary Leclair</v>
      </c>
      <c r="B26" s="240" t="str">
        <f>IF(ISERROR(VLOOKUP(A26,AMA!$C$3:$C$24,1,FALSE)),IF(ISERROR(VLOOKUP(A26,'END-AAA'!$C$6:$C$33,1,FALSE)),IF(ISERROR(VLOOKUP(A26,'DB-AA'!$C$6:$C$33,1,FALSE)),IF(ISERROR(VLOOKUP(A26,'UTR-A'!$C$6:$C$33,1,FALSE)),IF(ISERROR(VLOOKUP(A26,'FAI-S A'!$C$6:$C$33,1,FALSE)),"","S A"),"A"),"AA"),"AAA"),"ML")</f>
        <v/>
      </c>
      <c r="C26" s="241"/>
      <c r="D26" s="242" t="str">
        <f>IF(BL26=1,3,IF(BM26=1,4,IF(BJ26=1,1,IF(BN26=1,5,IF(BK26=1,2,IF(BO26=1,6,IF(BP26=1,7,IF(BQ26=1,8,IF(BR26=1,9,"-")))))))))</f>
        <v>-</v>
      </c>
      <c r="E26" s="242" t="str">
        <f>IF(BC26=1,3,IF(BD26=1,4,IF(BA26=1,1,IF(BE26=1,5,IF(BB26=1,2,IF(BF26=1,6,IF(BG26=1,7,IF(BH26=1,8,IF(BI26=1,9,"-")))))))))</f>
        <v>-</v>
      </c>
      <c r="F26" s="242" t="str">
        <f>IF(OR(OR(Q26="Very High",Q26="High"),AND(OR(Q26="Very High",Q26="High",Q26="Normal"),OR(R26="Very High",R26="High"))),"K","T")</f>
        <v>K</v>
      </c>
      <c r="G26" s="242" t="s">
        <v>77</v>
      </c>
      <c r="H26" s="242" t="s">
        <v>431</v>
      </c>
      <c r="I26" s="242" t="s">
        <v>820</v>
      </c>
      <c r="J26" s="242" t="s">
        <v>783</v>
      </c>
      <c r="K26" s="242" t="s">
        <v>185</v>
      </c>
      <c r="L26" s="242">
        <v>31</v>
      </c>
      <c r="M26" s="242" t="s">
        <v>82</v>
      </c>
      <c r="N26" s="242" t="s">
        <v>82</v>
      </c>
      <c r="O26" s="242" t="s">
        <v>773</v>
      </c>
      <c r="P26" s="243" t="s">
        <v>773</v>
      </c>
      <c r="Q26" s="242" t="s">
        <v>199</v>
      </c>
      <c r="R26" s="243" t="s">
        <v>200</v>
      </c>
      <c r="S26" s="242">
        <v>4</v>
      </c>
      <c r="T26" s="242">
        <v>3</v>
      </c>
      <c r="U26" s="242">
        <v>6</v>
      </c>
      <c r="V26" s="242">
        <v>7</v>
      </c>
      <c r="W26" s="243">
        <v>6</v>
      </c>
      <c r="X26" s="242">
        <v>4</v>
      </c>
      <c r="Y26" s="242">
        <v>3</v>
      </c>
      <c r="Z26" s="242">
        <v>6</v>
      </c>
      <c r="AA26" s="242">
        <v>7</v>
      </c>
      <c r="AB26" s="243">
        <v>6</v>
      </c>
      <c r="AC26" s="242">
        <v>4</v>
      </c>
      <c r="AD26" s="242">
        <v>5</v>
      </c>
      <c r="AE26" s="242">
        <v>1</v>
      </c>
      <c r="AF26" s="242" t="s">
        <v>32</v>
      </c>
      <c r="AG26" s="242" t="s">
        <v>32</v>
      </c>
      <c r="AH26" s="242">
        <v>2</v>
      </c>
      <c r="AI26" s="242" t="s">
        <v>32</v>
      </c>
      <c r="AJ26" s="242" t="s">
        <v>32</v>
      </c>
      <c r="AK26" s="242" t="s">
        <v>32</v>
      </c>
      <c r="AL26" s="242">
        <v>3</v>
      </c>
      <c r="AM26" s="242" t="s">
        <v>32</v>
      </c>
      <c r="AN26" s="243">
        <v>2</v>
      </c>
      <c r="AO26" s="242">
        <v>8</v>
      </c>
      <c r="AP26" s="242">
        <v>9</v>
      </c>
      <c r="AQ26" s="243">
        <v>4</v>
      </c>
      <c r="AR26" s="244" t="s">
        <v>32</v>
      </c>
      <c r="AS26" s="243" t="s">
        <v>33</v>
      </c>
      <c r="AT26" s="248" t="s">
        <v>199</v>
      </c>
      <c r="AU26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4.666666666666667</v>
      </c>
      <c r="AV26" s="246" t="str">
        <f>IF(AU26&gt;9,"SuperStar",IF(AU26&gt;8,"Star",IF(AU26&gt;6.5,"GoodReg",IF(AU26&gt;5,"Reg",IF(AU26&gt;4,"Bench","Minors")))))</f>
        <v>Bench</v>
      </c>
      <c r="AW26" s="245">
        <f>AVERAGE(X26,Z26,AA26)+IF(OR(X26&gt;7,AND(X26&gt;5,AA26&gt;5)),0.5,0)+IF(Z26&gt;7,0.25,0)+IF(X26&lt;6,-0.5*(6-X26),0)</f>
        <v>4.666666666666667</v>
      </c>
      <c r="AX26" s="245" t="str">
        <f>IF(AW26&gt;9,"SuperStar",IF(AW26&gt;8,"Star",IF(AW26&gt;6.5,"GoodReg",IF(AW26&gt;5,"Reg",IF(AW26&gt;4,"Bench","Minors")))))</f>
        <v>Bench</v>
      </c>
      <c r="AY26" s="246">
        <f>MIN(AU26+(MAX(0,25-L26))^1.5,AW26)</f>
        <v>4.666666666666667</v>
      </c>
      <c r="AZ26" s="246" t="str">
        <f>IF(AY26&gt;9,"SuperStar",IF(AY26&gt;8,"Star",IF(AY26&gt;6.5,"GoodReg",IF(AY26&gt;5,"Reg",IF(AY26&gt;4,"Bench","Minors")))))</f>
        <v>Bench</v>
      </c>
      <c r="BA26" s="247">
        <f>IF(AND(OR(S26+V26&gt;12,AND(S26&gt;6,V26&gt;6)),AO26&gt;6,OR(AP26&gt;=AO26,AP26&gt;6)),1,0)</f>
        <v>0</v>
      </c>
      <c r="BB26" s="248">
        <f>IF(OR(AND(S26&gt;6,W26&gt;6),S26+V26&gt;12),1,0)</f>
        <v>0</v>
      </c>
      <c r="BC26" s="248">
        <f>IF(AND(S26&gt;6,U26&gt;6,V26&gt;6),1,0)</f>
        <v>0</v>
      </c>
      <c r="BD26" s="248">
        <f>IF(AND(U26&gt;7,OR(S26&gt;6,V26&gt;6)),1,0)</f>
        <v>0</v>
      </c>
      <c r="BE26" s="248">
        <f>IF(AND(U26&gt;6,OR(S26&gt;6,V26&gt;6)),1,0)</f>
        <v>0</v>
      </c>
      <c r="BF26" s="248">
        <f>IF(AND(OR(S26&gt;6,U26&gt;6),OR(S26&gt;6,V26&gt;6)),1,0)</f>
        <v>0</v>
      </c>
      <c r="BG26" s="248">
        <f>IF(AND(S26&gt;4,OR(S26&gt;6,U26&gt;6,V26&gt;6)),1,0)</f>
        <v>0</v>
      </c>
      <c r="BH26" s="248">
        <f>IF(AND(S26&gt;4,OR(S26&gt;6,T26&gt;6,U26&gt;6,V26&gt;6)),1,0)</f>
        <v>0</v>
      </c>
      <c r="BI26" s="243">
        <f>IF(AND(S26&gt;4,MAX(S26:W26)&gt;6),1,0)</f>
        <v>0</v>
      </c>
      <c r="BJ26" s="247">
        <f>IF(AND(OR(X26+AA26&gt;12,AND(X26&gt;6,AA26&gt;6)),AO26&gt;6,OR(AP26&gt;=AO26,AP26&gt;6)),1,0)</f>
        <v>0</v>
      </c>
      <c r="BK26" s="248">
        <f>IF(OR(AND(X26&gt;6,AB26&gt;6),X26+AA26&gt;12),1,0)</f>
        <v>0</v>
      </c>
      <c r="BL26" s="248">
        <f>IF(AND(X26&gt;6,Z26&gt;6,AA26&gt;6),1,0)</f>
        <v>0</v>
      </c>
      <c r="BM26" s="248">
        <f>IF(AND(Z26&gt;7,OR(X26&gt;6,AA26&gt;6)),1,0)</f>
        <v>0</v>
      </c>
      <c r="BN26" s="248">
        <f>IF(AND(Z26&gt;6,OR(X26&gt;6,AA26&gt;6)),1,0)</f>
        <v>0</v>
      </c>
      <c r="BO26" s="248">
        <f>IF(AND(OR(X26&gt;6,Z26&gt;6),OR(X26&gt;6,AA26&gt;6)),1,0)</f>
        <v>0</v>
      </c>
      <c r="BP26" s="248">
        <f>IF(AND(X26&gt;4,OR(X26&gt;6,Z26&gt;6,AA26&gt;6)),1,0)</f>
        <v>0</v>
      </c>
      <c r="BQ26" s="248">
        <f>IF(AND(X26&gt;4,OR(X26&gt;6,Y26&gt;6,Z26&gt;6,AA26&gt;6)),1,0)</f>
        <v>0</v>
      </c>
      <c r="BR26" s="243">
        <f>IF(AND(X26&gt;4,MAX(X26:AB26)&gt;6),1,0)</f>
        <v>0</v>
      </c>
      <c r="BS26" s="243">
        <f>IF(AVERAGE(AO26:AP26)&gt;9,1,0)+IF(AVERAGE(AO26:AP26)&gt;7,1,0)+IF(AO26&gt;7,1,0)+IF(AP26&gt;7,1,0)+IF(AQ26&gt;8,1,0)+IF(AQ26&gt;6,1,0)</f>
        <v>3</v>
      </c>
      <c r="BT26" s="249">
        <f>IF(OR(MAX(AG26,AH26,AL26,AN26)&gt;6,MAX(AI26,AJ26,AK26,AM26)&gt;7),2,IF(MAX(AG26:AN26)&gt;4,1,0))</f>
        <v>0</v>
      </c>
      <c r="BU26" s="242" t="str">
        <f>IF(AS26=1,"Yes","")</f>
        <v/>
      </c>
      <c r="BV26" s="241" t="str">
        <f>IF($B26="ML","There",IF(AND($X26&gt;=6,AVERAGE($Z26:$AA26)&gt;=6),"Likely",IF(OR($X26&gt;6,AND($X26=6,AVERAGE($Z26:$AA26)&gt;=3),AND($X26&gt;=5,AVERAGE($Z26:$AA26)&gt;=5),AVERAGE($X26,$Z26:$AA26)&gt;5),"Possible","Unlikely")))</f>
        <v>Possible</v>
      </c>
      <c r="BW26" s="242" t="str">
        <f>IF(OR(AND(S26&gt;=6,U26+V26&gt;=12),S26&gt;7),"Start",IF(AND(S26&gt;=5,U26+V26&gt;=8),"Bench","aack!"))</f>
        <v>aack!</v>
      </c>
      <c r="BX26" s="242" t="str">
        <f>IF(OR(AND(X26&gt;=6,Z26+AA26&gt;=12),X26&gt;7),"Start",IF(AND(X26&gt;=5,Z26+AA26&gt;=8),"Bench","aack!"))</f>
        <v>aack!</v>
      </c>
      <c r="BY26" s="242" t="str">
        <f>IF(S26&gt;5,"ML",IF(S26=5,"AAA",IF(S26=4,"AA",IF(S26=3,"A","SS-A"))))</f>
        <v>AA</v>
      </c>
      <c r="BZ26" s="242">
        <f>S26-X26</f>
        <v>0</v>
      </c>
      <c r="CA26" s="242">
        <f>T26-Y26</f>
        <v>0</v>
      </c>
      <c r="CB26" s="242">
        <f>U26-Z26</f>
        <v>0</v>
      </c>
      <c r="CC26" s="242">
        <f>V26-AA26</f>
        <v>0</v>
      </c>
      <c r="CD26" s="242">
        <f>W26-AB26</f>
        <v>0</v>
      </c>
      <c r="CE26" s="242">
        <f>SUM(BZ26:CD26)</f>
        <v>0</v>
      </c>
      <c r="CF26" s="242">
        <f>X26+Z26+AA26</f>
        <v>17</v>
      </c>
      <c r="CG26" s="242">
        <f>X26+Z26</f>
        <v>10</v>
      </c>
      <c r="CH26" s="242">
        <f>X26+AA26</f>
        <v>11</v>
      </c>
      <c r="CI26" s="242" t="str">
        <f>IF(L26&gt;24,"Now - Age",IF(S26&gt;6,"Now",IF(X26&lt;6,"With Dev",MIN(X26-S26,7-S26))))</f>
        <v>Now - Age</v>
      </c>
      <c r="CJ26" s="257" t="str">
        <f>IF(AG26&lt;&gt;"-","X","")</f>
        <v/>
      </c>
      <c r="CK26" s="257" t="str">
        <f>IF(AND(AH26&lt;&gt;"-",AH26&gt;5),"X","")</f>
        <v/>
      </c>
      <c r="CL26" s="257" t="str">
        <f>IF(AND(AI26&lt;&gt;"-",AI26&gt;5),"X","")</f>
        <v/>
      </c>
      <c r="CM26" s="257" t="str">
        <f>IF(AND(AJ26&lt;&gt;"-",AJ26&gt;4,AC26&gt;6),"X","")</f>
        <v/>
      </c>
      <c r="CN26" s="257" t="str">
        <f>IF(AND(AK26&lt;&gt;"-",AK26&gt;5,AC26&gt;5),"X","")</f>
        <v/>
      </c>
      <c r="CO26" s="257" t="str">
        <f>IF(AND(AL26&lt;&gt;"-",AL26&gt;3),"X","")</f>
        <v/>
      </c>
      <c r="CP26" s="257" t="str">
        <f>IF(AND(AM26&lt;&gt;"-",AM26&gt;6),"X","")</f>
        <v/>
      </c>
      <c r="CQ26" s="257" t="str">
        <f>IF(AND(AN26&lt;&gt;"-",AN26&gt;5,AD26&gt;6),"X","")</f>
        <v/>
      </c>
      <c r="CR26" s="257" t="str">
        <f>IF(COUNTBLANK(CJ26:CQ26)=8,"X","")</f>
        <v>X</v>
      </c>
    </row>
    <row r="27" spans="1:96" s="306" customFormat="1" x14ac:dyDescent="0.25">
      <c r="A27" s="240" t="str">
        <f>H27&amp;" "&amp;I27</f>
        <v>Iwao Yamamoto</v>
      </c>
      <c r="B27" s="240" t="str">
        <f>IF(ISERROR(VLOOKUP(A27,AMA!$C$3:$C$24,1,FALSE)),IF(ISERROR(VLOOKUP(A27,'END-AAA'!$C$6:$C$33,1,FALSE)),IF(ISERROR(VLOOKUP(A27,'DB-AA'!$C$6:$C$33,1,FALSE)),IF(ISERROR(VLOOKUP(A27,'UTR-A'!$C$6:$C$33,1,FALSE)),IF(ISERROR(VLOOKUP(A27,'FAI-S A'!$C$6:$C$33,1,FALSE)),"","S A"),"A"),"AA"),"AAA"),"ML")</f>
        <v/>
      </c>
      <c r="C27" s="241"/>
      <c r="D27" s="242">
        <f>IF(BL27=1,3,IF(BM27=1,4,IF(BJ27=1,1,IF(BN27=1,5,IF(BK27=1,2,IF(BO27=1,6,IF(BP27=1,7,IF(BQ27=1,8,IF(BR27=1,9,"-")))))))))</f>
        <v>2</v>
      </c>
      <c r="E27" s="242">
        <f>IF(BC27=1,3,IF(BD27=1,4,IF(BA27=1,1,IF(BE27=1,5,IF(BB27=1,2,IF(BF27=1,6,IF(BG27=1,7,IF(BH27=1,8,IF(BI27=1,9,"-")))))))))</f>
        <v>7</v>
      </c>
      <c r="F27" s="242" t="str">
        <f>IF(OR(OR(Q27="Very High",Q27="High"),AND(OR(Q27="Very High",Q27="High",Q27="Normal"),OR(R27="Very High",R27="High"))),"K","T")</f>
        <v>K</v>
      </c>
      <c r="G27" s="242" t="s">
        <v>71</v>
      </c>
      <c r="H27" s="242" t="s">
        <v>539</v>
      </c>
      <c r="I27" s="242" t="s">
        <v>864</v>
      </c>
      <c r="J27" s="242" t="s">
        <v>814</v>
      </c>
      <c r="K27" s="242" t="s">
        <v>187</v>
      </c>
      <c r="L27" s="242">
        <v>20</v>
      </c>
      <c r="M27" s="242" t="s">
        <v>83</v>
      </c>
      <c r="N27" s="242" t="s">
        <v>83</v>
      </c>
      <c r="O27" s="242" t="s">
        <v>808</v>
      </c>
      <c r="P27" s="243" t="s">
        <v>765</v>
      </c>
      <c r="Q27" s="242" t="s">
        <v>199</v>
      </c>
      <c r="R27" s="243" t="s">
        <v>199</v>
      </c>
      <c r="S27" s="242">
        <v>5</v>
      </c>
      <c r="T27" s="242">
        <v>4</v>
      </c>
      <c r="U27" s="242">
        <v>3</v>
      </c>
      <c r="V27" s="242">
        <v>7</v>
      </c>
      <c r="W27" s="243">
        <v>3</v>
      </c>
      <c r="X27" s="242">
        <v>9</v>
      </c>
      <c r="Y27" s="242">
        <v>4</v>
      </c>
      <c r="Z27" s="242">
        <v>3</v>
      </c>
      <c r="AA27" s="242">
        <v>10</v>
      </c>
      <c r="AB27" s="243">
        <v>7</v>
      </c>
      <c r="AC27" s="242">
        <v>2</v>
      </c>
      <c r="AD27" s="242">
        <v>3</v>
      </c>
      <c r="AE27" s="242">
        <v>7</v>
      </c>
      <c r="AF27" s="242">
        <v>3</v>
      </c>
      <c r="AG27" s="242">
        <v>3</v>
      </c>
      <c r="AH27" s="242" t="s">
        <v>32</v>
      </c>
      <c r="AI27" s="242" t="s">
        <v>32</v>
      </c>
      <c r="AJ27" s="242" t="s">
        <v>32</v>
      </c>
      <c r="AK27" s="242" t="s">
        <v>32</v>
      </c>
      <c r="AL27" s="242" t="s">
        <v>32</v>
      </c>
      <c r="AM27" s="242" t="s">
        <v>32</v>
      </c>
      <c r="AN27" s="243" t="s">
        <v>32</v>
      </c>
      <c r="AO27" s="242">
        <v>5</v>
      </c>
      <c r="AP27" s="242">
        <v>6</v>
      </c>
      <c r="AQ27" s="243">
        <v>3</v>
      </c>
      <c r="AR27" s="244" t="s">
        <v>32</v>
      </c>
      <c r="AS27" s="243">
        <v>0</v>
      </c>
      <c r="AT27" s="248" t="s">
        <v>779</v>
      </c>
      <c r="AU27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4.5</v>
      </c>
      <c r="AV27" s="246" t="str">
        <f>IF(AU27&gt;9,"SuperStar",IF(AU27&gt;8,"Star",IF(AU27&gt;6.5,"GoodReg",IF(AU27&gt;5,"Reg",IF(AU27&gt;4,"Bench","Minors")))))</f>
        <v>Bench</v>
      </c>
      <c r="AW27" s="245">
        <f>AVERAGE(X27,Z27,AA27)+IF(OR(X27&gt;7,AND(X27&gt;5,AA27&gt;5)),0.5,0)+IF(Z27&gt;7,0.25,0)+IF(X27&lt;6,-0.5*(6-X27),0)</f>
        <v>7.833333333333333</v>
      </c>
      <c r="AX27" s="245" t="str">
        <f>IF(AW27&gt;9,"SuperStar",IF(AW27&gt;8,"Star",IF(AW27&gt;6.5,"GoodReg",IF(AW27&gt;5,"Reg",IF(AW27&gt;4,"Bench","Minors")))))</f>
        <v>GoodReg</v>
      </c>
      <c r="AY27" s="246">
        <f>MIN(AU27+(MAX(0,25-L27))^1.5,AW27)</f>
        <v>7.833333333333333</v>
      </c>
      <c r="AZ27" s="246" t="str">
        <f>IF(AY27&gt;9,"SuperStar",IF(AY27&gt;8,"Star",IF(AY27&gt;6.5,"GoodReg",IF(AY27&gt;5,"Reg",IF(AY27&gt;4,"Bench","Minors")))))</f>
        <v>GoodReg</v>
      </c>
      <c r="BA27" s="247">
        <f>IF(AND(OR(S27+V27&gt;12,AND(S27&gt;6,V27&gt;6)),AO27&gt;6,OR(AP27&gt;=AO27,AP27&gt;6)),1,0)</f>
        <v>0</v>
      </c>
      <c r="BB27" s="248">
        <f>IF(OR(AND(S27&gt;6,W27&gt;6),S27+V27&gt;12),1,0)</f>
        <v>0</v>
      </c>
      <c r="BC27" s="248">
        <f>IF(AND(S27&gt;6,U27&gt;6,V27&gt;6),1,0)</f>
        <v>0</v>
      </c>
      <c r="BD27" s="248">
        <f>IF(AND(U27&gt;7,OR(S27&gt;6,V27&gt;6)),1,0)</f>
        <v>0</v>
      </c>
      <c r="BE27" s="248">
        <f>IF(AND(U27&gt;6,OR(S27&gt;6,V27&gt;6)),1,0)</f>
        <v>0</v>
      </c>
      <c r="BF27" s="248">
        <f>IF(AND(OR(S27&gt;6,U27&gt;6),OR(S27&gt;6,V27&gt;6)),1,0)</f>
        <v>0</v>
      </c>
      <c r="BG27" s="248">
        <f>IF(AND(S27&gt;4,OR(S27&gt;6,U27&gt;6,V27&gt;6)),1,0)</f>
        <v>1</v>
      </c>
      <c r="BH27" s="248">
        <f>IF(AND(S27&gt;4,OR(S27&gt;6,T27&gt;6,U27&gt;6,V27&gt;6)),1,0)</f>
        <v>1</v>
      </c>
      <c r="BI27" s="243">
        <f>IF(AND(S27&gt;4,MAX(S27:W27)&gt;6),1,0)</f>
        <v>1</v>
      </c>
      <c r="BJ27" s="247">
        <f>IF(AND(OR(X27+AA27&gt;12,AND(X27&gt;6,AA27&gt;6)),AO27&gt;6,OR(AP27&gt;=AO27,AP27&gt;6)),1,0)</f>
        <v>0</v>
      </c>
      <c r="BK27" s="248">
        <f>IF(OR(AND(X27&gt;6,AB27&gt;6),X27+AA27&gt;12),1,0)</f>
        <v>1</v>
      </c>
      <c r="BL27" s="248">
        <f>IF(AND(X27&gt;6,Z27&gt;6,AA27&gt;6),1,0)</f>
        <v>0</v>
      </c>
      <c r="BM27" s="248">
        <f>IF(AND(Z27&gt;7,OR(X27&gt;6,AA27&gt;6)),1,0)</f>
        <v>0</v>
      </c>
      <c r="BN27" s="248">
        <f>IF(AND(Z27&gt;6,OR(X27&gt;6,AA27&gt;6)),1,0)</f>
        <v>0</v>
      </c>
      <c r="BO27" s="248">
        <f>IF(AND(OR(X27&gt;6,Z27&gt;6),OR(X27&gt;6,AA27&gt;6)),1,0)</f>
        <v>1</v>
      </c>
      <c r="BP27" s="248">
        <f>IF(AND(X27&gt;4,OR(X27&gt;6,Z27&gt;6,AA27&gt;6)),1,0)</f>
        <v>1</v>
      </c>
      <c r="BQ27" s="248">
        <f>IF(AND(X27&gt;4,OR(X27&gt;6,Y27&gt;6,Z27&gt;6,AA27&gt;6)),1,0)</f>
        <v>1</v>
      </c>
      <c r="BR27" s="243">
        <f>IF(AND(X27&gt;4,MAX(X27:AB27)&gt;6),1,0)</f>
        <v>1</v>
      </c>
      <c r="BS27" s="243">
        <f>IF(AVERAGE(AO27:AP27)&gt;9,1,0)+IF(AVERAGE(AO27:AP27)&gt;7,1,0)+IF(AO27&gt;7,1,0)+IF(AP27&gt;7,1,0)+IF(AQ27&gt;8,1,0)+IF(AQ27&gt;6,1,0)</f>
        <v>0</v>
      </c>
      <c r="BT27" s="249">
        <f>IF(OR(MAX(AG27,AH27,AL27,AN27)&gt;6,MAX(AI27,AJ27,AK27,AM27)&gt;7),2,IF(MAX(AG27:AN27)&gt;4,1,0))</f>
        <v>0</v>
      </c>
      <c r="BU27" s="242" t="str">
        <f>IF(AS27=1,"Yes","")</f>
        <v/>
      </c>
      <c r="BV27" s="241" t="str">
        <f>IF($B27="ML","There",IF(AND($X27&gt;=6,AVERAGE($Z27:$AA27)&gt;=6),"Likely",IF(OR($X27&gt;6,AND($X27=6,AVERAGE($Z27:$AA27)&gt;=3),AND($X27&gt;=5,AVERAGE($Z27:$AA27)&gt;=5),AVERAGE($X27,$Z27:$AA27)&gt;5),"Possible","Unlikely")))</f>
        <v>Likely</v>
      </c>
      <c r="BW27" s="242" t="str">
        <f>IF(OR(AND(S27&gt;=6,U27+V27&gt;=12),S27&gt;7),"Start",IF(AND(S27&gt;=5,U27+V27&gt;=8),"Bench","aack!"))</f>
        <v>Bench</v>
      </c>
      <c r="BX27" s="242" t="str">
        <f>IF(OR(AND(X27&gt;=6,Z27+AA27&gt;=12),X27&gt;7),"Start",IF(AND(X27&gt;=5,Z27+AA27&gt;=8),"Bench","aack!"))</f>
        <v>Start</v>
      </c>
      <c r="BY27" s="242" t="str">
        <f>IF(S27&gt;5,"ML",IF(S27=5,"AAA",IF(S27=4,"AA",IF(S27=3,"A","SS-A"))))</f>
        <v>AAA</v>
      </c>
      <c r="BZ27" s="242">
        <f>S27-X27</f>
        <v>-4</v>
      </c>
      <c r="CA27" s="242">
        <f>T27-Y27</f>
        <v>0</v>
      </c>
      <c r="CB27" s="242">
        <f>U27-Z27</f>
        <v>0</v>
      </c>
      <c r="CC27" s="242">
        <f>V27-AA27</f>
        <v>-3</v>
      </c>
      <c r="CD27" s="242">
        <f>W27-AB27</f>
        <v>-4</v>
      </c>
      <c r="CE27" s="242">
        <f>SUM(BZ27:CD27)</f>
        <v>-11</v>
      </c>
      <c r="CF27" s="242">
        <f>X27+Z27+AA27</f>
        <v>22</v>
      </c>
      <c r="CG27" s="242">
        <f>X27+Z27</f>
        <v>12</v>
      </c>
      <c r="CH27" s="242">
        <f>X27+AA27</f>
        <v>19</v>
      </c>
      <c r="CI27" s="242">
        <f>IF(L27&gt;24,"Now - Age",IF(S27&gt;6,"Now",IF(X27&lt;6,"With Dev",MIN(X27-S27,7-S27))))</f>
        <v>2</v>
      </c>
      <c r="CJ27" s="257" t="str">
        <f>IF(AG27&lt;&gt;"-","X","")</f>
        <v>X</v>
      </c>
      <c r="CK27" s="257" t="str">
        <f>IF(AND(AH27&lt;&gt;"-",AH27&gt;5),"X","")</f>
        <v/>
      </c>
      <c r="CL27" s="257" t="str">
        <f>IF(AND(AI27&lt;&gt;"-",AI27&gt;5),"X","")</f>
        <v/>
      </c>
      <c r="CM27" s="257" t="str">
        <f>IF(AND(AJ27&lt;&gt;"-",AJ27&gt;4,AC27&gt;6),"X","")</f>
        <v/>
      </c>
      <c r="CN27" s="257" t="str">
        <f>IF(AND(AK27&lt;&gt;"-",AK27&gt;5,AC27&gt;5),"X","")</f>
        <v/>
      </c>
      <c r="CO27" s="257" t="str">
        <f>IF(AND(AL27&lt;&gt;"-",AL27&gt;3),"X","")</f>
        <v/>
      </c>
      <c r="CP27" s="257" t="str">
        <f>IF(AND(AM27&lt;&gt;"-",AM27&gt;6),"X","")</f>
        <v/>
      </c>
      <c r="CQ27" s="257" t="str">
        <f>IF(AND(AN27&lt;&gt;"-",AN27&gt;5,AD27&gt;6),"X","")</f>
        <v/>
      </c>
      <c r="CR27" s="257" t="str">
        <f>IF(COUNTBLANK(CJ27:CQ27)=8,"X","")</f>
        <v/>
      </c>
    </row>
    <row r="28" spans="1:96" s="306" customFormat="1" x14ac:dyDescent="0.25">
      <c r="A28" s="240" t="str">
        <f>H28&amp;" "&amp;I28</f>
        <v>Bum-kyoo Kim</v>
      </c>
      <c r="B28" s="240" t="str">
        <f>IF(ISERROR(VLOOKUP(A28,AMA!$C$3:$C$24,1,FALSE)),IF(ISERROR(VLOOKUP(A28,'END-AAA'!$C$6:$C$33,1,FALSE)),IF(ISERROR(VLOOKUP(A28,'DB-AA'!$C$6:$C$33,1,FALSE)),IF(ISERROR(VLOOKUP(A28,'UTR-A'!$C$6:$C$33,1,FALSE)),IF(ISERROR(VLOOKUP(A28,'FAI-S A'!$C$6:$C$33,1,FALSE)),"","S A"),"A"),"AA"),"AAA"),"ML")</f>
        <v/>
      </c>
      <c r="C28" s="241"/>
      <c r="D28" s="242" t="str">
        <f>IF(BL28=1,3,IF(BM28=1,4,IF(BJ28=1,1,IF(BN28=1,5,IF(BK28=1,2,IF(BO28=1,6,IF(BP28=1,7,IF(BQ28=1,8,IF(BR28=1,9,"-")))))))))</f>
        <v>-</v>
      </c>
      <c r="E28" s="242" t="str">
        <f>IF(BC28=1,3,IF(BD28=1,4,IF(BA28=1,1,IF(BE28=1,5,IF(BB28=1,2,IF(BF28=1,6,IF(BG28=1,7,IF(BH28=1,8,IF(BI28=1,9,"-")))))))))</f>
        <v>-</v>
      </c>
      <c r="F28" s="242" t="str">
        <f>IF(OR(OR(Q28="Very High",Q28="High"),AND(OR(Q28="Very High",Q28="High",Q28="Normal"),OR(R28="Very High",R28="High"))),"K","T")</f>
        <v>T</v>
      </c>
      <c r="G28" s="242" t="s">
        <v>71</v>
      </c>
      <c r="H28" s="242" t="s">
        <v>818</v>
      </c>
      <c r="I28" s="242" t="s">
        <v>426</v>
      </c>
      <c r="J28" s="242" t="s">
        <v>783</v>
      </c>
      <c r="K28" s="242" t="s">
        <v>185</v>
      </c>
      <c r="L28" s="242">
        <v>23</v>
      </c>
      <c r="M28" s="242" t="s">
        <v>83</v>
      </c>
      <c r="N28" s="242" t="s">
        <v>83</v>
      </c>
      <c r="O28" s="242" t="s">
        <v>764</v>
      </c>
      <c r="P28" s="243" t="s">
        <v>764</v>
      </c>
      <c r="Q28" s="242" t="s">
        <v>201</v>
      </c>
      <c r="R28" s="243" t="s">
        <v>201</v>
      </c>
      <c r="S28" s="242">
        <v>5</v>
      </c>
      <c r="T28" s="242">
        <v>6</v>
      </c>
      <c r="U28" s="242">
        <v>4</v>
      </c>
      <c r="V28" s="242">
        <v>6</v>
      </c>
      <c r="W28" s="243">
        <v>6</v>
      </c>
      <c r="X28" s="242">
        <v>5</v>
      </c>
      <c r="Y28" s="242">
        <v>6</v>
      </c>
      <c r="Z28" s="242">
        <v>4</v>
      </c>
      <c r="AA28" s="242">
        <v>6</v>
      </c>
      <c r="AB28" s="243">
        <v>6</v>
      </c>
      <c r="AC28" s="242">
        <v>4</v>
      </c>
      <c r="AD28" s="242">
        <v>3</v>
      </c>
      <c r="AE28" s="242">
        <v>6</v>
      </c>
      <c r="AF28" s="242">
        <v>7</v>
      </c>
      <c r="AG28" s="242">
        <v>7</v>
      </c>
      <c r="AH28" s="242" t="s">
        <v>32</v>
      </c>
      <c r="AI28" s="242" t="s">
        <v>32</v>
      </c>
      <c r="AJ28" s="242" t="s">
        <v>32</v>
      </c>
      <c r="AK28" s="242" t="s">
        <v>32</v>
      </c>
      <c r="AL28" s="242" t="s">
        <v>32</v>
      </c>
      <c r="AM28" s="242" t="s">
        <v>32</v>
      </c>
      <c r="AN28" s="243" t="s">
        <v>32</v>
      </c>
      <c r="AO28" s="242">
        <v>1</v>
      </c>
      <c r="AP28" s="242">
        <v>1</v>
      </c>
      <c r="AQ28" s="243">
        <v>1</v>
      </c>
      <c r="AR28" s="244">
        <v>510000</v>
      </c>
      <c r="AS28" s="243" t="s">
        <v>33</v>
      </c>
      <c r="AT28" s="248" t="s">
        <v>779</v>
      </c>
      <c r="AU28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4.5</v>
      </c>
      <c r="AV28" s="246" t="str">
        <f>IF(AU28&gt;9,"SuperStar",IF(AU28&gt;8,"Star",IF(AU28&gt;6.5,"GoodReg",IF(AU28&gt;5,"Reg",IF(AU28&gt;4,"Bench","Minors")))))</f>
        <v>Bench</v>
      </c>
      <c r="AW28" s="245">
        <f>AVERAGE(X28,Z28,AA28)+IF(OR(X28&gt;7,AND(X28&gt;5,AA28&gt;5)),0.5,0)+IF(Z28&gt;7,0.25,0)+IF(X28&lt;6,-0.5*(6-X28),0)</f>
        <v>4.5</v>
      </c>
      <c r="AX28" s="245" t="str">
        <f>IF(AW28&gt;9,"SuperStar",IF(AW28&gt;8,"Star",IF(AW28&gt;6.5,"GoodReg",IF(AW28&gt;5,"Reg",IF(AW28&gt;4,"Bench","Minors")))))</f>
        <v>Bench</v>
      </c>
      <c r="AY28" s="246">
        <f>MIN(AU28+(MAX(0,25-L28))^1.5,AW28)</f>
        <v>4.5</v>
      </c>
      <c r="AZ28" s="246" t="str">
        <f>IF(AY28&gt;9,"SuperStar",IF(AY28&gt;8,"Star",IF(AY28&gt;6.5,"GoodReg",IF(AY28&gt;5,"Reg",IF(AY28&gt;4,"Bench","Minors")))))</f>
        <v>Bench</v>
      </c>
      <c r="BA28" s="247">
        <f>IF(AND(OR(S28+V28&gt;12,AND(S28&gt;6,V28&gt;6)),AO28&gt;6,OR(AP28&gt;=AO28,AP28&gt;6)),1,0)</f>
        <v>0</v>
      </c>
      <c r="BB28" s="248">
        <f>IF(OR(AND(S28&gt;6,W28&gt;6),S28+V28&gt;12),1,0)</f>
        <v>0</v>
      </c>
      <c r="BC28" s="248">
        <f>IF(AND(S28&gt;6,U28&gt;6,V28&gt;6),1,0)</f>
        <v>0</v>
      </c>
      <c r="BD28" s="248">
        <f>IF(AND(U28&gt;7,OR(S28&gt;6,V28&gt;6)),1,0)</f>
        <v>0</v>
      </c>
      <c r="BE28" s="248">
        <f>IF(AND(U28&gt;6,OR(S28&gt;6,V28&gt;6)),1,0)</f>
        <v>0</v>
      </c>
      <c r="BF28" s="248">
        <f>IF(AND(OR(S28&gt;6,U28&gt;6),OR(S28&gt;6,V28&gt;6)),1,0)</f>
        <v>0</v>
      </c>
      <c r="BG28" s="248">
        <f>IF(AND(S28&gt;4,OR(S28&gt;6,U28&gt;6,V28&gt;6)),1,0)</f>
        <v>0</v>
      </c>
      <c r="BH28" s="248">
        <f>IF(AND(S28&gt;4,OR(S28&gt;6,T28&gt;6,U28&gt;6,V28&gt;6)),1,0)</f>
        <v>0</v>
      </c>
      <c r="BI28" s="243">
        <f>IF(AND(S28&gt;4,MAX(S28:W28)&gt;6),1,0)</f>
        <v>0</v>
      </c>
      <c r="BJ28" s="247">
        <f>IF(AND(OR(X28+AA28&gt;12,AND(X28&gt;6,AA28&gt;6)),AO28&gt;6,OR(AP28&gt;=AO28,AP28&gt;6)),1,0)</f>
        <v>0</v>
      </c>
      <c r="BK28" s="248">
        <f>IF(OR(AND(X28&gt;6,AB28&gt;6),X28+AA28&gt;12),1,0)</f>
        <v>0</v>
      </c>
      <c r="BL28" s="248">
        <f>IF(AND(X28&gt;6,Z28&gt;6,AA28&gt;6),1,0)</f>
        <v>0</v>
      </c>
      <c r="BM28" s="248">
        <f>IF(AND(Z28&gt;7,OR(X28&gt;6,AA28&gt;6)),1,0)</f>
        <v>0</v>
      </c>
      <c r="BN28" s="248">
        <f>IF(AND(Z28&gt;6,OR(X28&gt;6,AA28&gt;6)),1,0)</f>
        <v>0</v>
      </c>
      <c r="BO28" s="248">
        <f>IF(AND(OR(X28&gt;6,Z28&gt;6),OR(X28&gt;6,AA28&gt;6)),1,0)</f>
        <v>0</v>
      </c>
      <c r="BP28" s="248">
        <f>IF(AND(X28&gt;4,OR(X28&gt;6,Z28&gt;6,AA28&gt;6)),1,0)</f>
        <v>0</v>
      </c>
      <c r="BQ28" s="248">
        <f>IF(AND(X28&gt;4,OR(X28&gt;6,Y28&gt;6,Z28&gt;6,AA28&gt;6)),1,0)</f>
        <v>0</v>
      </c>
      <c r="BR28" s="243">
        <f>IF(AND(X28&gt;4,MAX(X28:AB28)&gt;6),1,0)</f>
        <v>0</v>
      </c>
      <c r="BS28" s="243">
        <f>IF(AVERAGE(AO28:AP28)&gt;9,1,0)+IF(AVERAGE(AO28:AP28)&gt;7,1,0)+IF(AO28&gt;7,1,0)+IF(AP28&gt;7,1,0)+IF(AQ28&gt;8,1,0)+IF(AQ28&gt;6,1,0)</f>
        <v>0</v>
      </c>
      <c r="BT28" s="249">
        <f>IF(OR(MAX(AG28,AH28,AL28,AN28)&gt;6,MAX(AI28,AJ28,AK28,AM28)&gt;7),2,IF(MAX(AG28:AN28)&gt;4,1,0))</f>
        <v>2</v>
      </c>
      <c r="BU28" s="242" t="str">
        <f>IF(AS28=1,"Yes","")</f>
        <v/>
      </c>
      <c r="BV28" s="241" t="str">
        <f>IF($B28="ML","There",IF(AND($X28&gt;=6,AVERAGE($Z28:$AA28)&gt;=6),"Likely",IF(OR($X28&gt;6,AND($X28=6,AVERAGE($Z28:$AA28)&gt;=3),AND($X28&gt;=5,AVERAGE($Z28:$AA28)&gt;=5),AVERAGE($X28,$Z28:$AA28)&gt;5),"Possible","Unlikely")))</f>
        <v>Possible</v>
      </c>
      <c r="BW28" s="242" t="str">
        <f>IF(OR(AND(S28&gt;=6,U28+V28&gt;=12),S28&gt;7),"Start",IF(AND(S28&gt;=5,U28+V28&gt;=8),"Bench","aack!"))</f>
        <v>Bench</v>
      </c>
      <c r="BX28" s="242" t="str">
        <f>IF(OR(AND(X28&gt;=6,Z28+AA28&gt;=12),X28&gt;7),"Start",IF(AND(X28&gt;=5,Z28+AA28&gt;=8),"Bench","aack!"))</f>
        <v>Bench</v>
      </c>
      <c r="BY28" s="242" t="str">
        <f>IF(S28&gt;5,"ML",IF(S28=5,"AAA",IF(S28=4,"AA",IF(S28=3,"A","SS-A"))))</f>
        <v>AAA</v>
      </c>
      <c r="BZ28" s="242">
        <f>S28-X28</f>
        <v>0</v>
      </c>
      <c r="CA28" s="242">
        <f>T28-Y28</f>
        <v>0</v>
      </c>
      <c r="CB28" s="242">
        <f>U28-Z28</f>
        <v>0</v>
      </c>
      <c r="CC28" s="242">
        <f>V28-AA28</f>
        <v>0</v>
      </c>
      <c r="CD28" s="242">
        <f>W28-AB28</f>
        <v>0</v>
      </c>
      <c r="CE28" s="242">
        <f>SUM(BZ28:CD28)</f>
        <v>0</v>
      </c>
      <c r="CF28" s="242">
        <f>X28+Z28+AA28</f>
        <v>15</v>
      </c>
      <c r="CG28" s="242">
        <f>X28+Z28</f>
        <v>9</v>
      </c>
      <c r="CH28" s="242">
        <f>X28+AA28</f>
        <v>11</v>
      </c>
      <c r="CI28" s="242" t="str">
        <f>IF(L28&gt;24,"Now - Age",IF(S28&gt;6,"Now",IF(X28&lt;6,"With Dev",MIN(X28-S28,7-S28))))</f>
        <v>With Dev</v>
      </c>
      <c r="CJ28" s="257" t="str">
        <f>IF(AG28&lt;&gt;"-","X","")</f>
        <v>X</v>
      </c>
      <c r="CK28" s="257" t="str">
        <f>IF(AND(AH28&lt;&gt;"-",AH28&gt;5),"X","")</f>
        <v/>
      </c>
      <c r="CL28" s="257" t="str">
        <f>IF(AND(AI28&lt;&gt;"-",AI28&gt;5),"X","")</f>
        <v/>
      </c>
      <c r="CM28" s="257" t="str">
        <f>IF(AND(AJ28&lt;&gt;"-",AJ28&gt;4,AC28&gt;6),"X","")</f>
        <v/>
      </c>
      <c r="CN28" s="257" t="str">
        <f>IF(AND(AK28&lt;&gt;"-",AK28&gt;5,AC28&gt;5),"X","")</f>
        <v/>
      </c>
      <c r="CO28" s="257" t="str">
        <f>IF(AND(AL28&lt;&gt;"-",AL28&gt;3),"X","")</f>
        <v/>
      </c>
      <c r="CP28" s="257" t="str">
        <f>IF(AND(AM28&lt;&gt;"-",AM28&gt;6),"X","")</f>
        <v/>
      </c>
      <c r="CQ28" s="257" t="str">
        <f>IF(AND(AN28&lt;&gt;"-",AN28&gt;5,AD28&gt;6),"X","")</f>
        <v/>
      </c>
      <c r="CR28" s="257" t="str">
        <f>IF(COUNTBLANK(CJ28:CQ28)=8,"X","")</f>
        <v/>
      </c>
    </row>
    <row r="29" spans="1:96" s="306" customFormat="1" x14ac:dyDescent="0.25">
      <c r="A29" s="240" t="str">
        <f>H29&amp;" "&amp;I29</f>
        <v>Bob Miller</v>
      </c>
      <c r="B29" s="240" t="str">
        <f>IF(ISERROR(VLOOKUP(A29,AMA!$C$3:$C$24,1,FALSE)),IF(ISERROR(VLOOKUP(A29,'END-AAA'!$C$6:$C$33,1,FALSE)),IF(ISERROR(VLOOKUP(A29,'DB-AA'!$C$6:$C$33,1,FALSE)),IF(ISERROR(VLOOKUP(A29,'UTR-A'!$C$6:$C$33,1,FALSE)),IF(ISERROR(VLOOKUP(A29,'FAI-S A'!$C$6:$C$33,1,FALSE)),"","S A"),"A"),"AA"),"AAA"),"ML")</f>
        <v/>
      </c>
      <c r="C29" s="241"/>
      <c r="D29" s="242">
        <f>IF(BL29=1,3,IF(BM29=1,4,IF(BJ29=1,1,IF(BN29=1,5,IF(BK29=1,2,IF(BO29=1,6,IF(BP29=1,7,IF(BQ29=1,8,IF(BR29=1,9,"-")))))))))</f>
        <v>7</v>
      </c>
      <c r="E29" s="242">
        <f>IF(BC29=1,3,IF(BD29=1,4,IF(BA29=1,1,IF(BE29=1,5,IF(BB29=1,2,IF(BF29=1,6,IF(BG29=1,7,IF(BH29=1,8,IF(BI29=1,9,"-")))))))))</f>
        <v>7</v>
      </c>
      <c r="F29" s="242" t="str">
        <f>IF(OR(OR(Q29="Very High",Q29="High"),AND(OR(Q29="Very High",Q29="High",Q29="Normal"),OR(R29="Very High",R29="High"))),"K","T")</f>
        <v>T</v>
      </c>
      <c r="G29" s="242" t="s">
        <v>76</v>
      </c>
      <c r="H29" s="242" t="s">
        <v>406</v>
      </c>
      <c r="I29" s="242" t="s">
        <v>821</v>
      </c>
      <c r="J29" s="242" t="s">
        <v>783</v>
      </c>
      <c r="K29" s="242" t="s">
        <v>185</v>
      </c>
      <c r="L29" s="242">
        <v>25</v>
      </c>
      <c r="M29" s="242" t="s">
        <v>82</v>
      </c>
      <c r="N29" s="242" t="s">
        <v>83</v>
      </c>
      <c r="O29" s="242" t="s">
        <v>773</v>
      </c>
      <c r="P29" s="243" t="s">
        <v>764</v>
      </c>
      <c r="Q29" s="242" t="s">
        <v>201</v>
      </c>
      <c r="R29" s="243" t="s">
        <v>200</v>
      </c>
      <c r="S29" s="242">
        <v>5</v>
      </c>
      <c r="T29" s="242">
        <v>5</v>
      </c>
      <c r="U29" s="242">
        <v>3</v>
      </c>
      <c r="V29" s="242">
        <v>7</v>
      </c>
      <c r="W29" s="243">
        <v>7</v>
      </c>
      <c r="X29" s="242">
        <v>5</v>
      </c>
      <c r="Y29" s="242">
        <v>5</v>
      </c>
      <c r="Z29" s="242">
        <v>3</v>
      </c>
      <c r="AA29" s="242">
        <v>7</v>
      </c>
      <c r="AB29" s="243">
        <v>7</v>
      </c>
      <c r="AC29" s="242">
        <v>5</v>
      </c>
      <c r="AD29" s="242">
        <v>7</v>
      </c>
      <c r="AE29" s="242">
        <v>1</v>
      </c>
      <c r="AF29" s="242" t="s">
        <v>32</v>
      </c>
      <c r="AG29" s="242" t="s">
        <v>32</v>
      </c>
      <c r="AH29" s="242">
        <v>9</v>
      </c>
      <c r="AI29" s="242">
        <v>6</v>
      </c>
      <c r="AJ29" s="242" t="s">
        <v>32</v>
      </c>
      <c r="AK29" s="242">
        <v>5</v>
      </c>
      <c r="AL29" s="242" t="s">
        <v>32</v>
      </c>
      <c r="AM29" s="242" t="s">
        <v>32</v>
      </c>
      <c r="AN29" s="243">
        <v>5</v>
      </c>
      <c r="AO29" s="242">
        <v>9</v>
      </c>
      <c r="AP29" s="242">
        <v>9</v>
      </c>
      <c r="AQ29" s="243">
        <v>7</v>
      </c>
      <c r="AR29" s="244" t="s">
        <v>32</v>
      </c>
      <c r="AS29" s="243">
        <v>0</v>
      </c>
      <c r="AT29" s="248" t="s">
        <v>779</v>
      </c>
      <c r="AU29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4.5</v>
      </c>
      <c r="AV29" s="246" t="str">
        <f>IF(AU29&gt;9,"SuperStar",IF(AU29&gt;8,"Star",IF(AU29&gt;6.5,"GoodReg",IF(AU29&gt;5,"Reg",IF(AU29&gt;4,"Bench","Minors")))))</f>
        <v>Bench</v>
      </c>
      <c r="AW29" s="245">
        <f>AVERAGE(X29,Z29,AA29)+IF(OR(X29&gt;7,AND(X29&gt;5,AA29&gt;5)),0.5,0)+IF(Z29&gt;7,0.25,0)+IF(X29&lt;6,-0.5*(6-X29),0)</f>
        <v>4.5</v>
      </c>
      <c r="AX29" s="245" t="str">
        <f>IF(AW29&gt;9,"SuperStar",IF(AW29&gt;8,"Star",IF(AW29&gt;6.5,"GoodReg",IF(AW29&gt;5,"Reg",IF(AW29&gt;4,"Bench","Minors")))))</f>
        <v>Bench</v>
      </c>
      <c r="AY29" s="246">
        <f>MIN(AU29+(MAX(0,25-L29))^1.5,AW29)</f>
        <v>4.5</v>
      </c>
      <c r="AZ29" s="246" t="str">
        <f>IF(AY29&gt;9,"SuperStar",IF(AY29&gt;8,"Star",IF(AY29&gt;6.5,"GoodReg",IF(AY29&gt;5,"Reg",IF(AY29&gt;4,"Bench","Minors")))))</f>
        <v>Bench</v>
      </c>
      <c r="BA29" s="247">
        <f>IF(AND(OR(S29+V29&gt;12,AND(S29&gt;6,V29&gt;6)),AO29&gt;6,OR(AP29&gt;=AO29,AP29&gt;6)),1,0)</f>
        <v>0</v>
      </c>
      <c r="BB29" s="248">
        <f>IF(OR(AND(S29&gt;6,W29&gt;6),S29+V29&gt;12),1,0)</f>
        <v>0</v>
      </c>
      <c r="BC29" s="248">
        <f>IF(AND(S29&gt;6,U29&gt;6,V29&gt;6),1,0)</f>
        <v>0</v>
      </c>
      <c r="BD29" s="248">
        <f>IF(AND(U29&gt;7,OR(S29&gt;6,V29&gt;6)),1,0)</f>
        <v>0</v>
      </c>
      <c r="BE29" s="248">
        <f>IF(AND(U29&gt;6,OR(S29&gt;6,V29&gt;6)),1,0)</f>
        <v>0</v>
      </c>
      <c r="BF29" s="248">
        <f>IF(AND(OR(S29&gt;6,U29&gt;6),OR(S29&gt;6,V29&gt;6)),1,0)</f>
        <v>0</v>
      </c>
      <c r="BG29" s="248">
        <f>IF(AND(S29&gt;4,OR(S29&gt;6,U29&gt;6,V29&gt;6)),1,0)</f>
        <v>1</v>
      </c>
      <c r="BH29" s="248">
        <f>IF(AND(S29&gt;4,OR(S29&gt;6,T29&gt;6,U29&gt;6,V29&gt;6)),1,0)</f>
        <v>1</v>
      </c>
      <c r="BI29" s="243">
        <f>IF(AND(S29&gt;4,MAX(S29:W29)&gt;6),1,0)</f>
        <v>1</v>
      </c>
      <c r="BJ29" s="247">
        <f>IF(AND(OR(X29+AA29&gt;12,AND(X29&gt;6,AA29&gt;6)),AO29&gt;6,OR(AP29&gt;=AO29,AP29&gt;6)),1,0)</f>
        <v>0</v>
      </c>
      <c r="BK29" s="248">
        <f>IF(OR(AND(X29&gt;6,AB29&gt;6),X29+AA29&gt;12),1,0)</f>
        <v>0</v>
      </c>
      <c r="BL29" s="248">
        <f>IF(AND(X29&gt;6,Z29&gt;6,AA29&gt;6),1,0)</f>
        <v>0</v>
      </c>
      <c r="BM29" s="248">
        <f>IF(AND(Z29&gt;7,OR(X29&gt;6,AA29&gt;6)),1,0)</f>
        <v>0</v>
      </c>
      <c r="BN29" s="248">
        <f>IF(AND(Z29&gt;6,OR(X29&gt;6,AA29&gt;6)),1,0)</f>
        <v>0</v>
      </c>
      <c r="BO29" s="248">
        <f>IF(AND(OR(X29&gt;6,Z29&gt;6),OR(X29&gt;6,AA29&gt;6)),1,0)</f>
        <v>0</v>
      </c>
      <c r="BP29" s="248">
        <f>IF(AND(X29&gt;4,OR(X29&gt;6,Z29&gt;6,AA29&gt;6)),1,0)</f>
        <v>1</v>
      </c>
      <c r="BQ29" s="248">
        <f>IF(AND(X29&gt;4,OR(X29&gt;6,Y29&gt;6,Z29&gt;6,AA29&gt;6)),1,0)</f>
        <v>1</v>
      </c>
      <c r="BR29" s="243">
        <f>IF(AND(X29&gt;4,MAX(X29:AB29)&gt;6),1,0)</f>
        <v>1</v>
      </c>
      <c r="BS29" s="243">
        <f>IF(AVERAGE(AO29:AP29)&gt;9,1,0)+IF(AVERAGE(AO29:AP29)&gt;7,1,0)+IF(AO29&gt;7,1,0)+IF(AP29&gt;7,1,0)+IF(AQ29&gt;8,1,0)+IF(AQ29&gt;6,1,0)</f>
        <v>4</v>
      </c>
      <c r="BT29" s="249">
        <f>IF(OR(MAX(AG29,AH29,AL29,AN29)&gt;6,MAX(AI29,AJ29,AK29,AM29)&gt;7),2,IF(MAX(AG29:AN29)&gt;4,1,0))</f>
        <v>2</v>
      </c>
      <c r="BU29" s="242" t="str">
        <f>IF(AS29=1,"Yes","")</f>
        <v/>
      </c>
      <c r="BV29" s="241" t="str">
        <f>IF($B29="ML","There",IF(AND($X29&gt;=6,AVERAGE($Z29:$AA29)&gt;=6),"Likely",IF(OR($X29&gt;6,AND($X29=6,AVERAGE($Z29:$AA29)&gt;=3),AND($X29&gt;=5,AVERAGE($Z29:$AA29)&gt;=5),AVERAGE($X29,$Z29:$AA29)&gt;5),"Possible","Unlikely")))</f>
        <v>Possible</v>
      </c>
      <c r="BW29" s="242" t="str">
        <f>IF(OR(AND(S29&gt;=6,U29+V29&gt;=12),S29&gt;7),"Start",IF(AND(S29&gt;=5,U29+V29&gt;=8),"Bench","aack!"))</f>
        <v>Bench</v>
      </c>
      <c r="BX29" s="242" t="str">
        <f>IF(OR(AND(X29&gt;=6,Z29+AA29&gt;=12),X29&gt;7),"Start",IF(AND(X29&gt;=5,Z29+AA29&gt;=8),"Bench","aack!"))</f>
        <v>Bench</v>
      </c>
      <c r="BY29" s="242" t="str">
        <f>IF(S29&gt;5,"ML",IF(S29=5,"AAA",IF(S29=4,"AA",IF(S29=3,"A","SS-A"))))</f>
        <v>AAA</v>
      </c>
      <c r="BZ29" s="242">
        <f>S29-X29</f>
        <v>0</v>
      </c>
      <c r="CA29" s="242">
        <f>T29-Y29</f>
        <v>0</v>
      </c>
      <c r="CB29" s="242">
        <f>U29-Z29</f>
        <v>0</v>
      </c>
      <c r="CC29" s="242">
        <f>V29-AA29</f>
        <v>0</v>
      </c>
      <c r="CD29" s="242">
        <f>W29-AB29</f>
        <v>0</v>
      </c>
      <c r="CE29" s="242">
        <f>SUM(BZ29:CD29)</f>
        <v>0</v>
      </c>
      <c r="CF29" s="242">
        <f>X29+Z29+AA29</f>
        <v>15</v>
      </c>
      <c r="CG29" s="242">
        <f>X29+Z29</f>
        <v>8</v>
      </c>
      <c r="CH29" s="242">
        <f>X29+AA29</f>
        <v>12</v>
      </c>
      <c r="CI29" s="242" t="str">
        <f>IF(L29&gt;24,"Now - Age",IF(S29&gt;6,"Now",IF(X29&lt;6,"With Dev",MIN(X29-S29,7-S29))))</f>
        <v>Now - Age</v>
      </c>
      <c r="CJ29" s="257" t="str">
        <f>IF(AG29&lt;&gt;"-","X","")</f>
        <v/>
      </c>
      <c r="CK29" s="257" t="str">
        <f>IF(AND(AH29&lt;&gt;"-",AH29&gt;5),"X","")</f>
        <v>X</v>
      </c>
      <c r="CL29" s="257" t="str">
        <f>IF(AND(AI29&lt;&gt;"-",AI29&gt;5),"X","")</f>
        <v>X</v>
      </c>
      <c r="CM29" s="257" t="str">
        <f>IF(AND(AJ29&lt;&gt;"-",AJ29&gt;4,AC29&gt;6),"X","")</f>
        <v/>
      </c>
      <c r="CN29" s="257" t="str">
        <f>IF(AND(AK29&lt;&gt;"-",AK29&gt;5,AC29&gt;5),"X","")</f>
        <v/>
      </c>
      <c r="CO29" s="257" t="str">
        <f>IF(AND(AL29&lt;&gt;"-",AL29&gt;3),"X","")</f>
        <v/>
      </c>
      <c r="CP29" s="257" t="str">
        <f>IF(AND(AM29&lt;&gt;"-",AM29&gt;6),"X","")</f>
        <v/>
      </c>
      <c r="CQ29" s="257" t="str">
        <f>IF(AND(AN29&lt;&gt;"-",AN29&gt;5,AD29&gt;6),"X","")</f>
        <v/>
      </c>
      <c r="CR29" s="257" t="str">
        <f>IF(COUNTBLANK(CJ29:CQ29)=8,"X","")</f>
        <v/>
      </c>
    </row>
    <row r="30" spans="1:96" s="306" customFormat="1" x14ac:dyDescent="0.25">
      <c r="A30" s="240" t="str">
        <f>H30&amp;" "&amp;I30</f>
        <v>Charles Lynch</v>
      </c>
      <c r="B30" s="240" t="str">
        <f>IF(ISERROR(VLOOKUP(A30,AMA!$C$3:$C$24,1,FALSE)),IF(ISERROR(VLOOKUP(A30,'END-AAA'!$C$6:$C$33,1,FALSE)),IF(ISERROR(VLOOKUP(A30,'DB-AA'!$C$6:$C$33,1,FALSE)),IF(ISERROR(VLOOKUP(A30,'UTR-A'!$C$6:$C$33,1,FALSE)),IF(ISERROR(VLOOKUP(A30,'FAI-S A'!$C$6:$C$33,1,FALSE)),"","S A"),"A"),"AA"),"AAA"),"ML")</f>
        <v/>
      </c>
      <c r="C30" s="241"/>
      <c r="D30" s="242" t="str">
        <f>IF(BL30=1,3,IF(BM30=1,4,IF(BJ30=1,1,IF(BN30=1,5,IF(BK30=1,2,IF(BO30=1,6,IF(BP30=1,7,IF(BQ30=1,8,IF(BR30=1,9,"-")))))))))</f>
        <v>-</v>
      </c>
      <c r="E30" s="242" t="str">
        <f>IF(BC30=1,3,IF(BD30=1,4,IF(BA30=1,1,IF(BE30=1,5,IF(BB30=1,2,IF(BF30=1,6,IF(BG30=1,7,IF(BH30=1,8,IF(BI30=1,9,"-")))))))))</f>
        <v>-</v>
      </c>
      <c r="F30" s="242" t="str">
        <f>IF(OR(OR(Q30="Very High",Q30="High"),AND(OR(Q30="Very High",Q30="High",Q30="Normal"),OR(R30="Very High",R30="High"))),"K","T")</f>
        <v>T</v>
      </c>
      <c r="G30" s="242" t="s">
        <v>75</v>
      </c>
      <c r="H30" s="242" t="s">
        <v>784</v>
      </c>
      <c r="I30" s="242" t="s">
        <v>785</v>
      </c>
      <c r="J30" s="242" t="s">
        <v>769</v>
      </c>
      <c r="K30" s="242" t="s">
        <v>186</v>
      </c>
      <c r="L30" s="242">
        <v>34</v>
      </c>
      <c r="M30" s="242" t="s">
        <v>83</v>
      </c>
      <c r="N30" s="242" t="s">
        <v>83</v>
      </c>
      <c r="O30" s="242" t="s">
        <v>764</v>
      </c>
      <c r="P30" s="243" t="s">
        <v>764</v>
      </c>
      <c r="Q30" s="242" t="s">
        <v>201</v>
      </c>
      <c r="R30" s="243" t="s">
        <v>200</v>
      </c>
      <c r="S30" s="242">
        <v>5</v>
      </c>
      <c r="T30" s="242">
        <v>3</v>
      </c>
      <c r="U30" s="242">
        <v>5</v>
      </c>
      <c r="V30" s="242">
        <v>5</v>
      </c>
      <c r="W30" s="243">
        <v>4</v>
      </c>
      <c r="X30" s="242">
        <v>5</v>
      </c>
      <c r="Y30" s="242">
        <v>3</v>
      </c>
      <c r="Z30" s="242">
        <v>5</v>
      </c>
      <c r="AA30" s="242">
        <v>5</v>
      </c>
      <c r="AB30" s="243">
        <v>4</v>
      </c>
      <c r="AC30" s="242">
        <v>9</v>
      </c>
      <c r="AD30" s="242">
        <v>1</v>
      </c>
      <c r="AE30" s="242">
        <v>1</v>
      </c>
      <c r="AF30" s="242" t="s">
        <v>32</v>
      </c>
      <c r="AG30" s="242" t="s">
        <v>32</v>
      </c>
      <c r="AH30" s="242" t="s">
        <v>32</v>
      </c>
      <c r="AI30" s="242">
        <v>6</v>
      </c>
      <c r="AJ30" s="242">
        <v>7</v>
      </c>
      <c r="AK30" s="242">
        <v>4</v>
      </c>
      <c r="AL30" s="242" t="s">
        <v>32</v>
      </c>
      <c r="AM30" s="242" t="s">
        <v>32</v>
      </c>
      <c r="AN30" s="243" t="s">
        <v>32</v>
      </c>
      <c r="AO30" s="242">
        <v>5</v>
      </c>
      <c r="AP30" s="242">
        <v>10</v>
      </c>
      <c r="AQ30" s="243">
        <v>10</v>
      </c>
      <c r="AR30" s="244" t="s">
        <v>32</v>
      </c>
      <c r="AS30" s="243" t="s">
        <v>34</v>
      </c>
      <c r="AT30" s="248" t="s">
        <v>779</v>
      </c>
      <c r="AU30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4.5</v>
      </c>
      <c r="AV30" s="246" t="str">
        <f>IF(AU30&gt;9,"SuperStar",IF(AU30&gt;8,"Star",IF(AU30&gt;6.5,"GoodReg",IF(AU30&gt;5,"Reg",IF(AU30&gt;4,"Bench","Minors")))))</f>
        <v>Bench</v>
      </c>
      <c r="AW30" s="245">
        <f>AVERAGE(X30,Z30,AA30)+IF(OR(X30&gt;7,AND(X30&gt;5,AA30&gt;5)),0.5,0)+IF(Z30&gt;7,0.25,0)+IF(X30&lt;6,-0.5*(6-X30),0)</f>
        <v>4.5</v>
      </c>
      <c r="AX30" s="245" t="str">
        <f>IF(AW30&gt;9,"SuperStar",IF(AW30&gt;8,"Star",IF(AW30&gt;6.5,"GoodReg",IF(AW30&gt;5,"Reg",IF(AW30&gt;4,"Bench","Minors")))))</f>
        <v>Bench</v>
      </c>
      <c r="AY30" s="246">
        <f>MIN(AU30+(MAX(0,25-L30))^1.5,AW30)</f>
        <v>4.5</v>
      </c>
      <c r="AZ30" s="246" t="str">
        <f>IF(AY30&gt;9,"SuperStar",IF(AY30&gt;8,"Star",IF(AY30&gt;6.5,"GoodReg",IF(AY30&gt;5,"Reg",IF(AY30&gt;4,"Bench","Minors")))))</f>
        <v>Bench</v>
      </c>
      <c r="BA30" s="247">
        <f>IF(AND(OR(S30+V30&gt;12,AND(S30&gt;6,V30&gt;6)),AO30&gt;6,OR(AP30&gt;=AO30,AP30&gt;6)),1,0)</f>
        <v>0</v>
      </c>
      <c r="BB30" s="248">
        <f>IF(OR(AND(S30&gt;6,W30&gt;6),S30+V30&gt;12),1,0)</f>
        <v>0</v>
      </c>
      <c r="BC30" s="248">
        <f>IF(AND(S30&gt;6,U30&gt;6,V30&gt;6),1,0)</f>
        <v>0</v>
      </c>
      <c r="BD30" s="248">
        <f>IF(AND(U30&gt;7,OR(S30&gt;6,V30&gt;6)),1,0)</f>
        <v>0</v>
      </c>
      <c r="BE30" s="248">
        <f>IF(AND(U30&gt;6,OR(S30&gt;6,V30&gt;6)),1,0)</f>
        <v>0</v>
      </c>
      <c r="BF30" s="248">
        <f>IF(AND(OR(S30&gt;6,U30&gt;6),OR(S30&gt;6,V30&gt;6)),1,0)</f>
        <v>0</v>
      </c>
      <c r="BG30" s="248">
        <f>IF(AND(S30&gt;4,OR(S30&gt;6,U30&gt;6,V30&gt;6)),1,0)</f>
        <v>0</v>
      </c>
      <c r="BH30" s="248">
        <f>IF(AND(S30&gt;4,OR(S30&gt;6,T30&gt;6,U30&gt;6,V30&gt;6)),1,0)</f>
        <v>0</v>
      </c>
      <c r="BI30" s="243">
        <f>IF(AND(S30&gt;4,MAX(S30:W30)&gt;6),1,0)</f>
        <v>0</v>
      </c>
      <c r="BJ30" s="247">
        <f>IF(AND(OR(X30+AA30&gt;12,AND(X30&gt;6,AA30&gt;6)),AO30&gt;6,OR(AP30&gt;=AO30,AP30&gt;6)),1,0)</f>
        <v>0</v>
      </c>
      <c r="BK30" s="248">
        <f>IF(OR(AND(X30&gt;6,AB30&gt;6),X30+AA30&gt;12),1,0)</f>
        <v>0</v>
      </c>
      <c r="BL30" s="248">
        <f>IF(AND(X30&gt;6,Z30&gt;6,AA30&gt;6),1,0)</f>
        <v>0</v>
      </c>
      <c r="BM30" s="248">
        <f>IF(AND(Z30&gt;7,OR(X30&gt;6,AA30&gt;6)),1,0)</f>
        <v>0</v>
      </c>
      <c r="BN30" s="248">
        <f>IF(AND(Z30&gt;6,OR(X30&gt;6,AA30&gt;6)),1,0)</f>
        <v>0</v>
      </c>
      <c r="BO30" s="248">
        <f>IF(AND(OR(X30&gt;6,Z30&gt;6),OR(X30&gt;6,AA30&gt;6)),1,0)</f>
        <v>0</v>
      </c>
      <c r="BP30" s="248">
        <f>IF(AND(X30&gt;4,OR(X30&gt;6,Z30&gt;6,AA30&gt;6)),1,0)</f>
        <v>0</v>
      </c>
      <c r="BQ30" s="248">
        <f>IF(AND(X30&gt;4,OR(X30&gt;6,Y30&gt;6,Z30&gt;6,AA30&gt;6)),1,0)</f>
        <v>0</v>
      </c>
      <c r="BR30" s="243">
        <f>IF(AND(X30&gt;4,MAX(X30:AB30)&gt;6),1,0)</f>
        <v>0</v>
      </c>
      <c r="BS30" s="243">
        <f>IF(AVERAGE(AO30:AP30)&gt;9,1,0)+IF(AVERAGE(AO30:AP30)&gt;7,1,0)+IF(AO30&gt;7,1,0)+IF(AP30&gt;7,1,0)+IF(AQ30&gt;8,1,0)+IF(AQ30&gt;6,1,0)</f>
        <v>4</v>
      </c>
      <c r="BT30" s="249">
        <f>IF(OR(MAX(AG30,AH30,AL30,AN30)&gt;6,MAX(AI30,AJ30,AK30,AM30)&gt;7),2,IF(MAX(AG30:AN30)&gt;4,1,0))</f>
        <v>1</v>
      </c>
      <c r="BU30" s="242" t="str">
        <f>IF(AS30=1,"Yes","")</f>
        <v/>
      </c>
      <c r="BV30" s="241" t="str">
        <f>IF($B30="ML","There",IF(AND($X30&gt;=6,AVERAGE($Z30:$AA30)&gt;=6),"Likely",IF(OR($X30&gt;6,AND($X30=6,AVERAGE($Z30:$AA30)&gt;=3),AND($X30&gt;=5,AVERAGE($Z30:$AA30)&gt;=5),AVERAGE($X30,$Z30:$AA30)&gt;5),"Possible","Unlikely")))</f>
        <v>Possible</v>
      </c>
      <c r="BW30" s="242" t="str">
        <f>IF(OR(AND(S30&gt;=6,U30+V30&gt;=12),S30&gt;7),"Start",IF(AND(S30&gt;=5,U30+V30&gt;=8),"Bench","aack!"))</f>
        <v>Bench</v>
      </c>
      <c r="BX30" s="242" t="str">
        <f>IF(OR(AND(X30&gt;=6,Z30+AA30&gt;=12),X30&gt;7),"Start",IF(AND(X30&gt;=5,Z30+AA30&gt;=8),"Bench","aack!"))</f>
        <v>Bench</v>
      </c>
      <c r="BY30" s="242" t="str">
        <f>IF(S30&gt;5,"ML",IF(S30=5,"AAA",IF(S30=4,"AA",IF(S30=3,"A","SS-A"))))</f>
        <v>AAA</v>
      </c>
      <c r="BZ30" s="242">
        <f>S30-X30</f>
        <v>0</v>
      </c>
      <c r="CA30" s="242">
        <f>T30-Y30</f>
        <v>0</v>
      </c>
      <c r="CB30" s="242">
        <f>U30-Z30</f>
        <v>0</v>
      </c>
      <c r="CC30" s="242">
        <f>V30-AA30</f>
        <v>0</v>
      </c>
      <c r="CD30" s="242">
        <f>W30-AB30</f>
        <v>0</v>
      </c>
      <c r="CE30" s="242">
        <f>SUM(BZ30:CD30)</f>
        <v>0</v>
      </c>
      <c r="CF30" s="242">
        <f>X30+Z30+AA30</f>
        <v>15</v>
      </c>
      <c r="CG30" s="242">
        <f>X30+Z30</f>
        <v>10</v>
      </c>
      <c r="CH30" s="242">
        <f>X30+AA30</f>
        <v>10</v>
      </c>
      <c r="CI30" s="242" t="str">
        <f>IF(L30&gt;24,"Now - Age",IF(S30&gt;6,"Now",IF(X30&lt;6,"With Dev",MIN(X30-S30,7-S30))))</f>
        <v>Now - Age</v>
      </c>
      <c r="CJ30" s="257" t="str">
        <f>IF(AG30&lt;&gt;"-","X","")</f>
        <v/>
      </c>
      <c r="CK30" s="257" t="str">
        <f>IF(AND(AH30&lt;&gt;"-",AH30&gt;5),"X","")</f>
        <v/>
      </c>
      <c r="CL30" s="257" t="str">
        <f>IF(AND(AI30&lt;&gt;"-",AI30&gt;5),"X","")</f>
        <v>X</v>
      </c>
      <c r="CM30" s="257" t="str">
        <f>IF(AND(AJ30&lt;&gt;"-",AJ30&gt;4,AC30&gt;6),"X","")</f>
        <v>X</v>
      </c>
      <c r="CN30" s="257" t="str">
        <f>IF(AND(AK30&lt;&gt;"-",AK30&gt;5,AC30&gt;5),"X","")</f>
        <v/>
      </c>
      <c r="CO30" s="257" t="str">
        <f>IF(AND(AL30&lt;&gt;"-",AL30&gt;3),"X","")</f>
        <v/>
      </c>
      <c r="CP30" s="257" t="str">
        <f>IF(AND(AM30&lt;&gt;"-",AM30&gt;6),"X","")</f>
        <v/>
      </c>
      <c r="CQ30" s="257" t="str">
        <f>IF(AND(AN30&lt;&gt;"-",AN30&gt;5,AD30&gt;6),"X","")</f>
        <v/>
      </c>
      <c r="CR30" s="257" t="str">
        <f>IF(COUNTBLANK(CJ30:CQ30)=8,"X","")</f>
        <v/>
      </c>
    </row>
    <row r="31" spans="1:96" s="306" customFormat="1" x14ac:dyDescent="0.25">
      <c r="A31" s="240" t="str">
        <f>H31&amp;" "&amp;I31</f>
        <v>Manuel Valdespino</v>
      </c>
      <c r="B31" s="240" t="str">
        <f>IF(ISERROR(VLOOKUP(A31,AMA!$C$3:$C$24,1,FALSE)),IF(ISERROR(VLOOKUP(A31,'END-AAA'!$C$6:$C$33,1,FALSE)),IF(ISERROR(VLOOKUP(A31,'DB-AA'!$C$6:$C$33,1,FALSE)),IF(ISERROR(VLOOKUP(A31,'UTR-A'!$C$6:$C$33,1,FALSE)),IF(ISERROR(VLOOKUP(A31,'FAI-S A'!$C$6:$C$33,1,FALSE)),"","S A"),"A"),"AA"),"AAA"),"ML")</f>
        <v/>
      </c>
      <c r="C31" s="241"/>
      <c r="D31" s="242">
        <f>IF(BL31=1,3,IF(BM31=1,4,IF(BJ31=1,1,IF(BN31=1,5,IF(BK31=1,2,IF(BO31=1,6,IF(BP31=1,7,IF(BQ31=1,8,IF(BR31=1,9,"-")))))))))</f>
        <v>7</v>
      </c>
      <c r="E31" s="242" t="str">
        <f>IF(BC31=1,3,IF(BD31=1,4,IF(BA31=1,1,IF(BE31=1,5,IF(BB31=1,2,IF(BF31=1,6,IF(BG31=1,7,IF(BH31=1,8,IF(BI31=1,9,"-")))))))))</f>
        <v>-</v>
      </c>
      <c r="F31" s="242" t="str">
        <f>IF(OR(OR(Q31="Very High",Q31="High"),AND(OR(Q31="Very High",Q31="High",Q31="Normal"),OR(R31="Very High",R31="High"))),"K","T")</f>
        <v>K</v>
      </c>
      <c r="G31" s="242" t="s">
        <v>77</v>
      </c>
      <c r="H31" s="242" t="s">
        <v>429</v>
      </c>
      <c r="I31" s="242" t="s">
        <v>824</v>
      </c>
      <c r="J31" s="242" t="s">
        <v>814</v>
      </c>
      <c r="K31" s="242" t="s">
        <v>187</v>
      </c>
      <c r="L31" s="242">
        <v>23</v>
      </c>
      <c r="M31" s="242" t="s">
        <v>82</v>
      </c>
      <c r="N31" s="242" t="s">
        <v>82</v>
      </c>
      <c r="O31" s="242" t="s">
        <v>808</v>
      </c>
      <c r="P31" s="243" t="s">
        <v>764</v>
      </c>
      <c r="Q31" s="242" t="s">
        <v>199</v>
      </c>
      <c r="R31" s="243" t="s">
        <v>200</v>
      </c>
      <c r="S31" s="242">
        <v>4</v>
      </c>
      <c r="T31" s="242">
        <v>5</v>
      </c>
      <c r="U31" s="242">
        <v>6</v>
      </c>
      <c r="V31" s="242">
        <v>6</v>
      </c>
      <c r="W31" s="243">
        <v>2</v>
      </c>
      <c r="X31" s="242">
        <v>5</v>
      </c>
      <c r="Y31" s="242">
        <v>6</v>
      </c>
      <c r="Z31" s="242">
        <v>7</v>
      </c>
      <c r="AA31" s="242">
        <v>6</v>
      </c>
      <c r="AB31" s="243">
        <v>4</v>
      </c>
      <c r="AC31" s="242">
        <v>6</v>
      </c>
      <c r="AD31" s="242">
        <v>7</v>
      </c>
      <c r="AE31" s="242">
        <v>1</v>
      </c>
      <c r="AF31" s="242" t="s">
        <v>32</v>
      </c>
      <c r="AG31" s="242" t="s">
        <v>32</v>
      </c>
      <c r="AH31" s="242" t="s">
        <v>32</v>
      </c>
      <c r="AI31" s="242" t="s">
        <v>32</v>
      </c>
      <c r="AJ31" s="242" t="s">
        <v>32</v>
      </c>
      <c r="AK31" s="242" t="s">
        <v>32</v>
      </c>
      <c r="AL31" s="242">
        <v>2</v>
      </c>
      <c r="AM31" s="242" t="s">
        <v>32</v>
      </c>
      <c r="AN31" s="243">
        <v>1</v>
      </c>
      <c r="AO31" s="242">
        <v>4</v>
      </c>
      <c r="AP31" s="242">
        <v>5</v>
      </c>
      <c r="AQ31" s="243">
        <v>4</v>
      </c>
      <c r="AR31" s="244" t="s">
        <v>32</v>
      </c>
      <c r="AS31" s="243" t="s">
        <v>33</v>
      </c>
      <c r="AT31" s="248" t="s">
        <v>779</v>
      </c>
      <c r="AU3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4.333333333333333</v>
      </c>
      <c r="AV31" s="246" t="str">
        <f>IF(AU31&gt;9,"SuperStar",IF(AU31&gt;8,"Star",IF(AU31&gt;6.5,"GoodReg",IF(AU31&gt;5,"Reg",IF(AU31&gt;4,"Bench","Minors")))))</f>
        <v>Bench</v>
      </c>
      <c r="AW31" s="245">
        <f>AVERAGE(X31,Z31,AA31)+IF(OR(X31&gt;7,AND(X31&gt;5,AA31&gt;5)),0.5,0)+IF(Z31&gt;7,0.25,0)+IF(X31&lt;6,-0.5*(6-X31),0)</f>
        <v>5.5</v>
      </c>
      <c r="AX31" s="245" t="str">
        <f>IF(AW31&gt;9,"SuperStar",IF(AW31&gt;8,"Star",IF(AW31&gt;6.5,"GoodReg",IF(AW31&gt;5,"Reg",IF(AW31&gt;4,"Bench","Minors")))))</f>
        <v>Reg</v>
      </c>
      <c r="AY31" s="246">
        <f>MIN(AU31+(MAX(0,25-L31))^1.5,AW31)</f>
        <v>5.5</v>
      </c>
      <c r="AZ31" s="246" t="str">
        <f>IF(AY31&gt;9,"SuperStar",IF(AY31&gt;8,"Star",IF(AY31&gt;6.5,"GoodReg",IF(AY31&gt;5,"Reg",IF(AY31&gt;4,"Bench","Minors")))))</f>
        <v>Reg</v>
      </c>
      <c r="BA31" s="247">
        <f>IF(AND(OR(S31+V31&gt;12,AND(S31&gt;6,V31&gt;6)),AO31&gt;6,OR(AP31&gt;=AO31,AP31&gt;6)),1,0)</f>
        <v>0</v>
      </c>
      <c r="BB31" s="248">
        <f>IF(OR(AND(S31&gt;6,W31&gt;6),S31+V31&gt;12),1,0)</f>
        <v>0</v>
      </c>
      <c r="BC31" s="248">
        <f>IF(AND(S31&gt;6,U31&gt;6,V31&gt;6),1,0)</f>
        <v>0</v>
      </c>
      <c r="BD31" s="248">
        <f>IF(AND(U31&gt;7,OR(S31&gt;6,V31&gt;6)),1,0)</f>
        <v>0</v>
      </c>
      <c r="BE31" s="248">
        <f>IF(AND(U31&gt;6,OR(S31&gt;6,V31&gt;6)),1,0)</f>
        <v>0</v>
      </c>
      <c r="BF31" s="248">
        <f>IF(AND(OR(S31&gt;6,U31&gt;6),OR(S31&gt;6,V31&gt;6)),1,0)</f>
        <v>0</v>
      </c>
      <c r="BG31" s="248">
        <f>IF(AND(S31&gt;4,OR(S31&gt;6,U31&gt;6,V31&gt;6)),1,0)</f>
        <v>0</v>
      </c>
      <c r="BH31" s="248">
        <f>IF(AND(S31&gt;4,OR(S31&gt;6,T31&gt;6,U31&gt;6,V31&gt;6)),1,0)</f>
        <v>0</v>
      </c>
      <c r="BI31" s="243">
        <f>IF(AND(S31&gt;4,MAX(S31:W31)&gt;6),1,0)</f>
        <v>0</v>
      </c>
      <c r="BJ31" s="247">
        <f>IF(AND(OR(X31+AA31&gt;12,AND(X31&gt;6,AA31&gt;6)),AO31&gt;6,OR(AP31&gt;=AO31,AP31&gt;6)),1,0)</f>
        <v>0</v>
      </c>
      <c r="BK31" s="248">
        <f>IF(OR(AND(X31&gt;6,AB31&gt;6),X31+AA31&gt;12),1,0)</f>
        <v>0</v>
      </c>
      <c r="BL31" s="248">
        <f>IF(AND(X31&gt;6,Z31&gt;6,AA31&gt;6),1,0)</f>
        <v>0</v>
      </c>
      <c r="BM31" s="248">
        <f>IF(AND(Z31&gt;7,OR(X31&gt;6,AA31&gt;6)),1,0)</f>
        <v>0</v>
      </c>
      <c r="BN31" s="248">
        <f>IF(AND(Z31&gt;6,OR(X31&gt;6,AA31&gt;6)),1,0)</f>
        <v>0</v>
      </c>
      <c r="BO31" s="248">
        <f>IF(AND(OR(X31&gt;6,Z31&gt;6),OR(X31&gt;6,AA31&gt;6)),1,0)</f>
        <v>0</v>
      </c>
      <c r="BP31" s="248">
        <f>IF(AND(X31&gt;4,OR(X31&gt;6,Z31&gt;6,AA31&gt;6)),1,0)</f>
        <v>1</v>
      </c>
      <c r="BQ31" s="248">
        <f>IF(AND(X31&gt;4,OR(X31&gt;6,Y31&gt;6,Z31&gt;6,AA31&gt;6)),1,0)</f>
        <v>1</v>
      </c>
      <c r="BR31" s="243">
        <f>IF(AND(X31&gt;4,MAX(X31:AB31)&gt;6),1,0)</f>
        <v>1</v>
      </c>
      <c r="BS31" s="243">
        <f>IF(AVERAGE(AO31:AP31)&gt;9,1,0)+IF(AVERAGE(AO31:AP31)&gt;7,1,0)+IF(AO31&gt;7,1,0)+IF(AP31&gt;7,1,0)+IF(AQ31&gt;8,1,0)+IF(AQ31&gt;6,1,0)</f>
        <v>0</v>
      </c>
      <c r="BT31" s="249">
        <f>IF(OR(MAX(AG31,AH31,AL31,AN31)&gt;6,MAX(AI31,AJ31,AK31,AM31)&gt;7),2,IF(MAX(AG31:AN31)&gt;4,1,0))</f>
        <v>0</v>
      </c>
      <c r="BU31" s="242" t="str">
        <f>IF(AS31=1,"Yes","")</f>
        <v/>
      </c>
      <c r="BV31" s="241" t="str">
        <f>IF($B31="ML","There",IF(AND($X31&gt;=6,AVERAGE($Z31:$AA31)&gt;=6),"Likely",IF(OR($X31&gt;6,AND($X31=6,AVERAGE($Z31:$AA31)&gt;=3),AND($X31&gt;=5,AVERAGE($Z31:$AA31)&gt;=5),AVERAGE($X31,$Z31:$AA31)&gt;5),"Possible","Unlikely")))</f>
        <v>Possible</v>
      </c>
      <c r="BW31" s="242" t="str">
        <f>IF(OR(AND(S31&gt;=6,U31+V31&gt;=12),S31&gt;7),"Start",IF(AND(S31&gt;=5,U31+V31&gt;=8),"Bench","aack!"))</f>
        <v>aack!</v>
      </c>
      <c r="BX31" s="242" t="str">
        <f>IF(OR(AND(X31&gt;=6,Z31+AA31&gt;=12),X31&gt;7),"Start",IF(AND(X31&gt;=5,Z31+AA31&gt;=8),"Bench","aack!"))</f>
        <v>Bench</v>
      </c>
      <c r="BY31" s="242" t="str">
        <f>IF(S31&gt;5,"ML",IF(S31=5,"AAA",IF(S31=4,"AA",IF(S31=3,"A","SS-A"))))</f>
        <v>AA</v>
      </c>
      <c r="BZ31" s="242">
        <f>S31-X31</f>
        <v>-1</v>
      </c>
      <c r="CA31" s="242">
        <f>T31-Y31</f>
        <v>-1</v>
      </c>
      <c r="CB31" s="242">
        <f>U31-Z31</f>
        <v>-1</v>
      </c>
      <c r="CC31" s="242">
        <f>V31-AA31</f>
        <v>0</v>
      </c>
      <c r="CD31" s="242">
        <f>W31-AB31</f>
        <v>-2</v>
      </c>
      <c r="CE31" s="242">
        <f>SUM(BZ31:CD31)</f>
        <v>-5</v>
      </c>
      <c r="CF31" s="242">
        <f>X31+Z31+AA31</f>
        <v>18</v>
      </c>
      <c r="CG31" s="242">
        <f>X31+Z31</f>
        <v>12</v>
      </c>
      <c r="CH31" s="242">
        <f>X31+AA31</f>
        <v>11</v>
      </c>
      <c r="CI31" s="242" t="str">
        <f>IF(L31&gt;24,"Now - Age",IF(S31&gt;6,"Now",IF(X31&lt;6,"With Dev",MIN(X31-S31,7-S31))))</f>
        <v>With Dev</v>
      </c>
      <c r="CJ31" s="257" t="str">
        <f>IF(AG31&lt;&gt;"-","X","")</f>
        <v/>
      </c>
      <c r="CK31" s="257" t="str">
        <f>IF(AND(AH31&lt;&gt;"-",AH31&gt;5),"X","")</f>
        <v/>
      </c>
      <c r="CL31" s="257" t="str">
        <f>IF(AND(AI31&lt;&gt;"-",AI31&gt;5),"X","")</f>
        <v/>
      </c>
      <c r="CM31" s="257" t="str">
        <f>IF(AND(AJ31&lt;&gt;"-",AJ31&gt;4,AC31&gt;6),"X","")</f>
        <v/>
      </c>
      <c r="CN31" s="257" t="str">
        <f>IF(AND(AK31&lt;&gt;"-",AK31&gt;5,AC31&gt;5),"X","")</f>
        <v/>
      </c>
      <c r="CO31" s="257" t="str">
        <f>IF(AND(AL31&lt;&gt;"-",AL31&gt;3),"X","")</f>
        <v/>
      </c>
      <c r="CP31" s="257" t="str">
        <f>IF(AND(AM31&lt;&gt;"-",AM31&gt;6),"X","")</f>
        <v/>
      </c>
      <c r="CQ31" s="257" t="str">
        <f>IF(AND(AN31&lt;&gt;"-",AN31&gt;5,AD31&gt;6),"X","")</f>
        <v/>
      </c>
      <c r="CR31" s="257" t="str">
        <f>IF(COUNTBLANK(CJ31:CQ31)=8,"X","")</f>
        <v>X</v>
      </c>
    </row>
    <row r="32" spans="1:96" s="306" customFormat="1" x14ac:dyDescent="0.25">
      <c r="A32" s="240" t="str">
        <f>H32&amp;" "&amp;I32</f>
        <v>José Quintanilla</v>
      </c>
      <c r="B32" s="240" t="str">
        <f>IF(ISERROR(VLOOKUP(A32,AMA!$C$3:$C$24,1,FALSE)),IF(ISERROR(VLOOKUP(A32,'END-AAA'!$C$6:$C$33,1,FALSE)),IF(ISERROR(VLOOKUP(A32,'DB-AA'!$C$6:$C$33,1,FALSE)),IF(ISERROR(VLOOKUP(A32,'UTR-A'!$C$6:$C$33,1,FALSE)),IF(ISERROR(VLOOKUP(A32,'FAI-S A'!$C$6:$C$33,1,FALSE)),"","S A"),"A"),"AA"),"AAA"),"ML")</f>
        <v/>
      </c>
      <c r="C32" s="241"/>
      <c r="D32" s="242" t="str">
        <f>IF(BL32=1,3,IF(BM32=1,4,IF(BJ32=1,1,IF(BN32=1,5,IF(BK32=1,2,IF(BO32=1,6,IF(BP32=1,7,IF(BQ32=1,8,IF(BR32=1,9,"-")))))))))</f>
        <v>-</v>
      </c>
      <c r="E32" s="242" t="str">
        <f>IF(BC32=1,3,IF(BD32=1,4,IF(BA32=1,1,IF(BE32=1,5,IF(BB32=1,2,IF(BF32=1,6,IF(BG32=1,7,IF(BH32=1,8,IF(BI32=1,9,"-")))))))))</f>
        <v>-</v>
      </c>
      <c r="F32" s="242" t="str">
        <f>IF(OR(OR(Q32="Very High",Q32="High"),AND(OR(Q32="Very High",Q32="High",Q32="Normal"),OR(R32="Very High",R32="High"))),"K","T")</f>
        <v>K</v>
      </c>
      <c r="G32" s="242" t="s">
        <v>71</v>
      </c>
      <c r="H32" s="242" t="s">
        <v>412</v>
      </c>
      <c r="I32" s="242" t="s">
        <v>1182</v>
      </c>
      <c r="J32" s="242" t="s">
        <v>769</v>
      </c>
      <c r="K32" s="242" t="s">
        <v>186</v>
      </c>
      <c r="L32" s="242">
        <v>31</v>
      </c>
      <c r="M32" s="242" t="s">
        <v>83</v>
      </c>
      <c r="N32" s="242" t="s">
        <v>83</v>
      </c>
      <c r="O32" s="242" t="s">
        <v>764</v>
      </c>
      <c r="P32" s="243" t="s">
        <v>764</v>
      </c>
      <c r="Q32" s="242" t="s">
        <v>200</v>
      </c>
      <c r="R32" s="243" t="s">
        <v>199</v>
      </c>
      <c r="S32" s="242">
        <v>4</v>
      </c>
      <c r="T32" s="242">
        <v>3</v>
      </c>
      <c r="U32" s="242">
        <v>5</v>
      </c>
      <c r="V32" s="242">
        <v>7</v>
      </c>
      <c r="W32" s="243">
        <v>3</v>
      </c>
      <c r="X32" s="242">
        <v>4</v>
      </c>
      <c r="Y32" s="242">
        <v>3</v>
      </c>
      <c r="Z32" s="242">
        <v>5</v>
      </c>
      <c r="AA32" s="242">
        <v>7</v>
      </c>
      <c r="AB32" s="243">
        <v>3</v>
      </c>
      <c r="AC32" s="242">
        <v>4</v>
      </c>
      <c r="AD32" s="242">
        <v>4</v>
      </c>
      <c r="AE32" s="242">
        <v>6</v>
      </c>
      <c r="AF32" s="242">
        <v>7</v>
      </c>
      <c r="AG32" s="242">
        <v>7</v>
      </c>
      <c r="AH32" s="242" t="s">
        <v>32</v>
      </c>
      <c r="AI32" s="242" t="s">
        <v>32</v>
      </c>
      <c r="AJ32" s="242" t="s">
        <v>32</v>
      </c>
      <c r="AK32" s="242" t="s">
        <v>32</v>
      </c>
      <c r="AL32" s="242" t="s">
        <v>32</v>
      </c>
      <c r="AM32" s="242" t="s">
        <v>32</v>
      </c>
      <c r="AN32" s="243" t="s">
        <v>32</v>
      </c>
      <c r="AO32" s="242">
        <v>3</v>
      </c>
      <c r="AP32" s="242">
        <v>5</v>
      </c>
      <c r="AQ32" s="243">
        <v>6</v>
      </c>
      <c r="AR32" s="244" t="s">
        <v>32</v>
      </c>
      <c r="AS32" s="243" t="s">
        <v>33</v>
      </c>
      <c r="AT32" s="248" t="s">
        <v>779</v>
      </c>
      <c r="AU3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4.333333333333333</v>
      </c>
      <c r="AV32" s="246" t="str">
        <f>IF(AU32&gt;9,"SuperStar",IF(AU32&gt;8,"Star",IF(AU32&gt;6.5,"GoodReg",IF(AU32&gt;5,"Reg",IF(AU32&gt;4,"Bench","Minors")))))</f>
        <v>Bench</v>
      </c>
      <c r="AW32" s="245">
        <f>AVERAGE(X32,Z32,AA32)+IF(OR(X32&gt;7,AND(X32&gt;5,AA32&gt;5)),0.5,0)+IF(Z32&gt;7,0.25,0)+IF(X32&lt;6,-0.5*(6-X32),0)</f>
        <v>4.333333333333333</v>
      </c>
      <c r="AX32" s="245" t="str">
        <f>IF(AW32&gt;9,"SuperStar",IF(AW32&gt;8,"Star",IF(AW32&gt;6.5,"GoodReg",IF(AW32&gt;5,"Reg",IF(AW32&gt;4,"Bench","Minors")))))</f>
        <v>Bench</v>
      </c>
      <c r="AY32" s="246">
        <f>MIN(AU32+(MAX(0,25-L32))^1.5,AW32)</f>
        <v>4.333333333333333</v>
      </c>
      <c r="AZ32" s="246" t="str">
        <f>IF(AY32&gt;9,"SuperStar",IF(AY32&gt;8,"Star",IF(AY32&gt;6.5,"GoodReg",IF(AY32&gt;5,"Reg",IF(AY32&gt;4,"Bench","Minors")))))</f>
        <v>Bench</v>
      </c>
      <c r="BA32" s="247">
        <f>IF(AND(OR(S32+V32&gt;12,AND(S32&gt;6,V32&gt;6)),AO32&gt;6,OR(AP32&gt;=AO32,AP32&gt;6)),1,0)</f>
        <v>0</v>
      </c>
      <c r="BB32" s="248">
        <f>IF(OR(AND(S32&gt;6,W32&gt;6),S32+V32&gt;12),1,0)</f>
        <v>0</v>
      </c>
      <c r="BC32" s="248">
        <f>IF(AND(S32&gt;6,U32&gt;6,V32&gt;6),1,0)</f>
        <v>0</v>
      </c>
      <c r="BD32" s="248">
        <f>IF(AND(U32&gt;7,OR(S32&gt;6,V32&gt;6)),1,0)</f>
        <v>0</v>
      </c>
      <c r="BE32" s="248">
        <f>IF(AND(U32&gt;6,OR(S32&gt;6,V32&gt;6)),1,0)</f>
        <v>0</v>
      </c>
      <c r="BF32" s="248">
        <f>IF(AND(OR(S32&gt;6,U32&gt;6),OR(S32&gt;6,V32&gt;6)),1,0)</f>
        <v>0</v>
      </c>
      <c r="BG32" s="248">
        <f>IF(AND(S32&gt;4,OR(S32&gt;6,U32&gt;6,V32&gt;6)),1,0)</f>
        <v>0</v>
      </c>
      <c r="BH32" s="248">
        <f>IF(AND(S32&gt;4,OR(S32&gt;6,T32&gt;6,U32&gt;6,V32&gt;6)),1,0)</f>
        <v>0</v>
      </c>
      <c r="BI32" s="243">
        <f>IF(AND(S32&gt;4,MAX(S32:W32)&gt;6),1,0)</f>
        <v>0</v>
      </c>
      <c r="BJ32" s="247">
        <f>IF(AND(OR(X32+AA32&gt;12,AND(X32&gt;6,AA32&gt;6)),AO32&gt;6,OR(AP32&gt;=AO32,AP32&gt;6)),1,0)</f>
        <v>0</v>
      </c>
      <c r="BK32" s="248">
        <f>IF(OR(AND(X32&gt;6,AB32&gt;6),X32+AA32&gt;12),1,0)</f>
        <v>0</v>
      </c>
      <c r="BL32" s="248">
        <f>IF(AND(X32&gt;6,Z32&gt;6,AA32&gt;6),1,0)</f>
        <v>0</v>
      </c>
      <c r="BM32" s="248">
        <f>IF(AND(Z32&gt;7,OR(X32&gt;6,AA32&gt;6)),1,0)</f>
        <v>0</v>
      </c>
      <c r="BN32" s="248">
        <f>IF(AND(Z32&gt;6,OR(X32&gt;6,AA32&gt;6)),1,0)</f>
        <v>0</v>
      </c>
      <c r="BO32" s="248">
        <f>IF(AND(OR(X32&gt;6,Z32&gt;6),OR(X32&gt;6,AA32&gt;6)),1,0)</f>
        <v>0</v>
      </c>
      <c r="BP32" s="248">
        <f>IF(AND(X32&gt;4,OR(X32&gt;6,Z32&gt;6,AA32&gt;6)),1,0)</f>
        <v>0</v>
      </c>
      <c r="BQ32" s="248">
        <f>IF(AND(X32&gt;4,OR(X32&gt;6,Y32&gt;6,Z32&gt;6,AA32&gt;6)),1,0)</f>
        <v>0</v>
      </c>
      <c r="BR32" s="243">
        <f>IF(AND(X32&gt;4,MAX(X32:AB32)&gt;6),1,0)</f>
        <v>0</v>
      </c>
      <c r="BS32" s="243">
        <f>IF(AVERAGE(AO32:AP32)&gt;9,1,0)+IF(AVERAGE(AO32:AP32)&gt;7,1,0)+IF(AO32&gt;7,1,0)+IF(AP32&gt;7,1,0)+IF(AQ32&gt;8,1,0)+IF(AQ32&gt;6,1,0)</f>
        <v>0</v>
      </c>
      <c r="BT32" s="249">
        <f>IF(OR(MAX(AG32,AH32,AL32,AN32)&gt;6,MAX(AI32,AJ32,AK32,AM32)&gt;7),2,IF(MAX(AG32:AN32)&gt;4,1,0))</f>
        <v>2</v>
      </c>
      <c r="BU32" s="242" t="str">
        <f>IF(AS32=1,"Yes","")</f>
        <v/>
      </c>
      <c r="BV32" s="241" t="str">
        <f>IF($B32="ML","There",IF(AND($X32&gt;=6,AVERAGE($Z32:$AA32)&gt;=6),"Likely",IF(OR($X32&gt;6,AND($X32=6,AVERAGE($Z32:$AA32)&gt;=3),AND($X32&gt;=5,AVERAGE($Z32:$AA32)&gt;=5),AVERAGE($X32,$Z32:$AA32)&gt;5),"Possible","Unlikely")))</f>
        <v>Possible</v>
      </c>
      <c r="BW32" s="242" t="str">
        <f>IF(OR(AND(S32&gt;=6,U32+V32&gt;=12),S32&gt;7),"Start",IF(AND(S32&gt;=5,U32+V32&gt;=8),"Bench","aack!"))</f>
        <v>aack!</v>
      </c>
      <c r="BX32" s="242" t="str">
        <f>IF(OR(AND(X32&gt;=6,Z32+AA32&gt;=12),X32&gt;7),"Start",IF(AND(X32&gt;=5,Z32+AA32&gt;=8),"Bench","aack!"))</f>
        <v>aack!</v>
      </c>
      <c r="BY32" s="242" t="str">
        <f>IF(S32&gt;5,"ML",IF(S32=5,"AAA",IF(S32=4,"AA",IF(S32=3,"A","SS-A"))))</f>
        <v>AA</v>
      </c>
      <c r="BZ32" s="242">
        <f>S32-X32</f>
        <v>0</v>
      </c>
      <c r="CA32" s="242">
        <f>T32-Y32</f>
        <v>0</v>
      </c>
      <c r="CB32" s="242">
        <f>U32-Z32</f>
        <v>0</v>
      </c>
      <c r="CC32" s="242">
        <f>V32-AA32</f>
        <v>0</v>
      </c>
      <c r="CD32" s="242">
        <f>W32-AB32</f>
        <v>0</v>
      </c>
      <c r="CE32" s="242">
        <f>SUM(BZ32:CD32)</f>
        <v>0</v>
      </c>
      <c r="CF32" s="242">
        <f>X32+Z32+AA32</f>
        <v>16</v>
      </c>
      <c r="CG32" s="242">
        <f>X32+Z32</f>
        <v>9</v>
      </c>
      <c r="CH32" s="242">
        <f>X32+AA32</f>
        <v>11</v>
      </c>
      <c r="CI32" s="242" t="str">
        <f>IF(L32&gt;24,"Now - Age",IF(S32&gt;6,"Now",IF(X32&lt;6,"With Dev",MIN(X32-S32,7-S32))))</f>
        <v>Now - Age</v>
      </c>
      <c r="CJ32" s="257" t="str">
        <f>IF(AG32&lt;&gt;"-","X","")</f>
        <v>X</v>
      </c>
      <c r="CK32" s="257" t="str">
        <f>IF(AND(AH32&lt;&gt;"-",AH32&gt;5),"X","")</f>
        <v/>
      </c>
      <c r="CL32" s="257" t="str">
        <f>IF(AND(AI32&lt;&gt;"-",AI32&gt;5),"X","")</f>
        <v/>
      </c>
      <c r="CM32" s="257" t="str">
        <f>IF(AND(AJ32&lt;&gt;"-",AJ32&gt;4,AC32&gt;6),"X","")</f>
        <v/>
      </c>
      <c r="CN32" s="257" t="str">
        <f>IF(AND(AK32&lt;&gt;"-",AK32&gt;5,AC32&gt;5),"X","")</f>
        <v/>
      </c>
      <c r="CO32" s="257" t="str">
        <f>IF(AND(AL32&lt;&gt;"-",AL32&gt;3),"X","")</f>
        <v/>
      </c>
      <c r="CP32" s="257" t="str">
        <f>IF(AND(AM32&lt;&gt;"-",AM32&gt;6),"X","")</f>
        <v/>
      </c>
      <c r="CQ32" s="257" t="str">
        <f>IF(AND(AN32&lt;&gt;"-",AN32&gt;5,AD32&gt;6),"X","")</f>
        <v/>
      </c>
      <c r="CR32" s="257" t="str">
        <f>IF(COUNTBLANK(CJ32:CQ32)=8,"X","")</f>
        <v/>
      </c>
    </row>
    <row r="33" spans="1:96" s="306" customFormat="1" x14ac:dyDescent="0.25">
      <c r="A33" s="240" t="str">
        <f>H33&amp;" "&amp;I33</f>
        <v>Ewan Carne</v>
      </c>
      <c r="B33" s="240" t="str">
        <f>IF(ISERROR(VLOOKUP(A33,AMA!$C$3:$C$24,1,FALSE)),IF(ISERROR(VLOOKUP(A33,'END-AAA'!$C$6:$C$33,1,FALSE)),IF(ISERROR(VLOOKUP(A33,'DB-AA'!$C$6:$C$33,1,FALSE)),IF(ISERROR(VLOOKUP(A33,'UTR-A'!$C$6:$C$33,1,FALSE)),IF(ISERROR(VLOOKUP(A33,'FAI-S A'!$C$6:$C$33,1,FALSE)),"","S A"),"A"),"AA"),"AAA"),"ML")</f>
        <v>ML</v>
      </c>
      <c r="C33" s="241"/>
      <c r="D33" s="242">
        <f>IF(BL33=1,3,IF(BM33=1,4,IF(BJ33=1,1,IF(BN33=1,5,IF(BK33=1,2,IF(BO33=1,6,IF(BP33=1,7,IF(BQ33=1,8,IF(BR33=1,9,"-")))))))))</f>
        <v>8</v>
      </c>
      <c r="E33" s="242">
        <f>IF(BC33=1,3,IF(BD33=1,4,IF(BA33=1,1,IF(BE33=1,5,IF(BB33=1,2,IF(BF33=1,6,IF(BG33=1,7,IF(BH33=1,8,IF(BI33=1,9,"-")))))))))</f>
        <v>8</v>
      </c>
      <c r="F33" s="242" t="str">
        <f>IF(OR(OR(Q33="Very High",Q33="High"),AND(OR(Q33="Very High",Q33="High",Q33="Normal"),OR(R33="Very High",R33="High"))),"K","T")</f>
        <v>K</v>
      </c>
      <c r="G33" s="242" t="s">
        <v>71</v>
      </c>
      <c r="H33" s="242" t="s">
        <v>775</v>
      </c>
      <c r="I33" s="242" t="s">
        <v>776</v>
      </c>
      <c r="J33" s="242" t="s">
        <v>763</v>
      </c>
      <c r="K33" s="242" t="s">
        <v>402</v>
      </c>
      <c r="L33" s="242">
        <v>27</v>
      </c>
      <c r="M33" s="242" t="s">
        <v>83</v>
      </c>
      <c r="N33" s="242" t="s">
        <v>83</v>
      </c>
      <c r="O33" s="242" t="s">
        <v>764</v>
      </c>
      <c r="P33" s="243" t="s">
        <v>764</v>
      </c>
      <c r="Q33" s="242" t="s">
        <v>199</v>
      </c>
      <c r="R33" s="243" t="s">
        <v>200</v>
      </c>
      <c r="S33" s="242">
        <v>5</v>
      </c>
      <c r="T33" s="242">
        <v>9</v>
      </c>
      <c r="U33" s="242">
        <v>6</v>
      </c>
      <c r="V33" s="242">
        <v>3</v>
      </c>
      <c r="W33" s="243">
        <v>7</v>
      </c>
      <c r="X33" s="242">
        <v>5</v>
      </c>
      <c r="Y33" s="242">
        <v>9</v>
      </c>
      <c r="Z33" s="242">
        <v>6</v>
      </c>
      <c r="AA33" s="242">
        <v>4</v>
      </c>
      <c r="AB33" s="243">
        <v>7</v>
      </c>
      <c r="AC33" s="242">
        <v>4</v>
      </c>
      <c r="AD33" s="242">
        <v>4</v>
      </c>
      <c r="AE33" s="242">
        <v>7</v>
      </c>
      <c r="AF33" s="242">
        <v>5</v>
      </c>
      <c r="AG33" s="242">
        <v>5</v>
      </c>
      <c r="AH33" s="242" t="s">
        <v>32</v>
      </c>
      <c r="AI33" s="242" t="s">
        <v>32</v>
      </c>
      <c r="AJ33" s="242" t="s">
        <v>32</v>
      </c>
      <c r="AK33" s="242" t="s">
        <v>32</v>
      </c>
      <c r="AL33" s="242" t="s">
        <v>32</v>
      </c>
      <c r="AM33" s="242" t="s">
        <v>32</v>
      </c>
      <c r="AN33" s="243" t="s">
        <v>32</v>
      </c>
      <c r="AO33" s="242">
        <v>1</v>
      </c>
      <c r="AP33" s="242">
        <v>4</v>
      </c>
      <c r="AQ33" s="243">
        <v>1</v>
      </c>
      <c r="AR33" s="244">
        <v>560000</v>
      </c>
      <c r="AS33" s="243" t="s">
        <v>33</v>
      </c>
      <c r="AT33" s="248" t="s">
        <v>779</v>
      </c>
      <c r="AU3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4.166666666666667</v>
      </c>
      <c r="AV33" s="246" t="str">
        <f>IF(AU33&gt;9,"SuperStar",IF(AU33&gt;8,"Star",IF(AU33&gt;6.5,"GoodReg",IF(AU33&gt;5,"Reg",IF(AU33&gt;4,"Bench","Minors")))))</f>
        <v>Bench</v>
      </c>
      <c r="AW33" s="245">
        <f>AVERAGE(X33,Z33,AA33)+IF(OR(X33&gt;7,AND(X33&gt;5,AA33&gt;5)),0.5,0)+IF(Z33&gt;7,0.25,0)+IF(X33&lt;6,-0.5*(6-X33),0)</f>
        <v>4.5</v>
      </c>
      <c r="AX33" s="245" t="str">
        <f>IF(AW33&gt;9,"SuperStar",IF(AW33&gt;8,"Star",IF(AW33&gt;6.5,"GoodReg",IF(AW33&gt;5,"Reg",IF(AW33&gt;4,"Bench","Minors")))))</f>
        <v>Bench</v>
      </c>
      <c r="AY33" s="246">
        <f>MIN(AU33+(MAX(0,25-L33))^1.5,AW33)</f>
        <v>4.166666666666667</v>
      </c>
      <c r="AZ33" s="246" t="str">
        <f>IF(AY33&gt;9,"SuperStar",IF(AY33&gt;8,"Star",IF(AY33&gt;6.5,"GoodReg",IF(AY33&gt;5,"Reg",IF(AY33&gt;4,"Bench","Minors")))))</f>
        <v>Bench</v>
      </c>
      <c r="BA33" s="247">
        <f>IF(AND(OR(S33+V33&gt;12,AND(S33&gt;6,V33&gt;6)),AO33&gt;6,OR(AP33&gt;=AO33,AP33&gt;6)),1,0)</f>
        <v>0</v>
      </c>
      <c r="BB33" s="248">
        <f>IF(OR(AND(S33&gt;6,W33&gt;6),S33+V33&gt;12),1,0)</f>
        <v>0</v>
      </c>
      <c r="BC33" s="248">
        <f>IF(AND(S33&gt;6,U33&gt;6,V33&gt;6),1,0)</f>
        <v>0</v>
      </c>
      <c r="BD33" s="248">
        <f>IF(AND(U33&gt;7,OR(S33&gt;6,V33&gt;6)),1,0)</f>
        <v>0</v>
      </c>
      <c r="BE33" s="248">
        <f>IF(AND(U33&gt;6,OR(S33&gt;6,V33&gt;6)),1,0)</f>
        <v>0</v>
      </c>
      <c r="BF33" s="248">
        <f>IF(AND(OR(S33&gt;6,U33&gt;6),OR(S33&gt;6,V33&gt;6)),1,0)</f>
        <v>0</v>
      </c>
      <c r="BG33" s="248">
        <f>IF(AND(S33&gt;4,OR(S33&gt;6,U33&gt;6,V33&gt;6)),1,0)</f>
        <v>0</v>
      </c>
      <c r="BH33" s="248">
        <f>IF(AND(S33&gt;4,OR(S33&gt;6,T33&gt;6,U33&gt;6,V33&gt;6)),1,0)</f>
        <v>1</v>
      </c>
      <c r="BI33" s="243">
        <f>IF(AND(S33&gt;4,MAX(S33:W33)&gt;6),1,0)</f>
        <v>1</v>
      </c>
      <c r="BJ33" s="247">
        <f>IF(AND(OR(X33+AA33&gt;12,AND(X33&gt;6,AA33&gt;6)),AO33&gt;6,OR(AP33&gt;=AO33,AP33&gt;6)),1,0)</f>
        <v>0</v>
      </c>
      <c r="BK33" s="248">
        <f>IF(OR(AND(X33&gt;6,AB33&gt;6),X33+AA33&gt;12),1,0)</f>
        <v>0</v>
      </c>
      <c r="BL33" s="248">
        <f>IF(AND(X33&gt;6,Z33&gt;6,AA33&gt;6),1,0)</f>
        <v>0</v>
      </c>
      <c r="BM33" s="248">
        <f>IF(AND(Z33&gt;7,OR(X33&gt;6,AA33&gt;6)),1,0)</f>
        <v>0</v>
      </c>
      <c r="BN33" s="248">
        <f>IF(AND(Z33&gt;6,OR(X33&gt;6,AA33&gt;6)),1,0)</f>
        <v>0</v>
      </c>
      <c r="BO33" s="248">
        <f>IF(AND(OR(X33&gt;6,Z33&gt;6),OR(X33&gt;6,AA33&gt;6)),1,0)</f>
        <v>0</v>
      </c>
      <c r="BP33" s="248">
        <f>IF(AND(X33&gt;4,OR(X33&gt;6,Z33&gt;6,AA33&gt;6)),1,0)</f>
        <v>0</v>
      </c>
      <c r="BQ33" s="248">
        <f>IF(AND(X33&gt;4,OR(X33&gt;6,Y33&gt;6,Z33&gt;6,AA33&gt;6)),1,0)</f>
        <v>1</v>
      </c>
      <c r="BR33" s="243">
        <f>IF(AND(X33&gt;4,MAX(X33:AB33)&gt;6),1,0)</f>
        <v>1</v>
      </c>
      <c r="BS33" s="243">
        <f>IF(AVERAGE(AO33:AP33)&gt;9,1,0)+IF(AVERAGE(AO33:AP33)&gt;7,1,0)+IF(AO33&gt;7,1,0)+IF(AP33&gt;7,1,0)+IF(AQ33&gt;8,1,0)+IF(AQ33&gt;6,1,0)</f>
        <v>0</v>
      </c>
      <c r="BT33" s="249">
        <f>IF(OR(MAX(AG33,AH33,AL33,AN33)&gt;6,MAX(AI33,AJ33,AK33,AM33)&gt;7),2,IF(MAX(AG33:AN33)&gt;4,1,0))</f>
        <v>1</v>
      </c>
      <c r="BU33" s="242" t="str">
        <f>IF(AS33=1,"Yes","")</f>
        <v/>
      </c>
      <c r="BV33" s="241" t="str">
        <f>IF($B33="ML","There",IF(AND($X33&gt;=6,AVERAGE($Z33:$AA33)&gt;=6),"Likely",IF(OR($X33&gt;6,AND($X33=6,AVERAGE($Z33:$AA33)&gt;=3),AND($X33&gt;=5,AVERAGE($Z33:$AA33)&gt;=5),AVERAGE($X33,$Z33:$AA33)&gt;5),"Possible","Unlikely")))</f>
        <v>There</v>
      </c>
      <c r="BW33" s="242" t="str">
        <f>IF(OR(AND(S33&gt;=6,U33+V33&gt;=12),S33&gt;7),"Start",IF(AND(S33&gt;=5,U33+V33&gt;=8),"Bench","aack!"))</f>
        <v>Bench</v>
      </c>
      <c r="BX33" s="242" t="str">
        <f>IF(OR(AND(X33&gt;=6,Z33+AA33&gt;=12),X33&gt;7),"Start",IF(AND(X33&gt;=5,Z33+AA33&gt;=8),"Bench","aack!"))</f>
        <v>Bench</v>
      </c>
      <c r="BY33" s="242" t="str">
        <f>IF(S33&gt;5,"ML",IF(S33=5,"AAA",IF(S33=4,"AA",IF(S33=3,"A","SS-A"))))</f>
        <v>AAA</v>
      </c>
      <c r="BZ33" s="242">
        <f>S33-X33</f>
        <v>0</v>
      </c>
      <c r="CA33" s="242">
        <f>T33-Y33</f>
        <v>0</v>
      </c>
      <c r="CB33" s="242">
        <f>U33-Z33</f>
        <v>0</v>
      </c>
      <c r="CC33" s="242">
        <f>V33-AA33</f>
        <v>-1</v>
      </c>
      <c r="CD33" s="242">
        <f>W33-AB33</f>
        <v>0</v>
      </c>
      <c r="CE33" s="242">
        <f>SUM(BZ33:CD33)</f>
        <v>-1</v>
      </c>
      <c r="CF33" s="242">
        <f>X33+Z33+AA33</f>
        <v>15</v>
      </c>
      <c r="CG33" s="242">
        <f>X33+Z33</f>
        <v>11</v>
      </c>
      <c r="CH33" s="242">
        <f>X33+AA33</f>
        <v>9</v>
      </c>
      <c r="CI33" s="242" t="str">
        <f>IF(L33&gt;24,"Now - Age",IF(S33&gt;6,"Now",IF(X33&lt;6,"With Dev",MIN(X33-S33,7-S33))))</f>
        <v>Now - Age</v>
      </c>
      <c r="CJ33" s="257" t="str">
        <f>IF(AG33&lt;&gt;"-","X","")</f>
        <v>X</v>
      </c>
      <c r="CK33" s="257" t="str">
        <f>IF(AND(AH33&lt;&gt;"-",AH33&gt;5),"X","")</f>
        <v/>
      </c>
      <c r="CL33" s="257" t="str">
        <f>IF(AND(AI33&lt;&gt;"-",AI33&gt;5),"X","")</f>
        <v/>
      </c>
      <c r="CM33" s="257" t="str">
        <f>IF(AND(AJ33&lt;&gt;"-",AJ33&gt;4,AC33&gt;6),"X","")</f>
        <v/>
      </c>
      <c r="CN33" s="257" t="str">
        <f>IF(AND(AK33&lt;&gt;"-",AK33&gt;5,AC33&gt;5),"X","")</f>
        <v/>
      </c>
      <c r="CO33" s="257" t="str">
        <f>IF(AND(AL33&lt;&gt;"-",AL33&gt;3),"X","")</f>
        <v/>
      </c>
      <c r="CP33" s="257" t="str">
        <f>IF(AND(AM33&lt;&gt;"-",AM33&gt;6),"X","")</f>
        <v/>
      </c>
      <c r="CQ33" s="257" t="str">
        <f>IF(AND(AN33&lt;&gt;"-",AN33&gt;5,AD33&gt;6),"X","")</f>
        <v/>
      </c>
      <c r="CR33" s="257" t="str">
        <f>IF(COUNTBLANK(CJ33:CQ33)=8,"X","")</f>
        <v/>
      </c>
    </row>
    <row r="34" spans="1:96" s="306" customFormat="1" x14ac:dyDescent="0.25">
      <c r="A34" s="240" t="str">
        <f>H34&amp;" "&amp;I34</f>
        <v>Ichiro Kanno</v>
      </c>
      <c r="B34" s="240" t="str">
        <f>IF(ISERROR(VLOOKUP(A34,AMA!$C$3:$C$24,1,FALSE)),IF(ISERROR(VLOOKUP(A34,'END-AAA'!$C$6:$C$33,1,FALSE)),IF(ISERROR(VLOOKUP(A34,'DB-AA'!$C$6:$C$33,1,FALSE)),IF(ISERROR(VLOOKUP(A34,'UTR-A'!$C$6:$C$33,1,FALSE)),IF(ISERROR(VLOOKUP(A34,'FAI-S A'!$C$6:$C$33,1,FALSE)),"","S A"),"A"),"AA"),"AAA"),"ML")</f>
        <v/>
      </c>
      <c r="C34" s="241"/>
      <c r="D34" s="242">
        <f>IF(BL34=1,3,IF(BM34=1,4,IF(BJ34=1,1,IF(BN34=1,5,IF(BK34=1,2,IF(BO34=1,6,IF(BP34=1,7,IF(BQ34=1,8,IF(BR34=1,9,"-")))))))))</f>
        <v>7</v>
      </c>
      <c r="E34" s="242">
        <f>IF(BC34=1,3,IF(BD34=1,4,IF(BA34=1,1,IF(BE34=1,5,IF(BB34=1,2,IF(BF34=1,6,IF(BG34=1,7,IF(BH34=1,8,IF(BI34=1,9,"-")))))))))</f>
        <v>7</v>
      </c>
      <c r="F34" s="242" t="str">
        <f>IF(OR(OR(Q34="Very High",Q34="High"),AND(OR(Q34="Very High",Q34="High",Q34="Normal"),OR(R34="Very High",R34="High"))),"K","T")</f>
        <v>T</v>
      </c>
      <c r="G34" s="242" t="s">
        <v>74</v>
      </c>
      <c r="H34" s="242" t="s">
        <v>781</v>
      </c>
      <c r="I34" s="242" t="s">
        <v>782</v>
      </c>
      <c r="J34" s="242" t="s">
        <v>783</v>
      </c>
      <c r="K34" s="242" t="s">
        <v>185</v>
      </c>
      <c r="L34" s="242">
        <v>37</v>
      </c>
      <c r="M34" s="242" t="s">
        <v>83</v>
      </c>
      <c r="N34" s="242" t="s">
        <v>83</v>
      </c>
      <c r="O34" s="242" t="s">
        <v>773</v>
      </c>
      <c r="P34" s="243" t="s">
        <v>773</v>
      </c>
      <c r="Q34" s="242" t="s">
        <v>200</v>
      </c>
      <c r="R34" s="243" t="s">
        <v>200</v>
      </c>
      <c r="S34" s="242">
        <v>5</v>
      </c>
      <c r="T34" s="242">
        <v>6</v>
      </c>
      <c r="U34" s="242">
        <v>2</v>
      </c>
      <c r="V34" s="242">
        <v>7</v>
      </c>
      <c r="W34" s="243">
        <v>3</v>
      </c>
      <c r="X34" s="242">
        <v>5</v>
      </c>
      <c r="Y34" s="242">
        <v>6</v>
      </c>
      <c r="Z34" s="242">
        <v>2</v>
      </c>
      <c r="AA34" s="242">
        <v>7</v>
      </c>
      <c r="AB34" s="243">
        <v>3</v>
      </c>
      <c r="AC34" s="242">
        <v>5</v>
      </c>
      <c r="AD34" s="242">
        <v>3</v>
      </c>
      <c r="AE34" s="242">
        <v>1</v>
      </c>
      <c r="AF34" s="242" t="s">
        <v>32</v>
      </c>
      <c r="AG34" s="242" t="s">
        <v>32</v>
      </c>
      <c r="AH34" s="242" t="s">
        <v>32</v>
      </c>
      <c r="AI34" s="242">
        <v>6</v>
      </c>
      <c r="AJ34" s="242">
        <v>4</v>
      </c>
      <c r="AK34" s="242">
        <v>4</v>
      </c>
      <c r="AL34" s="242">
        <v>4</v>
      </c>
      <c r="AM34" s="242" t="s">
        <v>32</v>
      </c>
      <c r="AN34" s="243">
        <v>2</v>
      </c>
      <c r="AO34" s="242">
        <v>4</v>
      </c>
      <c r="AP34" s="242">
        <v>8</v>
      </c>
      <c r="AQ34" s="243">
        <v>7</v>
      </c>
      <c r="AR34" s="244" t="s">
        <v>32</v>
      </c>
      <c r="AS34" s="243">
        <v>1</v>
      </c>
      <c r="AT34" s="248" t="s">
        <v>779</v>
      </c>
      <c r="AU34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4.166666666666667</v>
      </c>
      <c r="AV34" s="246" t="str">
        <f>IF(AU34&gt;9,"SuperStar",IF(AU34&gt;8,"Star",IF(AU34&gt;6.5,"GoodReg",IF(AU34&gt;5,"Reg",IF(AU34&gt;4,"Bench","Minors")))))</f>
        <v>Bench</v>
      </c>
      <c r="AW34" s="245">
        <f>AVERAGE(X34,Z34,AA34)+IF(OR(X34&gt;7,AND(X34&gt;5,AA34&gt;5)),0.5,0)+IF(Z34&gt;7,0.25,0)+IF(X34&lt;6,-0.5*(6-X34),0)</f>
        <v>4.166666666666667</v>
      </c>
      <c r="AX34" s="245" t="str">
        <f>IF(AW34&gt;9,"SuperStar",IF(AW34&gt;8,"Star",IF(AW34&gt;6.5,"GoodReg",IF(AW34&gt;5,"Reg",IF(AW34&gt;4,"Bench","Minors")))))</f>
        <v>Bench</v>
      </c>
      <c r="AY34" s="246">
        <f>MIN(AU34+(MAX(0,25-L34))^1.5,AW34)</f>
        <v>4.166666666666667</v>
      </c>
      <c r="AZ34" s="246" t="str">
        <f>IF(AY34&gt;9,"SuperStar",IF(AY34&gt;8,"Star",IF(AY34&gt;6.5,"GoodReg",IF(AY34&gt;5,"Reg",IF(AY34&gt;4,"Bench","Minors")))))</f>
        <v>Bench</v>
      </c>
      <c r="BA34" s="247">
        <f>IF(AND(OR(S34+V34&gt;12,AND(S34&gt;6,V34&gt;6)),AO34&gt;6,OR(AP34&gt;=AO34,AP34&gt;6)),1,0)</f>
        <v>0</v>
      </c>
      <c r="BB34" s="248">
        <f>IF(OR(AND(S34&gt;6,W34&gt;6),S34+V34&gt;12),1,0)</f>
        <v>0</v>
      </c>
      <c r="BC34" s="248">
        <f>IF(AND(S34&gt;6,U34&gt;6,V34&gt;6),1,0)</f>
        <v>0</v>
      </c>
      <c r="BD34" s="248">
        <f>IF(AND(U34&gt;7,OR(S34&gt;6,V34&gt;6)),1,0)</f>
        <v>0</v>
      </c>
      <c r="BE34" s="248">
        <f>IF(AND(U34&gt;6,OR(S34&gt;6,V34&gt;6)),1,0)</f>
        <v>0</v>
      </c>
      <c r="BF34" s="248">
        <f>IF(AND(OR(S34&gt;6,U34&gt;6),OR(S34&gt;6,V34&gt;6)),1,0)</f>
        <v>0</v>
      </c>
      <c r="BG34" s="248">
        <f>IF(AND(S34&gt;4,OR(S34&gt;6,U34&gt;6,V34&gt;6)),1,0)</f>
        <v>1</v>
      </c>
      <c r="BH34" s="248">
        <f>IF(AND(S34&gt;4,OR(S34&gt;6,T34&gt;6,U34&gt;6,V34&gt;6)),1,0)</f>
        <v>1</v>
      </c>
      <c r="BI34" s="243">
        <f>IF(AND(S34&gt;4,MAX(S34:W34)&gt;6),1,0)</f>
        <v>1</v>
      </c>
      <c r="BJ34" s="247">
        <f>IF(AND(OR(X34+AA34&gt;12,AND(X34&gt;6,AA34&gt;6)),AO34&gt;6,OR(AP34&gt;=AO34,AP34&gt;6)),1,0)</f>
        <v>0</v>
      </c>
      <c r="BK34" s="248">
        <f>IF(OR(AND(X34&gt;6,AB34&gt;6),X34+AA34&gt;12),1,0)</f>
        <v>0</v>
      </c>
      <c r="BL34" s="248">
        <f>IF(AND(X34&gt;6,Z34&gt;6,AA34&gt;6),1,0)</f>
        <v>0</v>
      </c>
      <c r="BM34" s="248">
        <f>IF(AND(Z34&gt;7,OR(X34&gt;6,AA34&gt;6)),1,0)</f>
        <v>0</v>
      </c>
      <c r="BN34" s="248">
        <f>IF(AND(Z34&gt;6,OR(X34&gt;6,AA34&gt;6)),1,0)</f>
        <v>0</v>
      </c>
      <c r="BO34" s="248">
        <f>IF(AND(OR(X34&gt;6,Z34&gt;6),OR(X34&gt;6,AA34&gt;6)),1,0)</f>
        <v>0</v>
      </c>
      <c r="BP34" s="248">
        <f>IF(AND(X34&gt;4,OR(X34&gt;6,Z34&gt;6,AA34&gt;6)),1,0)</f>
        <v>1</v>
      </c>
      <c r="BQ34" s="248">
        <f>IF(AND(X34&gt;4,OR(X34&gt;6,Y34&gt;6,Z34&gt;6,AA34&gt;6)),1,0)</f>
        <v>1</v>
      </c>
      <c r="BR34" s="243">
        <f>IF(AND(X34&gt;4,MAX(X34:AB34)&gt;6),1,0)</f>
        <v>1</v>
      </c>
      <c r="BS34" s="243">
        <f>IF(AVERAGE(AO34:AP34)&gt;9,1,0)+IF(AVERAGE(AO34:AP34)&gt;7,1,0)+IF(AO34&gt;7,1,0)+IF(AP34&gt;7,1,0)+IF(AQ34&gt;8,1,0)+IF(AQ34&gt;6,1,0)</f>
        <v>2</v>
      </c>
      <c r="BT34" s="249">
        <f>IF(OR(MAX(AG34,AH34,AL34,AN34)&gt;6,MAX(AI34,AJ34,AK34,AM34)&gt;7),2,IF(MAX(AG34:AN34)&gt;4,1,0))</f>
        <v>1</v>
      </c>
      <c r="BU34" s="242" t="str">
        <f>IF(AS34=1,"Yes","")</f>
        <v>Yes</v>
      </c>
      <c r="BV34" s="241" t="str">
        <f>IF($B34="ML","There",IF(AND($X34&gt;=6,AVERAGE($Z34:$AA34)&gt;=6),"Likely",IF(OR($X34&gt;6,AND($X34=6,AVERAGE($Z34:$AA34)&gt;=3),AND($X34&gt;=5,AVERAGE($Z34:$AA34)&gt;=5),AVERAGE($X34,$Z34:$AA34)&gt;5),"Possible","Unlikely")))</f>
        <v>Unlikely</v>
      </c>
      <c r="BW34" s="242" t="str">
        <f>IF(OR(AND(S34&gt;=6,U34+V34&gt;=12),S34&gt;7),"Start",IF(AND(S34&gt;=5,U34+V34&gt;=8),"Bench","aack!"))</f>
        <v>Bench</v>
      </c>
      <c r="BX34" s="242" t="str">
        <f>IF(OR(AND(X34&gt;=6,Z34+AA34&gt;=12),X34&gt;7),"Start",IF(AND(X34&gt;=5,Z34+AA34&gt;=8),"Bench","aack!"))</f>
        <v>Bench</v>
      </c>
      <c r="BY34" s="242" t="str">
        <f>IF(S34&gt;5,"ML",IF(S34=5,"AAA",IF(S34=4,"AA",IF(S34=3,"A","SS-A"))))</f>
        <v>AAA</v>
      </c>
      <c r="BZ34" s="242">
        <f>S34-X34</f>
        <v>0</v>
      </c>
      <c r="CA34" s="242">
        <f>T34-Y34</f>
        <v>0</v>
      </c>
      <c r="CB34" s="242">
        <f>U34-Z34</f>
        <v>0</v>
      </c>
      <c r="CC34" s="242">
        <f>V34-AA34</f>
        <v>0</v>
      </c>
      <c r="CD34" s="242">
        <f>W34-AB34</f>
        <v>0</v>
      </c>
      <c r="CE34" s="242">
        <f>SUM(BZ34:CD34)</f>
        <v>0</v>
      </c>
      <c r="CF34" s="242">
        <f>X34+Z34+AA34</f>
        <v>14</v>
      </c>
      <c r="CG34" s="242">
        <f>X34+Z34</f>
        <v>7</v>
      </c>
      <c r="CH34" s="242">
        <f>X34+AA34</f>
        <v>12</v>
      </c>
      <c r="CI34" s="242" t="str">
        <f>IF(L34&gt;24,"Now - Age",IF(S34&gt;6,"Now",IF(X34&lt;6,"With Dev",MIN(X34-S34,7-S34))))</f>
        <v>Now - Age</v>
      </c>
      <c r="CJ34" s="257" t="str">
        <f>IF(AG34&lt;&gt;"-","X","")</f>
        <v/>
      </c>
      <c r="CK34" s="257" t="str">
        <f>IF(AND(AH34&lt;&gt;"-",AH34&gt;5),"X","")</f>
        <v/>
      </c>
      <c r="CL34" s="257" t="str">
        <f>IF(AND(AI34&lt;&gt;"-",AI34&gt;5),"X","")</f>
        <v>X</v>
      </c>
      <c r="CM34" s="257" t="str">
        <f>IF(AND(AJ34&lt;&gt;"-",AJ34&gt;4,AC34&gt;6),"X","")</f>
        <v/>
      </c>
      <c r="CN34" s="257" t="str">
        <f>IF(AND(AK34&lt;&gt;"-",AK34&gt;5,AC34&gt;5),"X","")</f>
        <v/>
      </c>
      <c r="CO34" s="257" t="str">
        <f>IF(AND(AL34&lt;&gt;"-",AL34&gt;3),"X","")</f>
        <v>X</v>
      </c>
      <c r="CP34" s="257" t="str">
        <f>IF(AND(AM34&lt;&gt;"-",AM34&gt;6),"X","")</f>
        <v/>
      </c>
      <c r="CQ34" s="257" t="str">
        <f>IF(AND(AN34&lt;&gt;"-",AN34&gt;5,AD34&gt;6),"X","")</f>
        <v/>
      </c>
      <c r="CR34" s="257" t="str">
        <f>IF(COUNTBLANK(CJ34:CQ34)=8,"X","")</f>
        <v/>
      </c>
    </row>
    <row r="35" spans="1:96" s="306" customFormat="1" x14ac:dyDescent="0.25">
      <c r="A35" s="240" t="str">
        <f>H35&amp;" "&amp;I35</f>
        <v>Tai hoi Hsiao</v>
      </c>
      <c r="B35" s="240" t="str">
        <f>IF(ISERROR(VLOOKUP(A35,AMA!$C$3:$C$24,1,FALSE)),IF(ISERROR(VLOOKUP(A35,'END-AAA'!$C$6:$C$33,1,FALSE)),IF(ISERROR(VLOOKUP(A35,'DB-AA'!$C$6:$C$33,1,FALSE)),IF(ISERROR(VLOOKUP(A35,'UTR-A'!$C$6:$C$33,1,FALSE)),IF(ISERROR(VLOOKUP(A35,'FAI-S A'!$C$6:$C$33,1,FALSE)),"","S A"),"A"),"AA"),"AAA"),"ML")</f>
        <v/>
      </c>
      <c r="C35" s="241"/>
      <c r="D35" s="242">
        <f>IF(BL35=1,3,IF(BM35=1,4,IF(BJ35=1,1,IF(BN35=1,5,IF(BK35=1,2,IF(BO35=1,6,IF(BP35=1,7,IF(BQ35=1,8,IF(BR35=1,9,"-")))))))))</f>
        <v>2</v>
      </c>
      <c r="E35" s="242" t="str">
        <f>IF(BC35=1,3,IF(BD35=1,4,IF(BA35=1,1,IF(BE35=1,5,IF(BB35=1,2,IF(BF35=1,6,IF(BG35=1,7,IF(BH35=1,8,IF(BI35=1,9,"-")))))))))</f>
        <v>-</v>
      </c>
      <c r="F35" s="242" t="str">
        <f>IF(OR(OR(Q35="Very High",Q35="High"),AND(OR(Q35="Very High",Q35="High",Q35="Normal"),OR(R35="Very High",R35="High"))),"K","T")</f>
        <v>T</v>
      </c>
      <c r="G35" s="242" t="s">
        <v>73</v>
      </c>
      <c r="H35" s="242" t="s">
        <v>846</v>
      </c>
      <c r="I35" s="242" t="s">
        <v>847</v>
      </c>
      <c r="J35" s="242" t="s">
        <v>802</v>
      </c>
      <c r="K35" s="242" t="s">
        <v>277</v>
      </c>
      <c r="L35" s="242">
        <v>22</v>
      </c>
      <c r="M35" s="242" t="s">
        <v>85</v>
      </c>
      <c r="N35" s="242" t="s">
        <v>83</v>
      </c>
      <c r="O35" s="242" t="s">
        <v>808</v>
      </c>
      <c r="P35" s="243" t="s">
        <v>764</v>
      </c>
      <c r="Q35" s="242" t="s">
        <v>200</v>
      </c>
      <c r="R35" s="243" t="s">
        <v>200</v>
      </c>
      <c r="S35" s="242">
        <v>4</v>
      </c>
      <c r="T35" s="242">
        <v>5</v>
      </c>
      <c r="U35" s="242">
        <v>4</v>
      </c>
      <c r="V35" s="242">
        <v>7</v>
      </c>
      <c r="W35" s="243">
        <v>6</v>
      </c>
      <c r="X35" s="242">
        <v>5</v>
      </c>
      <c r="Y35" s="242">
        <v>5</v>
      </c>
      <c r="Z35" s="242">
        <v>6</v>
      </c>
      <c r="AA35" s="242">
        <v>8</v>
      </c>
      <c r="AB35" s="243">
        <v>6</v>
      </c>
      <c r="AC35" s="242">
        <v>3</v>
      </c>
      <c r="AD35" s="242">
        <v>1</v>
      </c>
      <c r="AE35" s="242">
        <v>1</v>
      </c>
      <c r="AF35" s="242" t="s">
        <v>32</v>
      </c>
      <c r="AG35" s="242" t="s">
        <v>32</v>
      </c>
      <c r="AH35" s="242">
        <v>7</v>
      </c>
      <c r="AI35" s="242" t="s">
        <v>32</v>
      </c>
      <c r="AJ35" s="242" t="s">
        <v>32</v>
      </c>
      <c r="AK35" s="242" t="s">
        <v>32</v>
      </c>
      <c r="AL35" s="242" t="s">
        <v>32</v>
      </c>
      <c r="AM35" s="242" t="s">
        <v>32</v>
      </c>
      <c r="AN35" s="243" t="s">
        <v>32</v>
      </c>
      <c r="AO35" s="242">
        <v>1</v>
      </c>
      <c r="AP35" s="242">
        <v>1</v>
      </c>
      <c r="AQ35" s="243">
        <v>2</v>
      </c>
      <c r="AR35" s="244" t="s">
        <v>32</v>
      </c>
      <c r="AS35" s="243" t="s">
        <v>33</v>
      </c>
      <c r="AT35" s="248" t="s">
        <v>779</v>
      </c>
      <c r="AU35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</v>
      </c>
      <c r="AV35" s="246" t="str">
        <f>IF(AU35&gt;9,"SuperStar",IF(AU35&gt;8,"Star",IF(AU35&gt;6.5,"GoodReg",IF(AU35&gt;5,"Reg",IF(AU35&gt;4,"Bench","Minors")))))</f>
        <v>Minors</v>
      </c>
      <c r="AW35" s="245">
        <f>AVERAGE(X35,Z35,AA35)+IF(OR(X35&gt;7,AND(X35&gt;5,AA35&gt;5)),0.5,0)+IF(Z35&gt;7,0.25,0)+IF(X35&lt;6,-0.5*(6-X35),0)</f>
        <v>5.833333333333333</v>
      </c>
      <c r="AX35" s="245" t="str">
        <f>IF(AW35&gt;9,"SuperStar",IF(AW35&gt;8,"Star",IF(AW35&gt;6.5,"GoodReg",IF(AW35&gt;5,"Reg",IF(AW35&gt;4,"Bench","Minors")))))</f>
        <v>Reg</v>
      </c>
      <c r="AY35" s="246">
        <f>MIN(AU35+(MAX(0,25-L35))^1.5,AW35)</f>
        <v>5.833333333333333</v>
      </c>
      <c r="AZ35" s="246" t="str">
        <f>IF(AY35&gt;9,"SuperStar",IF(AY35&gt;8,"Star",IF(AY35&gt;6.5,"GoodReg",IF(AY35&gt;5,"Reg",IF(AY35&gt;4,"Bench","Minors")))))</f>
        <v>Reg</v>
      </c>
      <c r="BA35" s="247">
        <f>IF(AND(OR(S35+V35&gt;12,AND(S35&gt;6,V35&gt;6)),AO35&gt;6,OR(AP35&gt;=AO35,AP35&gt;6)),1,0)</f>
        <v>0</v>
      </c>
      <c r="BB35" s="248">
        <f>IF(OR(AND(S35&gt;6,W35&gt;6),S35+V35&gt;12),1,0)</f>
        <v>0</v>
      </c>
      <c r="BC35" s="248">
        <f>IF(AND(S35&gt;6,U35&gt;6,V35&gt;6),1,0)</f>
        <v>0</v>
      </c>
      <c r="BD35" s="248">
        <f>IF(AND(U35&gt;7,OR(S35&gt;6,V35&gt;6)),1,0)</f>
        <v>0</v>
      </c>
      <c r="BE35" s="248">
        <f>IF(AND(U35&gt;6,OR(S35&gt;6,V35&gt;6)),1,0)</f>
        <v>0</v>
      </c>
      <c r="BF35" s="248">
        <f>IF(AND(OR(S35&gt;6,U35&gt;6),OR(S35&gt;6,V35&gt;6)),1,0)</f>
        <v>0</v>
      </c>
      <c r="BG35" s="248">
        <f>IF(AND(S35&gt;4,OR(S35&gt;6,U35&gt;6,V35&gt;6)),1,0)</f>
        <v>0</v>
      </c>
      <c r="BH35" s="248">
        <f>IF(AND(S35&gt;4,OR(S35&gt;6,T35&gt;6,U35&gt;6,V35&gt;6)),1,0)</f>
        <v>0</v>
      </c>
      <c r="BI35" s="243">
        <f>IF(AND(S35&gt;4,MAX(S35:W35)&gt;6),1,0)</f>
        <v>0</v>
      </c>
      <c r="BJ35" s="247">
        <f>IF(AND(OR(X35+AA35&gt;12,AND(X35&gt;6,AA35&gt;6)),AO35&gt;6,OR(AP35&gt;=AO35,AP35&gt;6)),1,0)</f>
        <v>0</v>
      </c>
      <c r="BK35" s="248">
        <f>IF(OR(AND(X35&gt;6,AB35&gt;6),X35+AA35&gt;12),1,0)</f>
        <v>1</v>
      </c>
      <c r="BL35" s="248">
        <f>IF(AND(X35&gt;6,Z35&gt;6,AA35&gt;6),1,0)</f>
        <v>0</v>
      </c>
      <c r="BM35" s="248">
        <f>IF(AND(Z35&gt;7,OR(X35&gt;6,AA35&gt;6)),1,0)</f>
        <v>0</v>
      </c>
      <c r="BN35" s="248">
        <f>IF(AND(Z35&gt;6,OR(X35&gt;6,AA35&gt;6)),1,0)</f>
        <v>0</v>
      </c>
      <c r="BO35" s="248">
        <f>IF(AND(OR(X35&gt;6,Z35&gt;6),OR(X35&gt;6,AA35&gt;6)),1,0)</f>
        <v>0</v>
      </c>
      <c r="BP35" s="248">
        <f>IF(AND(X35&gt;4,OR(X35&gt;6,Z35&gt;6,AA35&gt;6)),1,0)</f>
        <v>1</v>
      </c>
      <c r="BQ35" s="248">
        <f>IF(AND(X35&gt;4,OR(X35&gt;6,Y35&gt;6,Z35&gt;6,AA35&gt;6)),1,0)</f>
        <v>1</v>
      </c>
      <c r="BR35" s="243">
        <f>IF(AND(X35&gt;4,MAX(X35:AB35)&gt;6),1,0)</f>
        <v>1</v>
      </c>
      <c r="BS35" s="243">
        <f>IF(AVERAGE(AO35:AP35)&gt;9,1,0)+IF(AVERAGE(AO35:AP35)&gt;7,1,0)+IF(AO35&gt;7,1,0)+IF(AP35&gt;7,1,0)+IF(AQ35&gt;8,1,0)+IF(AQ35&gt;6,1,0)</f>
        <v>0</v>
      </c>
      <c r="BT35" s="249">
        <f>IF(OR(MAX(AG35,AH35,AL35,AN35)&gt;6,MAX(AI35,AJ35,AK35,AM35)&gt;7),2,IF(MAX(AG35:AN35)&gt;4,1,0))</f>
        <v>2</v>
      </c>
      <c r="BU35" s="242" t="str">
        <f>IF(AS35=1,"Yes","")</f>
        <v/>
      </c>
      <c r="BV35" s="241" t="str">
        <f>IF($B35="ML","There",IF(AND($X35&gt;=6,AVERAGE($Z35:$AA35)&gt;=6),"Likely",IF(OR($X35&gt;6,AND($X35=6,AVERAGE($Z35:$AA35)&gt;=3),AND($X35&gt;=5,AVERAGE($Z35:$AA35)&gt;=5),AVERAGE($X35,$Z35:$AA35)&gt;5),"Possible","Unlikely")))</f>
        <v>Possible</v>
      </c>
      <c r="BW35" s="242" t="str">
        <f>IF(OR(AND(S35&gt;=6,U35+V35&gt;=12),S35&gt;7),"Start",IF(AND(S35&gt;=5,U35+V35&gt;=8),"Bench","aack!"))</f>
        <v>aack!</v>
      </c>
      <c r="BX35" s="242" t="str">
        <f>IF(OR(AND(X35&gt;=6,Z35+AA35&gt;=12),X35&gt;7),"Start",IF(AND(X35&gt;=5,Z35+AA35&gt;=8),"Bench","aack!"))</f>
        <v>Bench</v>
      </c>
      <c r="BY35" s="242" t="str">
        <f>IF(S35&gt;5,"ML",IF(S35=5,"AAA",IF(S35=4,"AA",IF(S35=3,"A","SS-A"))))</f>
        <v>AA</v>
      </c>
      <c r="BZ35" s="242">
        <f>S35-X35</f>
        <v>-1</v>
      </c>
      <c r="CA35" s="242">
        <f>T35-Y35</f>
        <v>0</v>
      </c>
      <c r="CB35" s="242">
        <f>U35-Z35</f>
        <v>-2</v>
      </c>
      <c r="CC35" s="242">
        <f>V35-AA35</f>
        <v>-1</v>
      </c>
      <c r="CD35" s="242">
        <f>W35-AB35</f>
        <v>0</v>
      </c>
      <c r="CE35" s="242">
        <f>SUM(BZ35:CD35)</f>
        <v>-4</v>
      </c>
      <c r="CF35" s="242">
        <f>X35+Z35+AA35</f>
        <v>19</v>
      </c>
      <c r="CG35" s="242">
        <f>X35+Z35</f>
        <v>11</v>
      </c>
      <c r="CH35" s="242">
        <f>X35+AA35</f>
        <v>13</v>
      </c>
      <c r="CI35" s="242" t="str">
        <f>IF(L35&gt;24,"Now - Age",IF(S35&gt;6,"Now",IF(X35&lt;6,"With Dev",MIN(X35-S35,7-S35))))</f>
        <v>With Dev</v>
      </c>
      <c r="CJ35" s="257" t="str">
        <f>IF(AG35&lt;&gt;"-","X","")</f>
        <v/>
      </c>
      <c r="CK35" s="257" t="str">
        <f>IF(AND(AH35&lt;&gt;"-",AH35&gt;5),"X","")</f>
        <v>X</v>
      </c>
      <c r="CL35" s="257" t="str">
        <f>IF(AND(AI35&lt;&gt;"-",AI35&gt;5),"X","")</f>
        <v/>
      </c>
      <c r="CM35" s="257" t="str">
        <f>IF(AND(AJ35&lt;&gt;"-",AJ35&gt;4,AC35&gt;6),"X","")</f>
        <v/>
      </c>
      <c r="CN35" s="257" t="str">
        <f>IF(AND(AK35&lt;&gt;"-",AK35&gt;5,AC35&gt;5),"X","")</f>
        <v/>
      </c>
      <c r="CO35" s="257" t="str">
        <f>IF(AND(AL35&lt;&gt;"-",AL35&gt;3),"X","")</f>
        <v/>
      </c>
      <c r="CP35" s="257" t="str">
        <f>IF(AND(AM35&lt;&gt;"-",AM35&gt;6),"X","")</f>
        <v/>
      </c>
      <c r="CQ35" s="257" t="str">
        <f>IF(AND(AN35&lt;&gt;"-",AN35&gt;5,AD35&gt;6),"X","")</f>
        <v/>
      </c>
      <c r="CR35" s="257" t="str">
        <f>IF(COUNTBLANK(CJ35:CQ35)=8,"X","")</f>
        <v/>
      </c>
    </row>
    <row r="36" spans="1:96" s="306" customFormat="1" x14ac:dyDescent="0.25">
      <c r="A36" s="240" t="str">
        <f>H36&amp;" "&amp;I36</f>
        <v>Eduardo Rivera</v>
      </c>
      <c r="B36" s="240" t="str">
        <f>IF(ISERROR(VLOOKUP(A36,AMA!$C$3:$C$24,1,FALSE)),IF(ISERROR(VLOOKUP(A36,'END-AAA'!$C$6:$C$33,1,FALSE)),IF(ISERROR(VLOOKUP(A36,'DB-AA'!$C$6:$C$33,1,FALSE)),IF(ISERROR(VLOOKUP(A36,'UTR-A'!$C$6:$C$33,1,FALSE)),IF(ISERROR(VLOOKUP(A36,'FAI-S A'!$C$6:$C$33,1,FALSE)),"","S A"),"A"),"AA"),"AAA"),"ML")</f>
        <v/>
      </c>
      <c r="C36" s="241"/>
      <c r="D36" s="242" t="str">
        <f>IF(BL36=1,3,IF(BM36=1,4,IF(BJ36=1,1,IF(BN36=1,5,IF(BK36=1,2,IF(BO36=1,6,IF(BP36=1,7,IF(BQ36=1,8,IF(BR36=1,9,"-")))))))))</f>
        <v>-</v>
      </c>
      <c r="E36" s="242" t="str">
        <f>IF(BC36=1,3,IF(BD36=1,4,IF(BA36=1,1,IF(BE36=1,5,IF(BB36=1,2,IF(BF36=1,6,IF(BG36=1,7,IF(BH36=1,8,IF(BI36=1,9,"-")))))))))</f>
        <v>-</v>
      </c>
      <c r="F36" s="242" t="str">
        <f>IF(OR(OR(Q36="Very High",Q36="High"),AND(OR(Q36="Very High",Q36="High",Q36="Normal"),OR(R36="Very High",R36="High"))),"K","T")</f>
        <v>K</v>
      </c>
      <c r="G36" s="242" t="s">
        <v>77</v>
      </c>
      <c r="H36" s="242" t="s">
        <v>791</v>
      </c>
      <c r="I36" s="242" t="s">
        <v>792</v>
      </c>
      <c r="J36" s="242" t="s">
        <v>783</v>
      </c>
      <c r="K36" s="242" t="s">
        <v>185</v>
      </c>
      <c r="L36" s="242">
        <v>29</v>
      </c>
      <c r="M36" s="242" t="s">
        <v>82</v>
      </c>
      <c r="N36" s="242" t="s">
        <v>82</v>
      </c>
      <c r="O36" s="242" t="s">
        <v>773</v>
      </c>
      <c r="P36" s="243" t="s">
        <v>773</v>
      </c>
      <c r="Q36" s="242" t="s">
        <v>199</v>
      </c>
      <c r="R36" s="243" t="s">
        <v>200</v>
      </c>
      <c r="S36" s="242">
        <v>4</v>
      </c>
      <c r="T36" s="242">
        <v>4</v>
      </c>
      <c r="U36" s="242">
        <v>5</v>
      </c>
      <c r="V36" s="242">
        <v>6</v>
      </c>
      <c r="W36" s="243">
        <v>6</v>
      </c>
      <c r="X36" s="242">
        <v>4</v>
      </c>
      <c r="Y36" s="242">
        <v>4</v>
      </c>
      <c r="Z36" s="242">
        <v>6</v>
      </c>
      <c r="AA36" s="242">
        <v>6</v>
      </c>
      <c r="AB36" s="243">
        <v>6</v>
      </c>
      <c r="AC36" s="242">
        <v>1</v>
      </c>
      <c r="AD36" s="242">
        <v>4</v>
      </c>
      <c r="AE36" s="242">
        <v>1</v>
      </c>
      <c r="AF36" s="242" t="s">
        <v>32</v>
      </c>
      <c r="AG36" s="242" t="s">
        <v>32</v>
      </c>
      <c r="AH36" s="242" t="s">
        <v>32</v>
      </c>
      <c r="AI36" s="242" t="s">
        <v>32</v>
      </c>
      <c r="AJ36" s="242" t="s">
        <v>32</v>
      </c>
      <c r="AK36" s="242" t="s">
        <v>32</v>
      </c>
      <c r="AL36" s="242">
        <v>4</v>
      </c>
      <c r="AM36" s="242" t="s">
        <v>32</v>
      </c>
      <c r="AN36" s="243">
        <v>3</v>
      </c>
      <c r="AO36" s="242">
        <v>3</v>
      </c>
      <c r="AP36" s="242">
        <v>7</v>
      </c>
      <c r="AQ36" s="243">
        <v>6</v>
      </c>
      <c r="AR36" s="244" t="s">
        <v>32</v>
      </c>
      <c r="AS36" s="243" t="s">
        <v>33</v>
      </c>
      <c r="AT36" s="248" t="s">
        <v>199</v>
      </c>
      <c r="AU36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</v>
      </c>
      <c r="AV36" s="246" t="str">
        <f>IF(AU36&gt;9,"SuperStar",IF(AU36&gt;8,"Star",IF(AU36&gt;6.5,"GoodReg",IF(AU36&gt;5,"Reg",IF(AU36&gt;4,"Bench","Minors")))))</f>
        <v>Minors</v>
      </c>
      <c r="AW36" s="245">
        <f>AVERAGE(X36,Z36,AA36)+IF(OR(X36&gt;7,AND(X36&gt;5,AA36&gt;5)),0.5,0)+IF(Z36&gt;7,0.25,0)+IF(X36&lt;6,-0.5*(6-X36),0)</f>
        <v>4.333333333333333</v>
      </c>
      <c r="AX36" s="245" t="str">
        <f>IF(AW36&gt;9,"SuperStar",IF(AW36&gt;8,"Star",IF(AW36&gt;6.5,"GoodReg",IF(AW36&gt;5,"Reg",IF(AW36&gt;4,"Bench","Minors")))))</f>
        <v>Bench</v>
      </c>
      <c r="AY36" s="246">
        <f>MIN(AU36+(MAX(0,25-L36))^1.5,AW36)</f>
        <v>4</v>
      </c>
      <c r="AZ36" s="246" t="str">
        <f>IF(AY36&gt;9,"SuperStar",IF(AY36&gt;8,"Star",IF(AY36&gt;6.5,"GoodReg",IF(AY36&gt;5,"Reg",IF(AY36&gt;4,"Bench","Minors")))))</f>
        <v>Minors</v>
      </c>
      <c r="BA36" s="247">
        <f>IF(AND(OR(S36+V36&gt;12,AND(S36&gt;6,V36&gt;6)),AO36&gt;6,OR(AP36&gt;=AO36,AP36&gt;6)),1,0)</f>
        <v>0</v>
      </c>
      <c r="BB36" s="248">
        <f>IF(OR(AND(S36&gt;6,W36&gt;6),S36+V36&gt;12),1,0)</f>
        <v>0</v>
      </c>
      <c r="BC36" s="248">
        <f>IF(AND(S36&gt;6,U36&gt;6,V36&gt;6),1,0)</f>
        <v>0</v>
      </c>
      <c r="BD36" s="248">
        <f>IF(AND(U36&gt;7,OR(S36&gt;6,V36&gt;6)),1,0)</f>
        <v>0</v>
      </c>
      <c r="BE36" s="248">
        <f>IF(AND(U36&gt;6,OR(S36&gt;6,V36&gt;6)),1,0)</f>
        <v>0</v>
      </c>
      <c r="BF36" s="248">
        <f>IF(AND(OR(S36&gt;6,U36&gt;6),OR(S36&gt;6,V36&gt;6)),1,0)</f>
        <v>0</v>
      </c>
      <c r="BG36" s="248">
        <f>IF(AND(S36&gt;4,OR(S36&gt;6,U36&gt;6,V36&gt;6)),1,0)</f>
        <v>0</v>
      </c>
      <c r="BH36" s="248">
        <f>IF(AND(S36&gt;4,OR(S36&gt;6,T36&gt;6,U36&gt;6,V36&gt;6)),1,0)</f>
        <v>0</v>
      </c>
      <c r="BI36" s="243">
        <f>IF(AND(S36&gt;4,MAX(S36:W36)&gt;6),1,0)</f>
        <v>0</v>
      </c>
      <c r="BJ36" s="247">
        <f>IF(AND(OR(X36+AA36&gt;12,AND(X36&gt;6,AA36&gt;6)),AO36&gt;6,OR(AP36&gt;=AO36,AP36&gt;6)),1,0)</f>
        <v>0</v>
      </c>
      <c r="BK36" s="248">
        <f>IF(OR(AND(X36&gt;6,AB36&gt;6),X36+AA36&gt;12),1,0)</f>
        <v>0</v>
      </c>
      <c r="BL36" s="248">
        <f>IF(AND(X36&gt;6,Z36&gt;6,AA36&gt;6),1,0)</f>
        <v>0</v>
      </c>
      <c r="BM36" s="248">
        <f>IF(AND(Z36&gt;7,OR(X36&gt;6,AA36&gt;6)),1,0)</f>
        <v>0</v>
      </c>
      <c r="BN36" s="248">
        <f>IF(AND(Z36&gt;6,OR(X36&gt;6,AA36&gt;6)),1,0)</f>
        <v>0</v>
      </c>
      <c r="BO36" s="248">
        <f>IF(AND(OR(X36&gt;6,Z36&gt;6),OR(X36&gt;6,AA36&gt;6)),1,0)</f>
        <v>0</v>
      </c>
      <c r="BP36" s="248">
        <f>IF(AND(X36&gt;4,OR(X36&gt;6,Z36&gt;6,AA36&gt;6)),1,0)</f>
        <v>0</v>
      </c>
      <c r="BQ36" s="248">
        <f>IF(AND(X36&gt;4,OR(X36&gt;6,Y36&gt;6,Z36&gt;6,AA36&gt;6)),1,0)</f>
        <v>0</v>
      </c>
      <c r="BR36" s="243">
        <f>IF(AND(X36&gt;4,MAX(X36:AB36)&gt;6),1,0)</f>
        <v>0</v>
      </c>
      <c r="BS36" s="243">
        <f>IF(AVERAGE(AO36:AP36)&gt;9,1,0)+IF(AVERAGE(AO36:AP36)&gt;7,1,0)+IF(AO36&gt;7,1,0)+IF(AP36&gt;7,1,0)+IF(AQ36&gt;8,1,0)+IF(AQ36&gt;6,1,0)</f>
        <v>0</v>
      </c>
      <c r="BT36" s="249">
        <f>IF(OR(MAX(AG36,AH36,AL36,AN36)&gt;6,MAX(AI36,AJ36,AK36,AM36)&gt;7),2,IF(MAX(AG36:AN36)&gt;4,1,0))</f>
        <v>0</v>
      </c>
      <c r="BU36" s="242" t="str">
        <f>IF(AS36=1,"Yes","")</f>
        <v/>
      </c>
      <c r="BV36" s="241" t="str">
        <f>IF($B36="ML","There",IF(AND($X36&gt;=6,AVERAGE($Z36:$AA36)&gt;=6),"Likely",IF(OR($X36&gt;6,AND($X36=6,AVERAGE($Z36:$AA36)&gt;=3),AND($X36&gt;=5,AVERAGE($Z36:$AA36)&gt;=5),AVERAGE($X36,$Z36:$AA36)&gt;5),"Possible","Unlikely")))</f>
        <v>Possible</v>
      </c>
      <c r="BW36" s="242" t="str">
        <f>IF(OR(AND(S36&gt;=6,U36+V36&gt;=12),S36&gt;7),"Start",IF(AND(S36&gt;=5,U36+V36&gt;=8),"Bench","aack!"))</f>
        <v>aack!</v>
      </c>
      <c r="BX36" s="242" t="str">
        <f>IF(OR(AND(X36&gt;=6,Z36+AA36&gt;=12),X36&gt;7),"Start",IF(AND(X36&gt;=5,Z36+AA36&gt;=8),"Bench","aack!"))</f>
        <v>aack!</v>
      </c>
      <c r="BY36" s="242" t="str">
        <f>IF(S36&gt;5,"ML",IF(S36=5,"AAA",IF(S36=4,"AA",IF(S36=3,"A","SS-A"))))</f>
        <v>AA</v>
      </c>
      <c r="BZ36" s="242">
        <f>S36-X36</f>
        <v>0</v>
      </c>
      <c r="CA36" s="242">
        <f>T36-Y36</f>
        <v>0</v>
      </c>
      <c r="CB36" s="242">
        <f>U36-Z36</f>
        <v>-1</v>
      </c>
      <c r="CC36" s="242">
        <f>V36-AA36</f>
        <v>0</v>
      </c>
      <c r="CD36" s="242">
        <f>W36-AB36</f>
        <v>0</v>
      </c>
      <c r="CE36" s="242">
        <f>SUM(BZ36:CD36)</f>
        <v>-1</v>
      </c>
      <c r="CF36" s="242">
        <f>X36+Z36+AA36</f>
        <v>16</v>
      </c>
      <c r="CG36" s="242">
        <f>X36+Z36</f>
        <v>10</v>
      </c>
      <c r="CH36" s="242">
        <f>X36+AA36</f>
        <v>10</v>
      </c>
      <c r="CI36" s="242" t="str">
        <f>IF(L36&gt;24,"Now - Age",IF(S36&gt;6,"Now",IF(X36&lt;6,"With Dev",MIN(X36-S36,7-S36))))</f>
        <v>Now - Age</v>
      </c>
      <c r="CJ36" s="257" t="str">
        <f>IF(AG36&lt;&gt;"-","X","")</f>
        <v/>
      </c>
      <c r="CK36" s="257" t="str">
        <f>IF(AND(AH36&lt;&gt;"-",AH36&gt;5),"X","")</f>
        <v/>
      </c>
      <c r="CL36" s="257" t="str">
        <f>IF(AND(AI36&lt;&gt;"-",AI36&gt;5),"X","")</f>
        <v/>
      </c>
      <c r="CM36" s="257" t="str">
        <f>IF(AND(AJ36&lt;&gt;"-",AJ36&gt;4,AC36&gt;6),"X","")</f>
        <v/>
      </c>
      <c r="CN36" s="257" t="str">
        <f>IF(AND(AK36&lt;&gt;"-",AK36&gt;5,AC36&gt;5),"X","")</f>
        <v/>
      </c>
      <c r="CO36" s="257" t="str">
        <f>IF(AND(AL36&lt;&gt;"-",AL36&gt;3),"X","")</f>
        <v>X</v>
      </c>
      <c r="CP36" s="257" t="str">
        <f>IF(AND(AM36&lt;&gt;"-",AM36&gt;6),"X","")</f>
        <v/>
      </c>
      <c r="CQ36" s="257" t="str">
        <f>IF(AND(AN36&lt;&gt;"-",AN36&gt;5,AD36&gt;6),"X","")</f>
        <v/>
      </c>
      <c r="CR36" s="257" t="str">
        <f>IF(COUNTBLANK(CJ36:CQ36)=8,"X","")</f>
        <v/>
      </c>
    </row>
    <row r="37" spans="1:96" s="306" customFormat="1" x14ac:dyDescent="0.25">
      <c r="A37" s="240" t="str">
        <f>H37&amp;" "&amp;I37</f>
        <v>Jeremy Doig</v>
      </c>
      <c r="B37" s="240" t="str">
        <f>IF(ISERROR(VLOOKUP(A37,AMA!$C$3:$C$24,1,FALSE)),IF(ISERROR(VLOOKUP(A37,'END-AAA'!$C$6:$C$33,1,FALSE)),IF(ISERROR(VLOOKUP(A37,'DB-AA'!$C$6:$C$33,1,FALSE)),IF(ISERROR(VLOOKUP(A37,'UTR-A'!$C$6:$C$33,1,FALSE)),IF(ISERROR(VLOOKUP(A37,'FAI-S A'!$C$6:$C$33,1,FALSE)),"","S A"),"A"),"AA"),"AAA"),"ML")</f>
        <v/>
      </c>
      <c r="C37" s="241"/>
      <c r="D37" s="242" t="str">
        <f>IF(BL37=1,3,IF(BM37=1,4,IF(BJ37=1,1,IF(BN37=1,5,IF(BK37=1,2,IF(BO37=1,6,IF(BP37=1,7,IF(BQ37=1,8,IF(BR37=1,9,"-")))))))))</f>
        <v>-</v>
      </c>
      <c r="E37" s="242" t="str">
        <f>IF(BC37=1,3,IF(BD37=1,4,IF(BA37=1,1,IF(BE37=1,5,IF(BB37=1,2,IF(BF37=1,6,IF(BG37=1,7,IF(BH37=1,8,IF(BI37=1,9,"-")))))))))</f>
        <v>-</v>
      </c>
      <c r="F37" s="242" t="str">
        <f>IF(OR(OR(Q37="Very High",Q37="High"),AND(OR(Q37="Very High",Q37="High",Q37="Normal"),OR(R37="Very High",R37="High"))),"K","T")</f>
        <v>K</v>
      </c>
      <c r="G37" s="242" t="s">
        <v>79</v>
      </c>
      <c r="H37" s="242" t="s">
        <v>712</v>
      </c>
      <c r="I37" s="242" t="s">
        <v>807</v>
      </c>
      <c r="J37" s="242" t="s">
        <v>769</v>
      </c>
      <c r="K37" s="242" t="s">
        <v>186</v>
      </c>
      <c r="L37" s="242">
        <v>27</v>
      </c>
      <c r="M37" s="242" t="s">
        <v>83</v>
      </c>
      <c r="N37" s="242" t="s">
        <v>83</v>
      </c>
      <c r="O37" s="242" t="s">
        <v>773</v>
      </c>
      <c r="P37" s="243" t="s">
        <v>773</v>
      </c>
      <c r="Q37" s="242" t="s">
        <v>199</v>
      </c>
      <c r="R37" s="243" t="s">
        <v>200</v>
      </c>
      <c r="S37" s="242">
        <v>4</v>
      </c>
      <c r="T37" s="242">
        <v>5</v>
      </c>
      <c r="U37" s="242">
        <v>5</v>
      </c>
      <c r="V37" s="242">
        <v>6</v>
      </c>
      <c r="W37" s="243">
        <v>3</v>
      </c>
      <c r="X37" s="242">
        <v>4</v>
      </c>
      <c r="Y37" s="242">
        <v>6</v>
      </c>
      <c r="Z37" s="242">
        <v>5</v>
      </c>
      <c r="AA37" s="242">
        <v>6</v>
      </c>
      <c r="AB37" s="243">
        <v>4</v>
      </c>
      <c r="AC37" s="242">
        <v>3</v>
      </c>
      <c r="AD37" s="242">
        <v>7</v>
      </c>
      <c r="AE37" s="242">
        <v>1</v>
      </c>
      <c r="AF37" s="242" t="s">
        <v>32</v>
      </c>
      <c r="AG37" s="242" t="s">
        <v>32</v>
      </c>
      <c r="AH37" s="242" t="s">
        <v>32</v>
      </c>
      <c r="AI37" s="242" t="s">
        <v>32</v>
      </c>
      <c r="AJ37" s="242" t="s">
        <v>32</v>
      </c>
      <c r="AK37" s="242" t="s">
        <v>32</v>
      </c>
      <c r="AL37" s="242">
        <v>2</v>
      </c>
      <c r="AM37" s="242" t="s">
        <v>32</v>
      </c>
      <c r="AN37" s="243">
        <v>4</v>
      </c>
      <c r="AO37" s="242">
        <v>1</v>
      </c>
      <c r="AP37" s="242">
        <v>1</v>
      </c>
      <c r="AQ37" s="243">
        <v>2</v>
      </c>
      <c r="AR37" s="244" t="s">
        <v>32</v>
      </c>
      <c r="AS37" s="243">
        <v>0</v>
      </c>
      <c r="AT37" s="248" t="s">
        <v>779</v>
      </c>
      <c r="AU37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4</v>
      </c>
      <c r="AV37" s="246" t="str">
        <f>IF(AU37&gt;9,"SuperStar",IF(AU37&gt;8,"Star",IF(AU37&gt;6.5,"GoodReg",IF(AU37&gt;5,"Reg",IF(AU37&gt;4,"Bench","Minors")))))</f>
        <v>Minors</v>
      </c>
      <c r="AW37" s="245">
        <f>AVERAGE(X37,Z37,AA37)+IF(OR(X37&gt;7,AND(X37&gt;5,AA37&gt;5)),0.5,0)+IF(Z37&gt;7,0.25,0)+IF(X37&lt;6,-0.5*(6-X37),0)</f>
        <v>4</v>
      </c>
      <c r="AX37" s="245" t="str">
        <f>IF(AW37&gt;9,"SuperStar",IF(AW37&gt;8,"Star",IF(AW37&gt;6.5,"GoodReg",IF(AW37&gt;5,"Reg",IF(AW37&gt;4,"Bench","Minors")))))</f>
        <v>Minors</v>
      </c>
      <c r="AY37" s="246">
        <f>MIN(AU37+(MAX(0,25-L37))^1.5,AW37)</f>
        <v>4</v>
      </c>
      <c r="AZ37" s="246" t="str">
        <f>IF(AY37&gt;9,"SuperStar",IF(AY37&gt;8,"Star",IF(AY37&gt;6.5,"GoodReg",IF(AY37&gt;5,"Reg",IF(AY37&gt;4,"Bench","Minors")))))</f>
        <v>Minors</v>
      </c>
      <c r="BA37" s="247">
        <f>IF(AND(OR(S37+V37&gt;12,AND(S37&gt;6,V37&gt;6)),AO37&gt;6,OR(AP37&gt;=AO37,AP37&gt;6)),1,0)</f>
        <v>0</v>
      </c>
      <c r="BB37" s="248">
        <f>IF(OR(AND(S37&gt;6,W37&gt;6),S37+V37&gt;12),1,0)</f>
        <v>0</v>
      </c>
      <c r="BC37" s="248">
        <f>IF(AND(S37&gt;6,U37&gt;6,V37&gt;6),1,0)</f>
        <v>0</v>
      </c>
      <c r="BD37" s="248">
        <f>IF(AND(U37&gt;7,OR(S37&gt;6,V37&gt;6)),1,0)</f>
        <v>0</v>
      </c>
      <c r="BE37" s="248">
        <f>IF(AND(U37&gt;6,OR(S37&gt;6,V37&gt;6)),1,0)</f>
        <v>0</v>
      </c>
      <c r="BF37" s="248">
        <f>IF(AND(OR(S37&gt;6,U37&gt;6),OR(S37&gt;6,V37&gt;6)),1,0)</f>
        <v>0</v>
      </c>
      <c r="BG37" s="248">
        <f>IF(AND(S37&gt;4,OR(S37&gt;6,U37&gt;6,V37&gt;6)),1,0)</f>
        <v>0</v>
      </c>
      <c r="BH37" s="248">
        <f>IF(AND(S37&gt;4,OR(S37&gt;6,T37&gt;6,U37&gt;6,V37&gt;6)),1,0)</f>
        <v>0</v>
      </c>
      <c r="BI37" s="243">
        <f>IF(AND(S37&gt;4,MAX(S37:W37)&gt;6),1,0)</f>
        <v>0</v>
      </c>
      <c r="BJ37" s="247">
        <f>IF(AND(OR(X37+AA37&gt;12,AND(X37&gt;6,AA37&gt;6)),AO37&gt;6,OR(AP37&gt;=AO37,AP37&gt;6)),1,0)</f>
        <v>0</v>
      </c>
      <c r="BK37" s="248">
        <f>IF(OR(AND(X37&gt;6,AB37&gt;6),X37+AA37&gt;12),1,0)</f>
        <v>0</v>
      </c>
      <c r="BL37" s="248">
        <f>IF(AND(X37&gt;6,Z37&gt;6,AA37&gt;6),1,0)</f>
        <v>0</v>
      </c>
      <c r="BM37" s="248">
        <f>IF(AND(Z37&gt;7,OR(X37&gt;6,AA37&gt;6)),1,0)</f>
        <v>0</v>
      </c>
      <c r="BN37" s="248">
        <f>IF(AND(Z37&gt;6,OR(X37&gt;6,AA37&gt;6)),1,0)</f>
        <v>0</v>
      </c>
      <c r="BO37" s="248">
        <f>IF(AND(OR(X37&gt;6,Z37&gt;6),OR(X37&gt;6,AA37&gt;6)),1,0)</f>
        <v>0</v>
      </c>
      <c r="BP37" s="248">
        <f>IF(AND(X37&gt;4,OR(X37&gt;6,Z37&gt;6,AA37&gt;6)),1,0)</f>
        <v>0</v>
      </c>
      <c r="BQ37" s="248">
        <f>IF(AND(X37&gt;4,OR(X37&gt;6,Y37&gt;6,Z37&gt;6,AA37&gt;6)),1,0)</f>
        <v>0</v>
      </c>
      <c r="BR37" s="243">
        <f>IF(AND(X37&gt;4,MAX(X37:AB37)&gt;6),1,0)</f>
        <v>0</v>
      </c>
      <c r="BS37" s="243">
        <f>IF(AVERAGE(AO37:AP37)&gt;9,1,0)+IF(AVERAGE(AO37:AP37)&gt;7,1,0)+IF(AO37&gt;7,1,0)+IF(AP37&gt;7,1,0)+IF(AQ37&gt;8,1,0)+IF(AQ37&gt;6,1,0)</f>
        <v>0</v>
      </c>
      <c r="BT37" s="249">
        <f>IF(OR(MAX(AG37,AH37,AL37,AN37)&gt;6,MAX(AI37,AJ37,AK37,AM37)&gt;7),2,IF(MAX(AG37:AN37)&gt;4,1,0))</f>
        <v>0</v>
      </c>
      <c r="BU37" s="242" t="str">
        <f>IF(AS37=1,"Yes","")</f>
        <v/>
      </c>
      <c r="BV37" s="241" t="str">
        <f>IF($B37="ML","There",IF(AND($X37&gt;=6,AVERAGE($Z37:$AA37)&gt;=6),"Likely",IF(OR($X37&gt;6,AND($X37=6,AVERAGE($Z37:$AA37)&gt;=3),AND($X37&gt;=5,AVERAGE($Z37:$AA37)&gt;=5),AVERAGE($X37,$Z37:$AA37)&gt;5),"Possible","Unlikely")))</f>
        <v>Unlikely</v>
      </c>
      <c r="BW37" s="242" t="str">
        <f>IF(OR(AND(S37&gt;=6,U37+V37&gt;=12),S37&gt;7),"Start",IF(AND(S37&gt;=5,U37+V37&gt;=8),"Bench","aack!"))</f>
        <v>aack!</v>
      </c>
      <c r="BX37" s="242" t="str">
        <f>IF(OR(AND(X37&gt;=6,Z37+AA37&gt;=12),X37&gt;7),"Start",IF(AND(X37&gt;=5,Z37+AA37&gt;=8),"Bench","aack!"))</f>
        <v>aack!</v>
      </c>
      <c r="BY37" s="242" t="str">
        <f>IF(S37&gt;5,"ML",IF(S37=5,"AAA",IF(S37=4,"AA",IF(S37=3,"A","SS-A"))))</f>
        <v>AA</v>
      </c>
      <c r="BZ37" s="242">
        <f>S37-X37</f>
        <v>0</v>
      </c>
      <c r="CA37" s="242">
        <f>T37-Y37</f>
        <v>-1</v>
      </c>
      <c r="CB37" s="242">
        <f>U37-Z37</f>
        <v>0</v>
      </c>
      <c r="CC37" s="242">
        <f>V37-AA37</f>
        <v>0</v>
      </c>
      <c r="CD37" s="242">
        <f>W37-AB37</f>
        <v>-1</v>
      </c>
      <c r="CE37" s="242">
        <f>SUM(BZ37:CD37)</f>
        <v>-2</v>
      </c>
      <c r="CF37" s="242">
        <f>X37+Z37+AA37</f>
        <v>15</v>
      </c>
      <c r="CG37" s="242">
        <f>X37+Z37</f>
        <v>9</v>
      </c>
      <c r="CH37" s="242">
        <f>X37+AA37</f>
        <v>10</v>
      </c>
      <c r="CI37" s="242" t="str">
        <f>IF(L37&gt;24,"Now - Age",IF(S37&gt;6,"Now",IF(X37&lt;6,"With Dev",MIN(X37-S37,7-S37))))</f>
        <v>Now - Age</v>
      </c>
      <c r="CJ37" s="257" t="str">
        <f>IF(AG37&lt;&gt;"-","X","")</f>
        <v/>
      </c>
      <c r="CK37" s="257" t="str">
        <f>IF(AND(AH37&lt;&gt;"-",AH37&gt;5),"X","")</f>
        <v/>
      </c>
      <c r="CL37" s="257" t="str">
        <f>IF(AND(AI37&lt;&gt;"-",AI37&gt;5),"X","")</f>
        <v/>
      </c>
      <c r="CM37" s="257" t="str">
        <f>IF(AND(AJ37&lt;&gt;"-",AJ37&gt;4,AC37&gt;6),"X","")</f>
        <v/>
      </c>
      <c r="CN37" s="257" t="str">
        <f>IF(AND(AK37&lt;&gt;"-",AK37&gt;5,AC37&gt;5),"X","")</f>
        <v/>
      </c>
      <c r="CO37" s="257" t="str">
        <f>IF(AND(AL37&lt;&gt;"-",AL37&gt;3),"X","")</f>
        <v/>
      </c>
      <c r="CP37" s="257" t="str">
        <f>IF(AND(AM37&lt;&gt;"-",AM37&gt;6),"X","")</f>
        <v/>
      </c>
      <c r="CQ37" s="257" t="str">
        <f>IF(AND(AN37&lt;&gt;"-",AN37&gt;5,AD37&gt;6),"X","")</f>
        <v/>
      </c>
      <c r="CR37" s="257" t="str">
        <f>IF(COUNTBLANK(CJ37:CQ37)=8,"X","")</f>
        <v>X</v>
      </c>
    </row>
    <row r="38" spans="1:96" s="306" customFormat="1" x14ac:dyDescent="0.25">
      <c r="A38" s="240" t="str">
        <f>H38&amp;" "&amp;I38</f>
        <v>Pancho Moreno</v>
      </c>
      <c r="B38" s="240" t="str">
        <f>IF(ISERROR(VLOOKUP(A38,AMA!$C$3:$C$24,1,FALSE)),IF(ISERROR(VLOOKUP(A38,'END-AAA'!$C$6:$C$33,1,FALSE)),IF(ISERROR(VLOOKUP(A38,'DB-AA'!$C$6:$C$33,1,FALSE)),IF(ISERROR(VLOOKUP(A38,'UTR-A'!$C$6:$C$33,1,FALSE)),IF(ISERROR(VLOOKUP(A38,'FAI-S A'!$C$6:$C$33,1,FALSE)),"","S A"),"A"),"AA"),"AAA"),"ML")</f>
        <v/>
      </c>
      <c r="C38" s="241"/>
      <c r="D38" s="242">
        <f>IF(BL38=1,3,IF(BM38=1,4,IF(BJ38=1,1,IF(BN38=1,5,IF(BK38=1,2,IF(BO38=1,6,IF(BP38=1,7,IF(BQ38=1,8,IF(BR38=1,9,"-")))))))))</f>
        <v>8</v>
      </c>
      <c r="E38" s="242">
        <f>IF(BC38=1,3,IF(BD38=1,4,IF(BA38=1,1,IF(BE38=1,5,IF(BB38=1,2,IF(BF38=1,6,IF(BG38=1,7,IF(BH38=1,8,IF(BI38=1,9,"-")))))))))</f>
        <v>8</v>
      </c>
      <c r="F38" s="242" t="str">
        <f>IF(OR(OR(Q38="Very High",Q38="High"),AND(OR(Q38="Very High",Q38="High",Q38="Normal"),OR(R38="Very High",R38="High"))),"K","T")</f>
        <v>T</v>
      </c>
      <c r="G38" s="242" t="s">
        <v>75</v>
      </c>
      <c r="H38" s="242" t="s">
        <v>786</v>
      </c>
      <c r="I38" s="242" t="s">
        <v>466</v>
      </c>
      <c r="J38" s="242" t="s">
        <v>783</v>
      </c>
      <c r="K38" s="242" t="s">
        <v>185</v>
      </c>
      <c r="L38" s="242">
        <v>36</v>
      </c>
      <c r="M38" s="242" t="s">
        <v>83</v>
      </c>
      <c r="N38" s="242" t="s">
        <v>83</v>
      </c>
      <c r="O38" s="242" t="s">
        <v>773</v>
      </c>
      <c r="P38" s="243" t="s">
        <v>773</v>
      </c>
      <c r="Q38" s="242" t="s">
        <v>200</v>
      </c>
      <c r="R38" s="243" t="s">
        <v>200</v>
      </c>
      <c r="S38" s="242">
        <v>5</v>
      </c>
      <c r="T38" s="242">
        <v>7</v>
      </c>
      <c r="U38" s="242">
        <v>4</v>
      </c>
      <c r="V38" s="242">
        <v>4</v>
      </c>
      <c r="W38" s="243">
        <v>10</v>
      </c>
      <c r="X38" s="242">
        <v>5</v>
      </c>
      <c r="Y38" s="242">
        <v>7</v>
      </c>
      <c r="Z38" s="242">
        <v>4</v>
      </c>
      <c r="AA38" s="242">
        <v>4</v>
      </c>
      <c r="AB38" s="243">
        <v>10</v>
      </c>
      <c r="AC38" s="242">
        <v>8</v>
      </c>
      <c r="AD38" s="242">
        <v>2</v>
      </c>
      <c r="AE38" s="242">
        <v>1</v>
      </c>
      <c r="AF38" s="242" t="s">
        <v>32</v>
      </c>
      <c r="AG38" s="242" t="s">
        <v>32</v>
      </c>
      <c r="AH38" s="242">
        <v>7</v>
      </c>
      <c r="AI38" s="242">
        <v>3</v>
      </c>
      <c r="AJ38" s="242">
        <v>5</v>
      </c>
      <c r="AK38" s="242" t="s">
        <v>32</v>
      </c>
      <c r="AL38" s="242" t="s">
        <v>32</v>
      </c>
      <c r="AM38" s="242" t="s">
        <v>32</v>
      </c>
      <c r="AN38" s="243" t="s">
        <v>32</v>
      </c>
      <c r="AO38" s="242">
        <v>4</v>
      </c>
      <c r="AP38" s="242">
        <v>7</v>
      </c>
      <c r="AQ38" s="243">
        <v>3</v>
      </c>
      <c r="AR38" s="244" t="s">
        <v>32</v>
      </c>
      <c r="AS38" s="243" t="s">
        <v>34</v>
      </c>
      <c r="AT38" s="248" t="s">
        <v>199</v>
      </c>
      <c r="AU38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3.833333333333333</v>
      </c>
      <c r="AV38" s="246" t="str">
        <f>IF(AU38&gt;9,"SuperStar",IF(AU38&gt;8,"Star",IF(AU38&gt;6.5,"GoodReg",IF(AU38&gt;5,"Reg",IF(AU38&gt;4,"Bench","Minors")))))</f>
        <v>Minors</v>
      </c>
      <c r="AW38" s="245">
        <f>AVERAGE(X38,Z38,AA38)+IF(OR(X38&gt;7,AND(X38&gt;5,AA38&gt;5)),0.5,0)+IF(Z38&gt;7,0.25,0)+IF(X38&lt;6,-0.5*(6-X38),0)</f>
        <v>3.833333333333333</v>
      </c>
      <c r="AX38" s="245" t="str">
        <f>IF(AW38&gt;9,"SuperStar",IF(AW38&gt;8,"Star",IF(AW38&gt;6.5,"GoodReg",IF(AW38&gt;5,"Reg",IF(AW38&gt;4,"Bench","Minors")))))</f>
        <v>Minors</v>
      </c>
      <c r="AY38" s="246">
        <f>MIN(AU38+(MAX(0,25-L38))^1.5,AW38)</f>
        <v>3.833333333333333</v>
      </c>
      <c r="AZ38" s="246" t="str">
        <f>IF(AY38&gt;9,"SuperStar",IF(AY38&gt;8,"Star",IF(AY38&gt;6.5,"GoodReg",IF(AY38&gt;5,"Reg",IF(AY38&gt;4,"Bench","Minors")))))</f>
        <v>Minors</v>
      </c>
      <c r="BA38" s="247">
        <f>IF(AND(OR(S38+V38&gt;12,AND(S38&gt;6,V38&gt;6)),AO38&gt;6,OR(AP38&gt;=AO38,AP38&gt;6)),1,0)</f>
        <v>0</v>
      </c>
      <c r="BB38" s="248">
        <f>IF(OR(AND(S38&gt;6,W38&gt;6),S38+V38&gt;12),1,0)</f>
        <v>0</v>
      </c>
      <c r="BC38" s="248">
        <f>IF(AND(S38&gt;6,U38&gt;6,V38&gt;6),1,0)</f>
        <v>0</v>
      </c>
      <c r="BD38" s="248">
        <f>IF(AND(U38&gt;7,OR(S38&gt;6,V38&gt;6)),1,0)</f>
        <v>0</v>
      </c>
      <c r="BE38" s="248">
        <f>IF(AND(U38&gt;6,OR(S38&gt;6,V38&gt;6)),1,0)</f>
        <v>0</v>
      </c>
      <c r="BF38" s="248">
        <f>IF(AND(OR(S38&gt;6,U38&gt;6),OR(S38&gt;6,V38&gt;6)),1,0)</f>
        <v>0</v>
      </c>
      <c r="BG38" s="248">
        <f>IF(AND(S38&gt;4,OR(S38&gt;6,U38&gt;6,V38&gt;6)),1,0)</f>
        <v>0</v>
      </c>
      <c r="BH38" s="248">
        <f>IF(AND(S38&gt;4,OR(S38&gt;6,T38&gt;6,U38&gt;6,V38&gt;6)),1,0)</f>
        <v>1</v>
      </c>
      <c r="BI38" s="243">
        <f>IF(AND(S38&gt;4,MAX(S38:W38)&gt;6),1,0)</f>
        <v>1</v>
      </c>
      <c r="BJ38" s="247">
        <f>IF(AND(OR(X38+AA38&gt;12,AND(X38&gt;6,AA38&gt;6)),AO38&gt;6,OR(AP38&gt;=AO38,AP38&gt;6)),1,0)</f>
        <v>0</v>
      </c>
      <c r="BK38" s="248">
        <f>IF(OR(AND(X38&gt;6,AB38&gt;6),X38+AA38&gt;12),1,0)</f>
        <v>0</v>
      </c>
      <c r="BL38" s="248">
        <f>IF(AND(X38&gt;6,Z38&gt;6,AA38&gt;6),1,0)</f>
        <v>0</v>
      </c>
      <c r="BM38" s="248">
        <f>IF(AND(Z38&gt;7,OR(X38&gt;6,AA38&gt;6)),1,0)</f>
        <v>0</v>
      </c>
      <c r="BN38" s="248">
        <f>IF(AND(Z38&gt;6,OR(X38&gt;6,AA38&gt;6)),1,0)</f>
        <v>0</v>
      </c>
      <c r="BO38" s="248">
        <f>IF(AND(OR(X38&gt;6,Z38&gt;6),OR(X38&gt;6,AA38&gt;6)),1,0)</f>
        <v>0</v>
      </c>
      <c r="BP38" s="248">
        <f>IF(AND(X38&gt;4,OR(X38&gt;6,Z38&gt;6,AA38&gt;6)),1,0)</f>
        <v>0</v>
      </c>
      <c r="BQ38" s="248">
        <f>IF(AND(X38&gt;4,OR(X38&gt;6,Y38&gt;6,Z38&gt;6,AA38&gt;6)),1,0)</f>
        <v>1</v>
      </c>
      <c r="BR38" s="243">
        <f>IF(AND(X38&gt;4,MAX(X38:AB38)&gt;6),1,0)</f>
        <v>1</v>
      </c>
      <c r="BS38" s="243">
        <f>IF(AVERAGE(AO38:AP38)&gt;9,1,0)+IF(AVERAGE(AO38:AP38)&gt;7,1,0)+IF(AO38&gt;7,1,0)+IF(AP38&gt;7,1,0)+IF(AQ38&gt;8,1,0)+IF(AQ38&gt;6,1,0)</f>
        <v>0</v>
      </c>
      <c r="BT38" s="249">
        <f>IF(OR(MAX(AG38,AH38,AL38,AN38)&gt;6,MAX(AI38,AJ38,AK38,AM38)&gt;7),2,IF(MAX(AG38:AN38)&gt;4,1,0))</f>
        <v>2</v>
      </c>
      <c r="BU38" s="242" t="str">
        <f>IF(AS38=1,"Yes","")</f>
        <v/>
      </c>
      <c r="BV38" s="241" t="str">
        <f>IF($B38="ML","There",IF(AND($X38&gt;=6,AVERAGE($Z38:$AA38)&gt;=6),"Likely",IF(OR($X38&gt;6,AND($X38=6,AVERAGE($Z38:$AA38)&gt;=3),AND($X38&gt;=5,AVERAGE($Z38:$AA38)&gt;=5),AVERAGE($X38,$Z38:$AA38)&gt;5),"Possible","Unlikely")))</f>
        <v>Unlikely</v>
      </c>
      <c r="BW38" s="242" t="str">
        <f>IF(OR(AND(S38&gt;=6,U38+V38&gt;=12),S38&gt;7),"Start",IF(AND(S38&gt;=5,U38+V38&gt;=8),"Bench","aack!"))</f>
        <v>Bench</v>
      </c>
      <c r="BX38" s="242" t="str">
        <f>IF(OR(AND(X38&gt;=6,Z38+AA38&gt;=12),X38&gt;7),"Start",IF(AND(X38&gt;=5,Z38+AA38&gt;=8),"Bench","aack!"))</f>
        <v>Bench</v>
      </c>
      <c r="BY38" s="242" t="str">
        <f>IF(S38&gt;5,"ML",IF(S38=5,"AAA",IF(S38=4,"AA",IF(S38=3,"A","SS-A"))))</f>
        <v>AAA</v>
      </c>
      <c r="BZ38" s="242">
        <f>S38-X38</f>
        <v>0</v>
      </c>
      <c r="CA38" s="242">
        <f>T38-Y38</f>
        <v>0</v>
      </c>
      <c r="CB38" s="242">
        <f>U38-Z38</f>
        <v>0</v>
      </c>
      <c r="CC38" s="242">
        <f>V38-AA38</f>
        <v>0</v>
      </c>
      <c r="CD38" s="242">
        <f>W38-AB38</f>
        <v>0</v>
      </c>
      <c r="CE38" s="242">
        <f>SUM(BZ38:CD38)</f>
        <v>0</v>
      </c>
      <c r="CF38" s="242">
        <f>X38+Z38+AA38</f>
        <v>13</v>
      </c>
      <c r="CG38" s="242">
        <f>X38+Z38</f>
        <v>9</v>
      </c>
      <c r="CH38" s="242">
        <f>X38+AA38</f>
        <v>9</v>
      </c>
      <c r="CI38" s="242" t="str">
        <f>IF(L38&gt;24,"Now - Age",IF(S38&gt;6,"Now",IF(X38&lt;6,"With Dev",MIN(X38-S38,7-S38))))</f>
        <v>Now - Age</v>
      </c>
      <c r="CJ38" s="257" t="str">
        <f>IF(AG38&lt;&gt;"-","X","")</f>
        <v/>
      </c>
      <c r="CK38" s="257" t="str">
        <f>IF(AND(AH38&lt;&gt;"-",AH38&gt;5),"X","")</f>
        <v>X</v>
      </c>
      <c r="CL38" s="257" t="str">
        <f>IF(AND(AI38&lt;&gt;"-",AI38&gt;5),"X","")</f>
        <v/>
      </c>
      <c r="CM38" s="257" t="str">
        <f>IF(AND(AJ38&lt;&gt;"-",AJ38&gt;4,AC38&gt;6),"X","")</f>
        <v>X</v>
      </c>
      <c r="CN38" s="257" t="str">
        <f>IF(AND(AK38&lt;&gt;"-",AK38&gt;5,AC38&gt;5),"X","")</f>
        <v/>
      </c>
      <c r="CO38" s="257" t="str">
        <f>IF(AND(AL38&lt;&gt;"-",AL38&gt;3),"X","")</f>
        <v/>
      </c>
      <c r="CP38" s="257" t="str">
        <f>IF(AND(AM38&lt;&gt;"-",AM38&gt;6),"X","")</f>
        <v/>
      </c>
      <c r="CQ38" s="257" t="str">
        <f>IF(AND(AN38&lt;&gt;"-",AN38&gt;5,AD38&gt;6),"X","")</f>
        <v/>
      </c>
      <c r="CR38" s="257" t="str">
        <f>IF(COUNTBLANK(CJ38:CQ38)=8,"X","")</f>
        <v/>
      </c>
    </row>
    <row r="39" spans="1:96" s="306" customFormat="1" x14ac:dyDescent="0.25">
      <c r="A39" s="240" t="str">
        <f>H39&amp;" "&amp;I39</f>
        <v>Fa-hsien Zhang</v>
      </c>
      <c r="B39" s="240" t="str">
        <f>IF(ISERROR(VLOOKUP(A39,AMA!$C$3:$C$24,1,FALSE)),IF(ISERROR(VLOOKUP(A39,'END-AAA'!$C$6:$C$33,1,FALSE)),IF(ISERROR(VLOOKUP(A39,'DB-AA'!$C$6:$C$33,1,FALSE)),IF(ISERROR(VLOOKUP(A39,'UTR-A'!$C$6:$C$33,1,FALSE)),IF(ISERROR(VLOOKUP(A39,'FAI-S A'!$C$6:$C$33,1,FALSE)),"","S A"),"A"),"AA"),"AAA"),"ML")</f>
        <v/>
      </c>
      <c r="C39" s="241"/>
      <c r="D39" s="242" t="str">
        <f>IF(BL39=1,3,IF(BM39=1,4,IF(BJ39=1,1,IF(BN39=1,5,IF(BK39=1,2,IF(BO39=1,6,IF(BP39=1,7,IF(BQ39=1,8,IF(BR39=1,9,"-")))))))))</f>
        <v>-</v>
      </c>
      <c r="E39" s="242" t="str">
        <f>IF(BC39=1,3,IF(BD39=1,4,IF(BA39=1,1,IF(BE39=1,5,IF(BB39=1,2,IF(BF39=1,6,IF(BG39=1,7,IF(BH39=1,8,IF(BI39=1,9,"-")))))))))</f>
        <v>-</v>
      </c>
      <c r="F39" s="242" t="str">
        <f>IF(OR(OR(Q39="Very High",Q39="High"),AND(OR(Q39="Very High",Q39="High",Q39="Normal"),OR(R39="Very High",R39="High"))),"K","T")</f>
        <v>T</v>
      </c>
      <c r="G39" s="242" t="s">
        <v>78</v>
      </c>
      <c r="H39" s="242" t="s">
        <v>866</v>
      </c>
      <c r="I39" s="242" t="s">
        <v>867</v>
      </c>
      <c r="J39" s="242" t="s">
        <v>769</v>
      </c>
      <c r="K39" s="242" t="s">
        <v>186</v>
      </c>
      <c r="L39" s="242">
        <v>32</v>
      </c>
      <c r="M39" s="242" t="s">
        <v>82</v>
      </c>
      <c r="N39" s="242" t="s">
        <v>82</v>
      </c>
      <c r="O39" s="242" t="s">
        <v>773</v>
      </c>
      <c r="P39" s="243" t="s">
        <v>773</v>
      </c>
      <c r="Q39" s="242" t="s">
        <v>201</v>
      </c>
      <c r="R39" s="243" t="s">
        <v>200</v>
      </c>
      <c r="S39" s="242">
        <v>3</v>
      </c>
      <c r="T39" s="242">
        <v>3</v>
      </c>
      <c r="U39" s="242">
        <v>4</v>
      </c>
      <c r="V39" s="242">
        <v>9</v>
      </c>
      <c r="W39" s="243">
        <v>7</v>
      </c>
      <c r="X39" s="242">
        <v>3</v>
      </c>
      <c r="Y39" s="242">
        <v>3</v>
      </c>
      <c r="Z39" s="242">
        <v>4</v>
      </c>
      <c r="AA39" s="242">
        <v>9</v>
      </c>
      <c r="AB39" s="243">
        <v>7</v>
      </c>
      <c r="AC39" s="242">
        <v>2</v>
      </c>
      <c r="AD39" s="242">
        <v>6</v>
      </c>
      <c r="AE39" s="242">
        <v>1</v>
      </c>
      <c r="AF39" s="242" t="s">
        <v>32</v>
      </c>
      <c r="AG39" s="242" t="s">
        <v>32</v>
      </c>
      <c r="AH39" s="242" t="s">
        <v>32</v>
      </c>
      <c r="AI39" s="242" t="s">
        <v>32</v>
      </c>
      <c r="AJ39" s="242" t="s">
        <v>32</v>
      </c>
      <c r="AK39" s="242" t="s">
        <v>32</v>
      </c>
      <c r="AL39" s="242">
        <v>7</v>
      </c>
      <c r="AM39" s="242">
        <v>4</v>
      </c>
      <c r="AN39" s="243">
        <v>4</v>
      </c>
      <c r="AO39" s="242">
        <v>3</v>
      </c>
      <c r="AP39" s="242">
        <v>8</v>
      </c>
      <c r="AQ39" s="243">
        <v>7</v>
      </c>
      <c r="AR39" s="244" t="s">
        <v>32</v>
      </c>
      <c r="AS39" s="243" t="s">
        <v>33</v>
      </c>
      <c r="AT39" s="248" t="s">
        <v>199</v>
      </c>
      <c r="AU39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3.833333333333333</v>
      </c>
      <c r="AV39" s="246" t="str">
        <f>IF(AU39&gt;9,"SuperStar",IF(AU39&gt;8,"Star",IF(AU39&gt;6.5,"GoodReg",IF(AU39&gt;5,"Reg",IF(AU39&gt;4,"Bench","Minors")))))</f>
        <v>Minors</v>
      </c>
      <c r="AW39" s="245">
        <f>AVERAGE(X39,Z39,AA39)+IF(OR(X39&gt;7,AND(X39&gt;5,AA39&gt;5)),0.5,0)+IF(Z39&gt;7,0.25,0)+IF(X39&lt;6,-0.5*(6-X39),0)</f>
        <v>3.833333333333333</v>
      </c>
      <c r="AX39" s="245" t="str">
        <f>IF(AW39&gt;9,"SuperStar",IF(AW39&gt;8,"Star",IF(AW39&gt;6.5,"GoodReg",IF(AW39&gt;5,"Reg",IF(AW39&gt;4,"Bench","Minors")))))</f>
        <v>Minors</v>
      </c>
      <c r="AY39" s="246">
        <f>MIN(AU39+(MAX(0,25-L39))^1.5,AW39)</f>
        <v>3.833333333333333</v>
      </c>
      <c r="AZ39" s="246" t="str">
        <f>IF(AY39&gt;9,"SuperStar",IF(AY39&gt;8,"Star",IF(AY39&gt;6.5,"GoodReg",IF(AY39&gt;5,"Reg",IF(AY39&gt;4,"Bench","Minors")))))</f>
        <v>Minors</v>
      </c>
      <c r="BA39" s="247">
        <f>IF(AND(OR(S39+V39&gt;12,AND(S39&gt;6,V39&gt;6)),AO39&gt;6,OR(AP39&gt;=AO39,AP39&gt;6)),1,0)</f>
        <v>0</v>
      </c>
      <c r="BB39" s="248">
        <f>IF(OR(AND(S39&gt;6,W39&gt;6),S39+V39&gt;12),1,0)</f>
        <v>0</v>
      </c>
      <c r="BC39" s="248">
        <f>IF(AND(S39&gt;6,U39&gt;6,V39&gt;6),1,0)</f>
        <v>0</v>
      </c>
      <c r="BD39" s="248">
        <f>IF(AND(U39&gt;7,OR(S39&gt;6,V39&gt;6)),1,0)</f>
        <v>0</v>
      </c>
      <c r="BE39" s="248">
        <f>IF(AND(U39&gt;6,OR(S39&gt;6,V39&gt;6)),1,0)</f>
        <v>0</v>
      </c>
      <c r="BF39" s="248">
        <f>IF(AND(OR(S39&gt;6,U39&gt;6),OR(S39&gt;6,V39&gt;6)),1,0)</f>
        <v>0</v>
      </c>
      <c r="BG39" s="248">
        <f>IF(AND(S39&gt;4,OR(S39&gt;6,U39&gt;6,V39&gt;6)),1,0)</f>
        <v>0</v>
      </c>
      <c r="BH39" s="248">
        <f>IF(AND(S39&gt;4,OR(S39&gt;6,T39&gt;6,U39&gt;6,V39&gt;6)),1,0)</f>
        <v>0</v>
      </c>
      <c r="BI39" s="243">
        <f>IF(AND(S39&gt;4,MAX(S39:W39)&gt;6),1,0)</f>
        <v>0</v>
      </c>
      <c r="BJ39" s="247">
        <f>IF(AND(OR(X39+AA39&gt;12,AND(X39&gt;6,AA39&gt;6)),AO39&gt;6,OR(AP39&gt;=AO39,AP39&gt;6)),1,0)</f>
        <v>0</v>
      </c>
      <c r="BK39" s="248">
        <f>IF(OR(AND(X39&gt;6,AB39&gt;6),X39+AA39&gt;12),1,0)</f>
        <v>0</v>
      </c>
      <c r="BL39" s="248">
        <f>IF(AND(X39&gt;6,Z39&gt;6,AA39&gt;6),1,0)</f>
        <v>0</v>
      </c>
      <c r="BM39" s="248">
        <f>IF(AND(Z39&gt;7,OR(X39&gt;6,AA39&gt;6)),1,0)</f>
        <v>0</v>
      </c>
      <c r="BN39" s="248">
        <f>IF(AND(Z39&gt;6,OR(X39&gt;6,AA39&gt;6)),1,0)</f>
        <v>0</v>
      </c>
      <c r="BO39" s="248">
        <f>IF(AND(OR(X39&gt;6,Z39&gt;6),OR(X39&gt;6,AA39&gt;6)),1,0)</f>
        <v>0</v>
      </c>
      <c r="BP39" s="248">
        <f>IF(AND(X39&gt;4,OR(X39&gt;6,Z39&gt;6,AA39&gt;6)),1,0)</f>
        <v>0</v>
      </c>
      <c r="BQ39" s="248">
        <f>IF(AND(X39&gt;4,OR(X39&gt;6,Y39&gt;6,Z39&gt;6,AA39&gt;6)),1,0)</f>
        <v>0</v>
      </c>
      <c r="BR39" s="243">
        <f>IF(AND(X39&gt;4,MAX(X39:AB39)&gt;6),1,0)</f>
        <v>0</v>
      </c>
      <c r="BS39" s="243">
        <f>IF(AVERAGE(AO39:AP39)&gt;9,1,0)+IF(AVERAGE(AO39:AP39)&gt;7,1,0)+IF(AO39&gt;7,1,0)+IF(AP39&gt;7,1,0)+IF(AQ39&gt;8,1,0)+IF(AQ39&gt;6,1,0)</f>
        <v>2</v>
      </c>
      <c r="BT39" s="249">
        <f>IF(OR(MAX(AG39,AH39,AL39,AN39)&gt;6,MAX(AI39,AJ39,AK39,AM39)&gt;7),2,IF(MAX(AG39:AN39)&gt;4,1,0))</f>
        <v>2</v>
      </c>
      <c r="BU39" s="242" t="str">
        <f>IF(AS39=1,"Yes","")</f>
        <v/>
      </c>
      <c r="BV39" s="241" t="str">
        <f>IF($B39="ML","There",IF(AND($X39&gt;=6,AVERAGE($Z39:$AA39)&gt;=6),"Likely",IF(OR($X39&gt;6,AND($X39=6,AVERAGE($Z39:$AA39)&gt;=3),AND($X39&gt;=5,AVERAGE($Z39:$AA39)&gt;=5),AVERAGE($X39,$Z39:$AA39)&gt;5),"Possible","Unlikely")))</f>
        <v>Possible</v>
      </c>
      <c r="BW39" s="242" t="str">
        <f>IF(OR(AND(S39&gt;=6,U39+V39&gt;=12),S39&gt;7),"Start",IF(AND(S39&gt;=5,U39+V39&gt;=8),"Bench","aack!"))</f>
        <v>aack!</v>
      </c>
      <c r="BX39" s="242" t="str">
        <f>IF(OR(AND(X39&gt;=6,Z39+AA39&gt;=12),X39&gt;7),"Start",IF(AND(X39&gt;=5,Z39+AA39&gt;=8),"Bench","aack!"))</f>
        <v>aack!</v>
      </c>
      <c r="BY39" s="242" t="str">
        <f>IF(S39&gt;5,"ML",IF(S39=5,"AAA",IF(S39=4,"AA",IF(S39=3,"A","SS-A"))))</f>
        <v>A</v>
      </c>
      <c r="BZ39" s="242">
        <f>S39-X39</f>
        <v>0</v>
      </c>
      <c r="CA39" s="242">
        <f>T39-Y39</f>
        <v>0</v>
      </c>
      <c r="CB39" s="242">
        <f>U39-Z39</f>
        <v>0</v>
      </c>
      <c r="CC39" s="242">
        <f>V39-AA39</f>
        <v>0</v>
      </c>
      <c r="CD39" s="242">
        <f>W39-AB39</f>
        <v>0</v>
      </c>
      <c r="CE39" s="242">
        <f>SUM(BZ39:CD39)</f>
        <v>0</v>
      </c>
      <c r="CF39" s="242">
        <f>X39+Z39+AA39</f>
        <v>16</v>
      </c>
      <c r="CG39" s="242">
        <f>X39+Z39</f>
        <v>7</v>
      </c>
      <c r="CH39" s="242">
        <f>X39+AA39</f>
        <v>12</v>
      </c>
      <c r="CI39" s="242" t="str">
        <f>IF(L39&gt;24,"Now - Age",IF(S39&gt;6,"Now",IF(X39&lt;6,"With Dev",MIN(X39-S39,7-S39))))</f>
        <v>Now - Age</v>
      </c>
      <c r="CJ39" s="257" t="str">
        <f>IF(AG39&lt;&gt;"-","X","")</f>
        <v/>
      </c>
      <c r="CK39" s="257" t="str">
        <f>IF(AND(AH39&lt;&gt;"-",AH39&gt;5),"X","")</f>
        <v/>
      </c>
      <c r="CL39" s="257" t="str">
        <f>IF(AND(AI39&lt;&gt;"-",AI39&gt;5),"X","")</f>
        <v/>
      </c>
      <c r="CM39" s="257" t="str">
        <f>IF(AND(AJ39&lt;&gt;"-",AJ39&gt;4,AC39&gt;6),"X","")</f>
        <v/>
      </c>
      <c r="CN39" s="257" t="str">
        <f>IF(AND(AK39&lt;&gt;"-",AK39&gt;5,AC39&gt;5),"X","")</f>
        <v/>
      </c>
      <c r="CO39" s="257" t="str">
        <f>IF(AND(AL39&lt;&gt;"-",AL39&gt;3),"X","")</f>
        <v>X</v>
      </c>
      <c r="CP39" s="257" t="str">
        <f>IF(AND(AM39&lt;&gt;"-",AM39&gt;6),"X","")</f>
        <v/>
      </c>
      <c r="CQ39" s="257" t="str">
        <f>IF(AND(AN39&lt;&gt;"-",AN39&gt;5,AD39&gt;6),"X","")</f>
        <v/>
      </c>
      <c r="CR39" s="257" t="str">
        <f>IF(COUNTBLANK(CJ39:CQ39)=8,"X","")</f>
        <v/>
      </c>
    </row>
    <row r="40" spans="1:96" s="306" customFormat="1" x14ac:dyDescent="0.25">
      <c r="A40" s="240" t="str">
        <f>H40&amp;" "&amp;I40</f>
        <v>César Salgado</v>
      </c>
      <c r="B40" s="240" t="str">
        <f>IF(ISERROR(VLOOKUP(A40,AMA!$C$3:$C$24,1,FALSE)),IF(ISERROR(VLOOKUP(A40,'END-AAA'!$C$6:$C$33,1,FALSE)),IF(ISERROR(VLOOKUP(A40,'DB-AA'!$C$6:$C$33,1,FALSE)),IF(ISERROR(VLOOKUP(A40,'UTR-A'!$C$6:$C$33,1,FALSE)),IF(ISERROR(VLOOKUP(A40,'FAI-S A'!$C$6:$C$33,1,FALSE)),"","S A"),"A"),"AA"),"AAA"),"ML")</f>
        <v/>
      </c>
      <c r="C40" s="241"/>
      <c r="D40" s="242">
        <f>IF(BL40=1,3,IF(BM40=1,4,IF(BJ40=1,1,IF(BN40=1,5,IF(BK40=1,2,IF(BO40=1,6,IF(BP40=1,7,IF(BQ40=1,8,IF(BR40=1,9,"-")))))))))</f>
        <v>8</v>
      </c>
      <c r="E40" s="242">
        <f>IF(BC40=1,3,IF(BD40=1,4,IF(BA40=1,1,IF(BE40=1,5,IF(BB40=1,2,IF(BF40=1,6,IF(BG40=1,7,IF(BH40=1,8,IF(BI40=1,9,"-")))))))))</f>
        <v>8</v>
      </c>
      <c r="F40" s="242" t="str">
        <f>IF(OR(OR(Q40="Very High",Q40="High"),AND(OR(Q40="Very High",Q40="High",Q40="Normal"),OR(R40="Very High",R40="High"))),"K","T")</f>
        <v>T</v>
      </c>
      <c r="G40" s="242" t="s">
        <v>71</v>
      </c>
      <c r="H40" s="242" t="s">
        <v>880</v>
      </c>
      <c r="I40" s="242" t="s">
        <v>1205</v>
      </c>
      <c r="J40" s="242" t="s">
        <v>763</v>
      </c>
      <c r="K40" s="242" t="s">
        <v>402</v>
      </c>
      <c r="L40" s="242">
        <v>30</v>
      </c>
      <c r="M40" s="242" t="s">
        <v>83</v>
      </c>
      <c r="N40" s="242" t="s">
        <v>83</v>
      </c>
      <c r="O40" s="242" t="s">
        <v>764</v>
      </c>
      <c r="P40" s="243" t="s">
        <v>764</v>
      </c>
      <c r="Q40" s="242" t="s">
        <v>201</v>
      </c>
      <c r="R40" s="243" t="s">
        <v>200</v>
      </c>
      <c r="S40" s="242">
        <v>5</v>
      </c>
      <c r="T40" s="242">
        <v>7</v>
      </c>
      <c r="U40" s="242">
        <v>6</v>
      </c>
      <c r="V40" s="242">
        <v>2</v>
      </c>
      <c r="W40" s="243">
        <v>5</v>
      </c>
      <c r="X40" s="242">
        <v>5</v>
      </c>
      <c r="Y40" s="242">
        <v>7</v>
      </c>
      <c r="Z40" s="242">
        <v>6</v>
      </c>
      <c r="AA40" s="242">
        <v>2</v>
      </c>
      <c r="AB40" s="243">
        <v>5</v>
      </c>
      <c r="AC40" s="242">
        <v>4</v>
      </c>
      <c r="AD40" s="242">
        <v>3</v>
      </c>
      <c r="AE40" s="242">
        <v>7</v>
      </c>
      <c r="AF40" s="242">
        <v>7</v>
      </c>
      <c r="AG40" s="242">
        <v>7</v>
      </c>
      <c r="AH40" s="242" t="s">
        <v>32</v>
      </c>
      <c r="AI40" s="242" t="s">
        <v>32</v>
      </c>
      <c r="AJ40" s="242" t="s">
        <v>32</v>
      </c>
      <c r="AK40" s="242" t="s">
        <v>32</v>
      </c>
      <c r="AL40" s="242" t="s">
        <v>32</v>
      </c>
      <c r="AM40" s="242" t="s">
        <v>32</v>
      </c>
      <c r="AN40" s="243" t="s">
        <v>32</v>
      </c>
      <c r="AO40" s="242">
        <v>1</v>
      </c>
      <c r="AP40" s="242">
        <v>1</v>
      </c>
      <c r="AQ40" s="243">
        <v>1</v>
      </c>
      <c r="AR40" s="244">
        <v>560000</v>
      </c>
      <c r="AS40" s="243" t="s">
        <v>34</v>
      </c>
      <c r="AT40" s="248" t="s">
        <v>779</v>
      </c>
      <c r="AU40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3.833333333333333</v>
      </c>
      <c r="AV40" s="246" t="str">
        <f>IF(AU40&gt;9,"SuperStar",IF(AU40&gt;8,"Star",IF(AU40&gt;6.5,"GoodReg",IF(AU40&gt;5,"Reg",IF(AU40&gt;4,"Bench","Minors")))))</f>
        <v>Minors</v>
      </c>
      <c r="AW40" s="245">
        <f>AVERAGE(X40,Z40,AA40)+IF(OR(X40&gt;7,AND(X40&gt;5,AA40&gt;5)),0.5,0)+IF(Z40&gt;7,0.25,0)+IF(X40&lt;6,-0.5*(6-X40),0)</f>
        <v>3.833333333333333</v>
      </c>
      <c r="AX40" s="245" t="str">
        <f>IF(AW40&gt;9,"SuperStar",IF(AW40&gt;8,"Star",IF(AW40&gt;6.5,"GoodReg",IF(AW40&gt;5,"Reg",IF(AW40&gt;4,"Bench","Minors")))))</f>
        <v>Minors</v>
      </c>
      <c r="AY40" s="246">
        <f>MIN(AU40+(MAX(0,25-L40))^1.5,AW40)</f>
        <v>3.833333333333333</v>
      </c>
      <c r="AZ40" s="246" t="str">
        <f>IF(AY40&gt;9,"SuperStar",IF(AY40&gt;8,"Star",IF(AY40&gt;6.5,"GoodReg",IF(AY40&gt;5,"Reg",IF(AY40&gt;4,"Bench","Minors")))))</f>
        <v>Minors</v>
      </c>
      <c r="BA40" s="247">
        <f>IF(AND(OR(S40+V40&gt;12,AND(S40&gt;6,V40&gt;6)),AO40&gt;6,OR(AP40&gt;=AO40,AP40&gt;6)),1,0)</f>
        <v>0</v>
      </c>
      <c r="BB40" s="248">
        <f>IF(OR(AND(S40&gt;6,W40&gt;6),S40+V40&gt;12),1,0)</f>
        <v>0</v>
      </c>
      <c r="BC40" s="248">
        <f>IF(AND(S40&gt;6,U40&gt;6,V40&gt;6),1,0)</f>
        <v>0</v>
      </c>
      <c r="BD40" s="248">
        <f>IF(AND(U40&gt;7,OR(S40&gt;6,V40&gt;6)),1,0)</f>
        <v>0</v>
      </c>
      <c r="BE40" s="248">
        <f>IF(AND(U40&gt;6,OR(S40&gt;6,V40&gt;6)),1,0)</f>
        <v>0</v>
      </c>
      <c r="BF40" s="248">
        <f>IF(AND(OR(S40&gt;6,U40&gt;6),OR(S40&gt;6,V40&gt;6)),1,0)</f>
        <v>0</v>
      </c>
      <c r="BG40" s="248">
        <f>IF(AND(S40&gt;4,OR(S40&gt;6,U40&gt;6,V40&gt;6)),1,0)</f>
        <v>0</v>
      </c>
      <c r="BH40" s="248">
        <f>IF(AND(S40&gt;4,OR(S40&gt;6,T40&gt;6,U40&gt;6,V40&gt;6)),1,0)</f>
        <v>1</v>
      </c>
      <c r="BI40" s="243">
        <f>IF(AND(S40&gt;4,MAX(S40:W40)&gt;6),1,0)</f>
        <v>1</v>
      </c>
      <c r="BJ40" s="247">
        <f>IF(AND(OR(X40+AA40&gt;12,AND(X40&gt;6,AA40&gt;6)),AO40&gt;6,OR(AP40&gt;=AO40,AP40&gt;6)),1,0)</f>
        <v>0</v>
      </c>
      <c r="BK40" s="248">
        <f>IF(OR(AND(X40&gt;6,AB40&gt;6),X40+AA40&gt;12),1,0)</f>
        <v>0</v>
      </c>
      <c r="BL40" s="248">
        <f>IF(AND(X40&gt;6,Z40&gt;6,AA40&gt;6),1,0)</f>
        <v>0</v>
      </c>
      <c r="BM40" s="248">
        <f>IF(AND(Z40&gt;7,OR(X40&gt;6,AA40&gt;6)),1,0)</f>
        <v>0</v>
      </c>
      <c r="BN40" s="248">
        <f>IF(AND(Z40&gt;6,OR(X40&gt;6,AA40&gt;6)),1,0)</f>
        <v>0</v>
      </c>
      <c r="BO40" s="248">
        <f>IF(AND(OR(X40&gt;6,Z40&gt;6),OR(X40&gt;6,AA40&gt;6)),1,0)</f>
        <v>0</v>
      </c>
      <c r="BP40" s="248">
        <f>IF(AND(X40&gt;4,OR(X40&gt;6,Z40&gt;6,AA40&gt;6)),1,0)</f>
        <v>0</v>
      </c>
      <c r="BQ40" s="248">
        <f>IF(AND(X40&gt;4,OR(X40&gt;6,Y40&gt;6,Z40&gt;6,AA40&gt;6)),1,0)</f>
        <v>1</v>
      </c>
      <c r="BR40" s="243">
        <f>IF(AND(X40&gt;4,MAX(X40:AB40)&gt;6),1,0)</f>
        <v>1</v>
      </c>
      <c r="BS40" s="243">
        <f>IF(AVERAGE(AO40:AP40)&gt;9,1,0)+IF(AVERAGE(AO40:AP40)&gt;7,1,0)+IF(AO40&gt;7,1,0)+IF(AP40&gt;7,1,0)+IF(AQ40&gt;8,1,0)+IF(AQ40&gt;6,1,0)</f>
        <v>0</v>
      </c>
      <c r="BT40" s="249">
        <f>IF(OR(MAX(AG40,AH40,AL40,AN40)&gt;6,MAX(AI40,AJ40,AK40,AM40)&gt;7),2,IF(MAX(AG40:AN40)&gt;4,1,0))</f>
        <v>2</v>
      </c>
      <c r="BU40" s="242" t="str">
        <f>IF(AS40=1,"Yes","")</f>
        <v/>
      </c>
      <c r="BV40" s="241" t="str">
        <f>IF($B40="ML","There",IF(AND($X40&gt;=6,AVERAGE($Z40:$AA40)&gt;=6),"Likely",IF(OR($X40&gt;6,AND($X40=6,AVERAGE($Z40:$AA40)&gt;=3),AND($X40&gt;=5,AVERAGE($Z40:$AA40)&gt;=5),AVERAGE($X40,$Z40:$AA40)&gt;5),"Possible","Unlikely")))</f>
        <v>Unlikely</v>
      </c>
      <c r="BW40" s="242" t="str">
        <f>IF(OR(AND(S40&gt;=6,U40+V40&gt;=12),S40&gt;7),"Start",IF(AND(S40&gt;=5,U40+V40&gt;=8),"Bench","aack!"))</f>
        <v>Bench</v>
      </c>
      <c r="BX40" s="242" t="str">
        <f>IF(OR(AND(X40&gt;=6,Z40+AA40&gt;=12),X40&gt;7),"Start",IF(AND(X40&gt;=5,Z40+AA40&gt;=8),"Bench","aack!"))</f>
        <v>Bench</v>
      </c>
      <c r="BY40" s="242" t="str">
        <f>IF(S40&gt;5,"ML",IF(S40=5,"AAA",IF(S40=4,"AA",IF(S40=3,"A","SS-A"))))</f>
        <v>AAA</v>
      </c>
      <c r="BZ40" s="242">
        <f>S40-X40</f>
        <v>0</v>
      </c>
      <c r="CA40" s="242">
        <f>T40-Y40</f>
        <v>0</v>
      </c>
      <c r="CB40" s="242">
        <f>U40-Z40</f>
        <v>0</v>
      </c>
      <c r="CC40" s="242">
        <f>V40-AA40</f>
        <v>0</v>
      </c>
      <c r="CD40" s="242">
        <f>W40-AB40</f>
        <v>0</v>
      </c>
      <c r="CE40" s="242">
        <f>SUM(BZ40:CD40)</f>
        <v>0</v>
      </c>
      <c r="CF40" s="242">
        <f>X40+Z40+AA40</f>
        <v>13</v>
      </c>
      <c r="CG40" s="242">
        <f>X40+Z40</f>
        <v>11</v>
      </c>
      <c r="CH40" s="242">
        <f>X40+AA40</f>
        <v>7</v>
      </c>
      <c r="CI40" s="242" t="str">
        <f>IF(L40&gt;24,"Now - Age",IF(S40&gt;6,"Now",IF(X40&lt;6,"With Dev",MIN(X40-S40,7-S40))))</f>
        <v>Now - Age</v>
      </c>
      <c r="CJ40" s="257" t="str">
        <f>IF(AG40&lt;&gt;"-","X","")</f>
        <v>X</v>
      </c>
      <c r="CK40" s="257" t="str">
        <f>IF(AND(AH40&lt;&gt;"-",AH40&gt;5),"X","")</f>
        <v/>
      </c>
      <c r="CL40" s="257" t="str">
        <f>IF(AND(AI40&lt;&gt;"-",AI40&gt;5),"X","")</f>
        <v/>
      </c>
      <c r="CM40" s="257" t="str">
        <f>IF(AND(AJ40&lt;&gt;"-",AJ40&gt;4,AC40&gt;6),"X","")</f>
        <v/>
      </c>
      <c r="CN40" s="257" t="str">
        <f>IF(AND(AK40&lt;&gt;"-",AK40&gt;5,AC40&gt;5),"X","")</f>
        <v/>
      </c>
      <c r="CO40" s="257" t="str">
        <f>IF(AND(AL40&lt;&gt;"-",AL40&gt;3),"X","")</f>
        <v/>
      </c>
      <c r="CP40" s="257" t="str">
        <f>IF(AND(AM40&lt;&gt;"-",AM40&gt;6),"X","")</f>
        <v/>
      </c>
      <c r="CQ40" s="257" t="str">
        <f>IF(AND(AN40&lt;&gt;"-",AN40&gt;5,AD40&gt;6),"X","")</f>
        <v/>
      </c>
      <c r="CR40" s="257" t="str">
        <f>IF(COUNTBLANK(CJ40:CQ40)=8,"X","")</f>
        <v/>
      </c>
    </row>
    <row r="41" spans="1:96" s="306" customFormat="1" x14ac:dyDescent="0.25">
      <c r="A41" s="240" t="str">
        <f>H41&amp;" "&amp;I41</f>
        <v>Dmitri Hill</v>
      </c>
      <c r="B41" s="240" t="str">
        <f>IF(ISERROR(VLOOKUP(A41,AMA!$C$3:$C$24,1,FALSE)),IF(ISERROR(VLOOKUP(A41,'END-AAA'!$C$6:$C$33,1,FALSE)),IF(ISERROR(VLOOKUP(A41,'DB-AA'!$C$6:$C$33,1,FALSE)),IF(ISERROR(VLOOKUP(A41,'UTR-A'!$C$6:$C$33,1,FALSE)),IF(ISERROR(VLOOKUP(A41,'FAI-S A'!$C$6:$C$33,1,FALSE)),"","S A"),"A"),"AA"),"AAA"),"ML")</f>
        <v>ML</v>
      </c>
      <c r="C41" s="241"/>
      <c r="D41" s="242">
        <f>IF(BL41=1,3,IF(BM41=1,4,IF(BJ41=1,1,IF(BN41=1,5,IF(BK41=1,2,IF(BO41=1,6,IF(BP41=1,7,IF(BQ41=1,8,IF(BR41=1,9,"-")))))))))</f>
        <v>9</v>
      </c>
      <c r="E41" s="242">
        <f>IF(BC41=1,3,IF(BD41=1,4,IF(BA41=1,1,IF(BE41=1,5,IF(BB41=1,2,IF(BF41=1,6,IF(BG41=1,7,IF(BH41=1,8,IF(BI41=1,9,"-")))))))))</f>
        <v>9</v>
      </c>
      <c r="F41" s="242" t="str">
        <f>IF(OR(OR(Q41="Very High",Q41="High"),AND(OR(Q41="Very High",Q41="High",Q41="Normal"),OR(R41="Very High",R41="High"))),"K","T")</f>
        <v>K</v>
      </c>
      <c r="G41" s="242" t="s">
        <v>76</v>
      </c>
      <c r="H41" s="242" t="s">
        <v>1132</v>
      </c>
      <c r="I41" s="242" t="s">
        <v>489</v>
      </c>
      <c r="J41" s="242" t="s">
        <v>763</v>
      </c>
      <c r="K41" s="242" t="s">
        <v>402</v>
      </c>
      <c r="L41" s="242">
        <v>36</v>
      </c>
      <c r="M41" s="242" t="s">
        <v>83</v>
      </c>
      <c r="N41" s="242" t="s">
        <v>83</v>
      </c>
      <c r="O41" s="242" t="s">
        <v>764</v>
      </c>
      <c r="P41" s="243" t="s">
        <v>764</v>
      </c>
      <c r="Q41" s="242" t="s">
        <v>199</v>
      </c>
      <c r="R41" s="243" t="s">
        <v>201</v>
      </c>
      <c r="S41" s="242">
        <v>5</v>
      </c>
      <c r="T41" s="242">
        <v>5</v>
      </c>
      <c r="U41" s="242">
        <v>2</v>
      </c>
      <c r="V41" s="242">
        <v>6</v>
      </c>
      <c r="W41" s="243">
        <v>9</v>
      </c>
      <c r="X41" s="242">
        <v>5</v>
      </c>
      <c r="Y41" s="242">
        <v>5</v>
      </c>
      <c r="Z41" s="242">
        <v>2</v>
      </c>
      <c r="AA41" s="242">
        <v>6</v>
      </c>
      <c r="AB41" s="243">
        <v>9</v>
      </c>
      <c r="AC41" s="242">
        <v>10</v>
      </c>
      <c r="AD41" s="242">
        <v>1</v>
      </c>
      <c r="AE41" s="242">
        <v>1</v>
      </c>
      <c r="AF41" s="242" t="s">
        <v>32</v>
      </c>
      <c r="AG41" s="242" t="s">
        <v>32</v>
      </c>
      <c r="AH41" s="242" t="s">
        <v>32</v>
      </c>
      <c r="AI41" s="242">
        <v>9</v>
      </c>
      <c r="AJ41" s="242">
        <v>9</v>
      </c>
      <c r="AK41" s="242">
        <v>7</v>
      </c>
      <c r="AL41" s="242" t="s">
        <v>32</v>
      </c>
      <c r="AM41" s="242" t="s">
        <v>32</v>
      </c>
      <c r="AN41" s="243" t="s">
        <v>32</v>
      </c>
      <c r="AO41" s="242">
        <v>5</v>
      </c>
      <c r="AP41" s="242">
        <v>9</v>
      </c>
      <c r="AQ41" s="243">
        <v>8</v>
      </c>
      <c r="AR41" s="244">
        <v>2500000</v>
      </c>
      <c r="AS41" s="243">
        <v>1</v>
      </c>
      <c r="AT41" s="248" t="s">
        <v>201</v>
      </c>
      <c r="AU4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3.833333333333333</v>
      </c>
      <c r="AV41" s="246" t="str">
        <f>IF(AU41&gt;9,"SuperStar",IF(AU41&gt;8,"Star",IF(AU41&gt;6.5,"GoodReg",IF(AU41&gt;5,"Reg",IF(AU41&gt;4,"Bench","Minors")))))</f>
        <v>Minors</v>
      </c>
      <c r="AW41" s="245">
        <f>AVERAGE(X41,Z41,AA41)+IF(OR(X41&gt;7,AND(X41&gt;5,AA41&gt;5)),0.5,0)+IF(Z41&gt;7,0.25,0)+IF(X41&lt;6,-0.5*(6-X41),0)</f>
        <v>3.833333333333333</v>
      </c>
      <c r="AX41" s="245" t="str">
        <f>IF(AW41&gt;9,"SuperStar",IF(AW41&gt;8,"Star",IF(AW41&gt;6.5,"GoodReg",IF(AW41&gt;5,"Reg",IF(AW41&gt;4,"Bench","Minors")))))</f>
        <v>Minors</v>
      </c>
      <c r="AY41" s="246">
        <f>MIN(AU41+(MAX(0,25-L41))^1.5,AW41)</f>
        <v>3.833333333333333</v>
      </c>
      <c r="AZ41" s="246" t="str">
        <f>IF(AY41&gt;9,"SuperStar",IF(AY41&gt;8,"Star",IF(AY41&gt;6.5,"GoodReg",IF(AY41&gt;5,"Reg",IF(AY41&gt;4,"Bench","Minors")))))</f>
        <v>Minors</v>
      </c>
      <c r="BA41" s="247">
        <f>IF(AND(OR(S41+V41&gt;12,AND(S41&gt;6,V41&gt;6)),AO41&gt;6,OR(AP41&gt;=AO41,AP41&gt;6)),1,0)</f>
        <v>0</v>
      </c>
      <c r="BB41" s="248">
        <f>IF(OR(AND(S41&gt;6,W41&gt;6),S41+V41&gt;12),1,0)</f>
        <v>0</v>
      </c>
      <c r="BC41" s="248">
        <f>IF(AND(S41&gt;6,U41&gt;6,V41&gt;6),1,0)</f>
        <v>0</v>
      </c>
      <c r="BD41" s="248">
        <f>IF(AND(U41&gt;7,OR(S41&gt;6,V41&gt;6)),1,0)</f>
        <v>0</v>
      </c>
      <c r="BE41" s="248">
        <f>IF(AND(U41&gt;6,OR(S41&gt;6,V41&gt;6)),1,0)</f>
        <v>0</v>
      </c>
      <c r="BF41" s="248">
        <f>IF(AND(OR(S41&gt;6,U41&gt;6),OR(S41&gt;6,V41&gt;6)),1,0)</f>
        <v>0</v>
      </c>
      <c r="BG41" s="248">
        <f>IF(AND(S41&gt;4,OR(S41&gt;6,U41&gt;6,V41&gt;6)),1,0)</f>
        <v>0</v>
      </c>
      <c r="BH41" s="248">
        <f>IF(AND(S41&gt;4,OR(S41&gt;6,T41&gt;6,U41&gt;6,V41&gt;6)),1,0)</f>
        <v>0</v>
      </c>
      <c r="BI41" s="243">
        <f>IF(AND(S41&gt;4,MAX(S41:W41)&gt;6),1,0)</f>
        <v>1</v>
      </c>
      <c r="BJ41" s="247">
        <f>IF(AND(OR(X41+AA41&gt;12,AND(X41&gt;6,AA41&gt;6)),AO41&gt;6,OR(AP41&gt;=AO41,AP41&gt;6)),1,0)</f>
        <v>0</v>
      </c>
      <c r="BK41" s="248">
        <f>IF(OR(AND(X41&gt;6,AB41&gt;6),X41+AA41&gt;12),1,0)</f>
        <v>0</v>
      </c>
      <c r="BL41" s="248">
        <f>IF(AND(X41&gt;6,Z41&gt;6,AA41&gt;6),1,0)</f>
        <v>0</v>
      </c>
      <c r="BM41" s="248">
        <f>IF(AND(Z41&gt;7,OR(X41&gt;6,AA41&gt;6)),1,0)</f>
        <v>0</v>
      </c>
      <c r="BN41" s="248">
        <f>IF(AND(Z41&gt;6,OR(X41&gt;6,AA41&gt;6)),1,0)</f>
        <v>0</v>
      </c>
      <c r="BO41" s="248">
        <f>IF(AND(OR(X41&gt;6,Z41&gt;6),OR(X41&gt;6,AA41&gt;6)),1,0)</f>
        <v>0</v>
      </c>
      <c r="BP41" s="248">
        <f>IF(AND(X41&gt;4,OR(X41&gt;6,Z41&gt;6,AA41&gt;6)),1,0)</f>
        <v>0</v>
      </c>
      <c r="BQ41" s="248">
        <f>IF(AND(X41&gt;4,OR(X41&gt;6,Y41&gt;6,Z41&gt;6,AA41&gt;6)),1,0)</f>
        <v>0</v>
      </c>
      <c r="BR41" s="243">
        <f>IF(AND(X41&gt;4,MAX(X41:AB41)&gt;6),1,0)</f>
        <v>1</v>
      </c>
      <c r="BS41" s="243">
        <f>IF(AVERAGE(AO41:AP41)&gt;9,1,0)+IF(AVERAGE(AO41:AP41)&gt;7,1,0)+IF(AO41&gt;7,1,0)+IF(AP41&gt;7,1,0)+IF(AQ41&gt;8,1,0)+IF(AQ41&gt;6,1,0)</f>
        <v>2</v>
      </c>
      <c r="BT41" s="249">
        <f>IF(OR(MAX(AG41,AH41,AL41,AN41)&gt;6,MAX(AI41,AJ41,AK41,AM41)&gt;7),2,IF(MAX(AG41:AN41)&gt;4,1,0))</f>
        <v>2</v>
      </c>
      <c r="BU41" s="242" t="str">
        <f>IF(AS41=1,"Yes","")</f>
        <v>Yes</v>
      </c>
      <c r="BV41" s="241" t="str">
        <f>IF($B41="ML","There",IF(AND($X41&gt;=6,AVERAGE($Z41:$AA41)&gt;=6),"Likely",IF(OR($X41&gt;6,AND($X41=6,AVERAGE($Z41:$AA41)&gt;=3),AND($X41&gt;=5,AVERAGE($Z41:$AA41)&gt;=5),AVERAGE($X41,$Z41:$AA41)&gt;5),"Possible","Unlikely")))</f>
        <v>There</v>
      </c>
      <c r="BW41" s="242" t="str">
        <f>IF(OR(AND(S41&gt;=6,U41+V41&gt;=12),S41&gt;7),"Start",IF(AND(S41&gt;=5,U41+V41&gt;=8),"Bench","aack!"))</f>
        <v>Bench</v>
      </c>
      <c r="BX41" s="242" t="str">
        <f>IF(OR(AND(X41&gt;=6,Z41+AA41&gt;=12),X41&gt;7),"Start",IF(AND(X41&gt;=5,Z41+AA41&gt;=8),"Bench","aack!"))</f>
        <v>Bench</v>
      </c>
      <c r="BY41" s="242" t="str">
        <f>IF(S41&gt;5,"ML",IF(S41=5,"AAA",IF(S41=4,"AA",IF(S41=3,"A","SS-A"))))</f>
        <v>AAA</v>
      </c>
      <c r="BZ41" s="242">
        <f>S41-X41</f>
        <v>0</v>
      </c>
      <c r="CA41" s="242">
        <f>T41-Y41</f>
        <v>0</v>
      </c>
      <c r="CB41" s="242">
        <f>U41-Z41</f>
        <v>0</v>
      </c>
      <c r="CC41" s="242">
        <f>V41-AA41</f>
        <v>0</v>
      </c>
      <c r="CD41" s="242">
        <f>W41-AB41</f>
        <v>0</v>
      </c>
      <c r="CE41" s="242">
        <f>SUM(BZ41:CD41)</f>
        <v>0</v>
      </c>
      <c r="CF41" s="242">
        <f>X41+Z41+AA41</f>
        <v>13</v>
      </c>
      <c r="CG41" s="242">
        <f>X41+Z41</f>
        <v>7</v>
      </c>
      <c r="CH41" s="242">
        <f>X41+AA41</f>
        <v>11</v>
      </c>
      <c r="CI41" s="242" t="str">
        <f>IF(L41&gt;24,"Now - Age",IF(S41&gt;6,"Now",IF(X41&lt;6,"With Dev",MIN(X41-S41,7-S41))))</f>
        <v>Now - Age</v>
      </c>
      <c r="CJ41" s="257" t="str">
        <f>IF(AG41&lt;&gt;"-","X","")</f>
        <v/>
      </c>
      <c r="CK41" s="257" t="str">
        <f>IF(AND(AH41&lt;&gt;"-",AH41&gt;5),"X","")</f>
        <v/>
      </c>
      <c r="CL41" s="257" t="str">
        <f>IF(AND(AI41&lt;&gt;"-",AI41&gt;5),"X","")</f>
        <v>X</v>
      </c>
      <c r="CM41" s="257" t="str">
        <f>IF(AND(AJ41&lt;&gt;"-",AJ41&gt;4,AC41&gt;6),"X","")</f>
        <v>X</v>
      </c>
      <c r="CN41" s="257" t="str">
        <f>IF(AND(AK41&lt;&gt;"-",AK41&gt;5,AC41&gt;5),"X","")</f>
        <v>X</v>
      </c>
      <c r="CO41" s="257" t="str">
        <f>IF(AND(AL41&lt;&gt;"-",AL41&gt;3),"X","")</f>
        <v/>
      </c>
      <c r="CP41" s="257" t="str">
        <f>IF(AND(AM41&lt;&gt;"-",AM41&gt;6),"X","")</f>
        <v/>
      </c>
      <c r="CQ41" s="257" t="str">
        <f>IF(AND(AN41&lt;&gt;"-",AN41&gt;5,AD41&gt;6),"X","")</f>
        <v/>
      </c>
      <c r="CR41" s="257" t="str">
        <f>IF(COUNTBLANK(CJ41:CQ41)=8,"X","")</f>
        <v/>
      </c>
    </row>
    <row r="42" spans="1:96" s="306" customFormat="1" x14ac:dyDescent="0.25">
      <c r="A42" s="240" t="str">
        <f>H42&amp;" "&amp;I42</f>
        <v>António Domínguez</v>
      </c>
      <c r="B42" s="240" t="str">
        <f>IF(ISERROR(VLOOKUP(A42,AMA!$C$3:$C$24,1,FALSE)),IF(ISERROR(VLOOKUP(A42,'END-AAA'!$C$6:$C$33,1,FALSE)),IF(ISERROR(VLOOKUP(A42,'DB-AA'!$C$6:$C$33,1,FALSE)),IF(ISERROR(VLOOKUP(A42,'UTR-A'!$C$6:$C$33,1,FALSE)),IF(ISERROR(VLOOKUP(A42,'FAI-S A'!$C$6:$C$33,1,FALSE)),"","S A"),"A"),"AA"),"AAA"),"ML")</f>
        <v/>
      </c>
      <c r="C42" s="241"/>
      <c r="D42" s="242" t="str">
        <f>IF(BL42=1,3,IF(BM42=1,4,IF(BJ42=1,1,IF(BN42=1,5,IF(BK42=1,2,IF(BO42=1,6,IF(BP42=1,7,IF(BQ42=1,8,IF(BR42=1,9,"-")))))))))</f>
        <v>-</v>
      </c>
      <c r="E42" s="242" t="str">
        <f>IF(BC42=1,3,IF(BD42=1,4,IF(BA42=1,1,IF(BE42=1,5,IF(BB42=1,2,IF(BF42=1,6,IF(BG42=1,7,IF(BH42=1,8,IF(BI42=1,9,"-")))))))))</f>
        <v>-</v>
      </c>
      <c r="F42" s="242" t="str">
        <f>IF(OR(OR(Q42="Very High",Q42="High"),AND(OR(Q42="Very High",Q42="High",Q42="Normal"),OR(R42="Very High",R42="High"))),"K","T")</f>
        <v>T</v>
      </c>
      <c r="G42" s="242" t="s">
        <v>76</v>
      </c>
      <c r="H42" s="242" t="s">
        <v>717</v>
      </c>
      <c r="I42" s="242" t="s">
        <v>809</v>
      </c>
      <c r="J42" s="242" t="s">
        <v>814</v>
      </c>
      <c r="K42" s="242" t="s">
        <v>187</v>
      </c>
      <c r="L42" s="242">
        <v>20</v>
      </c>
      <c r="M42" s="242" t="s">
        <v>83</v>
      </c>
      <c r="N42" s="242" t="s">
        <v>83</v>
      </c>
      <c r="O42" s="242" t="s">
        <v>773</v>
      </c>
      <c r="P42" s="243" t="s">
        <v>768</v>
      </c>
      <c r="Q42" s="242" t="s">
        <v>200</v>
      </c>
      <c r="R42" s="243" t="s">
        <v>200</v>
      </c>
      <c r="S42" s="242">
        <v>4</v>
      </c>
      <c r="T42" s="242">
        <v>6</v>
      </c>
      <c r="U42" s="242">
        <v>5</v>
      </c>
      <c r="V42" s="242">
        <v>5</v>
      </c>
      <c r="W42" s="243">
        <v>6</v>
      </c>
      <c r="X42" s="242">
        <v>5</v>
      </c>
      <c r="Y42" s="242">
        <v>6</v>
      </c>
      <c r="Z42" s="242">
        <v>6</v>
      </c>
      <c r="AA42" s="242">
        <v>6</v>
      </c>
      <c r="AB42" s="243">
        <v>6</v>
      </c>
      <c r="AC42" s="242">
        <v>7</v>
      </c>
      <c r="AD42" s="242">
        <v>8</v>
      </c>
      <c r="AE42" s="242">
        <v>1</v>
      </c>
      <c r="AF42" s="242" t="s">
        <v>32</v>
      </c>
      <c r="AG42" s="242" t="s">
        <v>32</v>
      </c>
      <c r="AH42" s="242" t="s">
        <v>32</v>
      </c>
      <c r="AI42" s="242">
        <v>8</v>
      </c>
      <c r="AJ42" s="242">
        <v>2</v>
      </c>
      <c r="AK42" s="242">
        <v>6</v>
      </c>
      <c r="AL42" s="242" t="s">
        <v>32</v>
      </c>
      <c r="AM42" s="242" t="s">
        <v>32</v>
      </c>
      <c r="AN42" s="243" t="s">
        <v>32</v>
      </c>
      <c r="AO42" s="242">
        <v>9</v>
      </c>
      <c r="AP42" s="242">
        <v>6</v>
      </c>
      <c r="AQ42" s="243">
        <v>4</v>
      </c>
      <c r="AR42" s="244" t="s">
        <v>32</v>
      </c>
      <c r="AS42" s="243" t="s">
        <v>33</v>
      </c>
      <c r="AT42" s="248" t="s">
        <v>199</v>
      </c>
      <c r="AU4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3.666666666666667</v>
      </c>
      <c r="AV42" s="246" t="str">
        <f>IF(AU42&gt;9,"SuperStar",IF(AU42&gt;8,"Star",IF(AU42&gt;6.5,"GoodReg",IF(AU42&gt;5,"Reg",IF(AU42&gt;4,"Bench","Minors")))))</f>
        <v>Minors</v>
      </c>
      <c r="AW42" s="245">
        <f>AVERAGE(X42,Z42,AA42)+IF(OR(X42&gt;7,AND(X42&gt;5,AA42&gt;5)),0.5,0)+IF(Z42&gt;7,0.25,0)+IF(X42&lt;6,-0.5*(6-X42),0)</f>
        <v>5.166666666666667</v>
      </c>
      <c r="AX42" s="245" t="str">
        <f>IF(AW42&gt;9,"SuperStar",IF(AW42&gt;8,"Star",IF(AW42&gt;6.5,"GoodReg",IF(AW42&gt;5,"Reg",IF(AW42&gt;4,"Bench","Minors")))))</f>
        <v>Reg</v>
      </c>
      <c r="AY42" s="246">
        <f>MIN(AU42+(MAX(0,25-L42))^1.5,AW42)</f>
        <v>5.166666666666667</v>
      </c>
      <c r="AZ42" s="246" t="str">
        <f>IF(AY42&gt;9,"SuperStar",IF(AY42&gt;8,"Star",IF(AY42&gt;6.5,"GoodReg",IF(AY42&gt;5,"Reg",IF(AY42&gt;4,"Bench","Minors")))))</f>
        <v>Reg</v>
      </c>
      <c r="BA42" s="247">
        <f>IF(AND(OR(S42+V42&gt;12,AND(S42&gt;6,V42&gt;6)),AO42&gt;6,OR(AP42&gt;=AO42,AP42&gt;6)),1,0)</f>
        <v>0</v>
      </c>
      <c r="BB42" s="248">
        <f>IF(OR(AND(S42&gt;6,W42&gt;6),S42+V42&gt;12),1,0)</f>
        <v>0</v>
      </c>
      <c r="BC42" s="248">
        <f>IF(AND(S42&gt;6,U42&gt;6,V42&gt;6),1,0)</f>
        <v>0</v>
      </c>
      <c r="BD42" s="248">
        <f>IF(AND(U42&gt;7,OR(S42&gt;6,V42&gt;6)),1,0)</f>
        <v>0</v>
      </c>
      <c r="BE42" s="248">
        <f>IF(AND(U42&gt;6,OR(S42&gt;6,V42&gt;6)),1,0)</f>
        <v>0</v>
      </c>
      <c r="BF42" s="248">
        <f>IF(AND(OR(S42&gt;6,U42&gt;6),OR(S42&gt;6,V42&gt;6)),1,0)</f>
        <v>0</v>
      </c>
      <c r="BG42" s="248">
        <f>IF(AND(S42&gt;4,OR(S42&gt;6,U42&gt;6,V42&gt;6)),1,0)</f>
        <v>0</v>
      </c>
      <c r="BH42" s="248">
        <f>IF(AND(S42&gt;4,OR(S42&gt;6,T42&gt;6,U42&gt;6,V42&gt;6)),1,0)</f>
        <v>0</v>
      </c>
      <c r="BI42" s="243">
        <f>IF(AND(S42&gt;4,MAX(S42:W42)&gt;6),1,0)</f>
        <v>0</v>
      </c>
      <c r="BJ42" s="247">
        <f>IF(AND(OR(X42+AA42&gt;12,AND(X42&gt;6,AA42&gt;6)),AO42&gt;6,OR(AP42&gt;=AO42,AP42&gt;6)),1,0)</f>
        <v>0</v>
      </c>
      <c r="BK42" s="248">
        <f>IF(OR(AND(X42&gt;6,AB42&gt;6),X42+AA42&gt;12),1,0)</f>
        <v>0</v>
      </c>
      <c r="BL42" s="248">
        <f>IF(AND(X42&gt;6,Z42&gt;6,AA42&gt;6),1,0)</f>
        <v>0</v>
      </c>
      <c r="BM42" s="248">
        <f>IF(AND(Z42&gt;7,OR(X42&gt;6,AA42&gt;6)),1,0)</f>
        <v>0</v>
      </c>
      <c r="BN42" s="248">
        <f>IF(AND(Z42&gt;6,OR(X42&gt;6,AA42&gt;6)),1,0)</f>
        <v>0</v>
      </c>
      <c r="BO42" s="248">
        <f>IF(AND(OR(X42&gt;6,Z42&gt;6),OR(X42&gt;6,AA42&gt;6)),1,0)</f>
        <v>0</v>
      </c>
      <c r="BP42" s="248">
        <f>IF(AND(X42&gt;4,OR(X42&gt;6,Z42&gt;6,AA42&gt;6)),1,0)</f>
        <v>0</v>
      </c>
      <c r="BQ42" s="248">
        <f>IF(AND(X42&gt;4,OR(X42&gt;6,Y42&gt;6,Z42&gt;6,AA42&gt;6)),1,0)</f>
        <v>0</v>
      </c>
      <c r="BR42" s="243">
        <f>IF(AND(X42&gt;4,MAX(X42:AB42)&gt;6),1,0)</f>
        <v>0</v>
      </c>
      <c r="BS42" s="243">
        <f>IF(AVERAGE(AO42:AP42)&gt;9,1,0)+IF(AVERAGE(AO42:AP42)&gt;7,1,0)+IF(AO42&gt;7,1,0)+IF(AP42&gt;7,1,0)+IF(AQ42&gt;8,1,0)+IF(AQ42&gt;6,1,0)</f>
        <v>2</v>
      </c>
      <c r="BT42" s="249">
        <f>IF(OR(MAX(AG42,AH42,AL42,AN42)&gt;6,MAX(AI42,AJ42,AK42,AM42)&gt;7),2,IF(MAX(AG42:AN42)&gt;4,1,0))</f>
        <v>2</v>
      </c>
      <c r="BU42" s="242" t="str">
        <f>IF(AS42=1,"Yes","")</f>
        <v/>
      </c>
      <c r="BV42" s="241" t="str">
        <f>IF($B42="ML","There",IF(AND($X42&gt;=6,AVERAGE($Z42:$AA42)&gt;=6),"Likely",IF(OR($X42&gt;6,AND($X42=6,AVERAGE($Z42:$AA42)&gt;=3),AND($X42&gt;=5,AVERAGE($Z42:$AA42)&gt;=5),AVERAGE($X42,$Z42:$AA42)&gt;5),"Possible","Unlikely")))</f>
        <v>Possible</v>
      </c>
      <c r="BW42" s="242" t="str">
        <f>IF(OR(AND(S42&gt;=6,U42+V42&gt;=12),S42&gt;7),"Start",IF(AND(S42&gt;=5,U42+V42&gt;=8),"Bench","aack!"))</f>
        <v>aack!</v>
      </c>
      <c r="BX42" s="242" t="str">
        <f>IF(OR(AND(X42&gt;=6,Z42+AA42&gt;=12),X42&gt;7),"Start",IF(AND(X42&gt;=5,Z42+AA42&gt;=8),"Bench","aack!"))</f>
        <v>Bench</v>
      </c>
      <c r="BY42" s="242" t="str">
        <f>IF(S42&gt;5,"ML",IF(S42=5,"AAA",IF(S42=4,"AA",IF(S42=3,"A","SS-A"))))</f>
        <v>AA</v>
      </c>
      <c r="BZ42" s="242">
        <f>S42-X42</f>
        <v>-1</v>
      </c>
      <c r="CA42" s="242">
        <f>T42-Y42</f>
        <v>0</v>
      </c>
      <c r="CB42" s="242">
        <f>U42-Z42</f>
        <v>-1</v>
      </c>
      <c r="CC42" s="242">
        <f>V42-AA42</f>
        <v>-1</v>
      </c>
      <c r="CD42" s="242">
        <f>W42-AB42</f>
        <v>0</v>
      </c>
      <c r="CE42" s="242">
        <f>SUM(BZ42:CD42)</f>
        <v>-3</v>
      </c>
      <c r="CF42" s="242">
        <f>X42+Z42+AA42</f>
        <v>17</v>
      </c>
      <c r="CG42" s="242">
        <f>X42+Z42</f>
        <v>11</v>
      </c>
      <c r="CH42" s="242">
        <f>X42+AA42</f>
        <v>11</v>
      </c>
      <c r="CI42" s="242" t="str">
        <f>IF(L42&gt;24,"Now - Age",IF(S42&gt;6,"Now",IF(X42&lt;6,"With Dev",MIN(X42-S42,7-S42))))</f>
        <v>With Dev</v>
      </c>
      <c r="CJ42" s="257" t="str">
        <f>IF(AG42&lt;&gt;"-","X","")</f>
        <v/>
      </c>
      <c r="CK42" s="257" t="str">
        <f>IF(AND(AH42&lt;&gt;"-",AH42&gt;5),"X","")</f>
        <v/>
      </c>
      <c r="CL42" s="257" t="str">
        <f>IF(AND(AI42&lt;&gt;"-",AI42&gt;5),"X","")</f>
        <v>X</v>
      </c>
      <c r="CM42" s="257" t="str">
        <f>IF(AND(AJ42&lt;&gt;"-",AJ42&gt;4,AC42&gt;6),"X","")</f>
        <v/>
      </c>
      <c r="CN42" s="257" t="str">
        <f>IF(AND(AK42&lt;&gt;"-",AK42&gt;5,AC42&gt;5),"X","")</f>
        <v>X</v>
      </c>
      <c r="CO42" s="257" t="str">
        <f>IF(AND(AL42&lt;&gt;"-",AL42&gt;3),"X","")</f>
        <v/>
      </c>
      <c r="CP42" s="257" t="str">
        <f>IF(AND(AM42&lt;&gt;"-",AM42&gt;6),"X","")</f>
        <v/>
      </c>
      <c r="CQ42" s="257" t="str">
        <f>IF(AND(AN42&lt;&gt;"-",AN42&gt;5,AD42&gt;6),"X","")</f>
        <v/>
      </c>
      <c r="CR42" s="257" t="str">
        <f>IF(COUNTBLANK(CJ42:CQ42)=8,"X","")</f>
        <v/>
      </c>
    </row>
    <row r="43" spans="1:96" s="306" customFormat="1" x14ac:dyDescent="0.25">
      <c r="A43" s="240" t="str">
        <f>H43&amp;" "&amp;I43</f>
        <v>Masaki Sato</v>
      </c>
      <c r="B43" s="240" t="str">
        <f>IF(ISERROR(VLOOKUP(A43,AMA!$C$3:$C$24,1,FALSE)),IF(ISERROR(VLOOKUP(A43,'END-AAA'!$C$6:$C$33,1,FALSE)),IF(ISERROR(VLOOKUP(A43,'DB-AA'!$C$6:$C$33,1,FALSE)),IF(ISERROR(VLOOKUP(A43,'UTR-A'!$C$6:$C$33,1,FALSE)),IF(ISERROR(VLOOKUP(A43,'FAI-S A'!$C$6:$C$33,1,FALSE)),"","S A"),"A"),"AA"),"AAA"),"ML")</f>
        <v/>
      </c>
      <c r="C43" s="241"/>
      <c r="D43" s="242" t="str">
        <f>IF(BL43=1,3,IF(BM43=1,4,IF(BJ43=1,1,IF(BN43=1,5,IF(BK43=1,2,IF(BO43=1,6,IF(BP43=1,7,IF(BQ43=1,8,IF(BR43=1,9,"-")))))))))</f>
        <v>-</v>
      </c>
      <c r="E43" s="242" t="str">
        <f>IF(BC43=1,3,IF(BD43=1,4,IF(BA43=1,1,IF(BE43=1,5,IF(BB43=1,2,IF(BF43=1,6,IF(BG43=1,7,IF(BH43=1,8,IF(BI43=1,9,"-")))))))))</f>
        <v>-</v>
      </c>
      <c r="F43" s="242" t="str">
        <f>IF(OR(OR(Q43="Very High",Q43="High"),AND(OR(Q43="Very High",Q43="High",Q43="Normal"),OR(R43="Very High",R43="High"))),"K","T")</f>
        <v>T</v>
      </c>
      <c r="G43" s="242" t="s">
        <v>71</v>
      </c>
      <c r="H43" s="242" t="s">
        <v>859</v>
      </c>
      <c r="I43" s="242" t="s">
        <v>439</v>
      </c>
      <c r="J43" s="242" t="s">
        <v>769</v>
      </c>
      <c r="K43" s="242" t="s">
        <v>186</v>
      </c>
      <c r="L43" s="242">
        <v>26</v>
      </c>
      <c r="M43" s="242" t="s">
        <v>83</v>
      </c>
      <c r="N43" s="242" t="s">
        <v>83</v>
      </c>
      <c r="O43" s="242" t="s">
        <v>773</v>
      </c>
      <c r="P43" s="243" t="s">
        <v>773</v>
      </c>
      <c r="Q43" s="242" t="s">
        <v>200</v>
      </c>
      <c r="R43" s="243" t="s">
        <v>200</v>
      </c>
      <c r="S43" s="242">
        <v>4</v>
      </c>
      <c r="T43" s="242">
        <v>5</v>
      </c>
      <c r="U43" s="242">
        <v>5</v>
      </c>
      <c r="V43" s="242">
        <v>5</v>
      </c>
      <c r="W43" s="243">
        <v>6</v>
      </c>
      <c r="X43" s="242">
        <v>4</v>
      </c>
      <c r="Y43" s="242">
        <v>5</v>
      </c>
      <c r="Z43" s="242">
        <v>5</v>
      </c>
      <c r="AA43" s="242">
        <v>5</v>
      </c>
      <c r="AB43" s="243">
        <v>6</v>
      </c>
      <c r="AC43" s="242">
        <v>4</v>
      </c>
      <c r="AD43" s="242">
        <v>2</v>
      </c>
      <c r="AE43" s="242">
        <v>6</v>
      </c>
      <c r="AF43" s="242">
        <v>7</v>
      </c>
      <c r="AG43" s="242">
        <v>7</v>
      </c>
      <c r="AH43" s="242" t="s">
        <v>32</v>
      </c>
      <c r="AI43" s="242" t="s">
        <v>32</v>
      </c>
      <c r="AJ43" s="242" t="s">
        <v>32</v>
      </c>
      <c r="AK43" s="242" t="s">
        <v>32</v>
      </c>
      <c r="AL43" s="242" t="s">
        <v>32</v>
      </c>
      <c r="AM43" s="242" t="s">
        <v>32</v>
      </c>
      <c r="AN43" s="243" t="s">
        <v>32</v>
      </c>
      <c r="AO43" s="242">
        <v>1</v>
      </c>
      <c r="AP43" s="242">
        <v>3</v>
      </c>
      <c r="AQ43" s="243">
        <v>1</v>
      </c>
      <c r="AR43" s="244" t="s">
        <v>32</v>
      </c>
      <c r="AS43" s="243">
        <v>0</v>
      </c>
      <c r="AT43" s="248" t="s">
        <v>199</v>
      </c>
      <c r="AU4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3.666666666666667</v>
      </c>
      <c r="AV43" s="246" t="str">
        <f>IF(AU43&gt;9,"SuperStar",IF(AU43&gt;8,"Star",IF(AU43&gt;6.5,"GoodReg",IF(AU43&gt;5,"Reg",IF(AU43&gt;4,"Bench","Minors")))))</f>
        <v>Minors</v>
      </c>
      <c r="AW43" s="245">
        <f>AVERAGE(X43,Z43,AA43)+IF(OR(X43&gt;7,AND(X43&gt;5,AA43&gt;5)),0.5,0)+IF(Z43&gt;7,0.25,0)+IF(X43&lt;6,-0.5*(6-X43),0)</f>
        <v>3.666666666666667</v>
      </c>
      <c r="AX43" s="245" t="str">
        <f>IF(AW43&gt;9,"SuperStar",IF(AW43&gt;8,"Star",IF(AW43&gt;6.5,"GoodReg",IF(AW43&gt;5,"Reg",IF(AW43&gt;4,"Bench","Minors")))))</f>
        <v>Minors</v>
      </c>
      <c r="AY43" s="246">
        <f>MIN(AU43+(MAX(0,25-L43))^1.5,AW43)</f>
        <v>3.666666666666667</v>
      </c>
      <c r="AZ43" s="246" t="str">
        <f>IF(AY43&gt;9,"SuperStar",IF(AY43&gt;8,"Star",IF(AY43&gt;6.5,"GoodReg",IF(AY43&gt;5,"Reg",IF(AY43&gt;4,"Bench","Minors")))))</f>
        <v>Minors</v>
      </c>
      <c r="BA43" s="247">
        <f>IF(AND(OR(S43+V43&gt;12,AND(S43&gt;6,V43&gt;6)),AO43&gt;6,OR(AP43&gt;=AO43,AP43&gt;6)),1,0)</f>
        <v>0</v>
      </c>
      <c r="BB43" s="248">
        <f>IF(OR(AND(S43&gt;6,W43&gt;6),S43+V43&gt;12),1,0)</f>
        <v>0</v>
      </c>
      <c r="BC43" s="248">
        <f>IF(AND(S43&gt;6,U43&gt;6,V43&gt;6),1,0)</f>
        <v>0</v>
      </c>
      <c r="BD43" s="248">
        <f>IF(AND(U43&gt;7,OR(S43&gt;6,V43&gt;6)),1,0)</f>
        <v>0</v>
      </c>
      <c r="BE43" s="248">
        <f>IF(AND(U43&gt;6,OR(S43&gt;6,V43&gt;6)),1,0)</f>
        <v>0</v>
      </c>
      <c r="BF43" s="248">
        <f>IF(AND(OR(S43&gt;6,U43&gt;6),OR(S43&gt;6,V43&gt;6)),1,0)</f>
        <v>0</v>
      </c>
      <c r="BG43" s="248">
        <f>IF(AND(S43&gt;4,OR(S43&gt;6,U43&gt;6,V43&gt;6)),1,0)</f>
        <v>0</v>
      </c>
      <c r="BH43" s="248">
        <f>IF(AND(S43&gt;4,OR(S43&gt;6,T43&gt;6,U43&gt;6,V43&gt;6)),1,0)</f>
        <v>0</v>
      </c>
      <c r="BI43" s="243">
        <f>IF(AND(S43&gt;4,MAX(S43:W43)&gt;6),1,0)</f>
        <v>0</v>
      </c>
      <c r="BJ43" s="247">
        <f>IF(AND(OR(X43+AA43&gt;12,AND(X43&gt;6,AA43&gt;6)),AO43&gt;6,OR(AP43&gt;=AO43,AP43&gt;6)),1,0)</f>
        <v>0</v>
      </c>
      <c r="BK43" s="248">
        <f>IF(OR(AND(X43&gt;6,AB43&gt;6),X43+AA43&gt;12),1,0)</f>
        <v>0</v>
      </c>
      <c r="BL43" s="248">
        <f>IF(AND(X43&gt;6,Z43&gt;6,AA43&gt;6),1,0)</f>
        <v>0</v>
      </c>
      <c r="BM43" s="248">
        <f>IF(AND(Z43&gt;7,OR(X43&gt;6,AA43&gt;6)),1,0)</f>
        <v>0</v>
      </c>
      <c r="BN43" s="248">
        <f>IF(AND(Z43&gt;6,OR(X43&gt;6,AA43&gt;6)),1,0)</f>
        <v>0</v>
      </c>
      <c r="BO43" s="248">
        <f>IF(AND(OR(X43&gt;6,Z43&gt;6),OR(X43&gt;6,AA43&gt;6)),1,0)</f>
        <v>0</v>
      </c>
      <c r="BP43" s="248">
        <f>IF(AND(X43&gt;4,OR(X43&gt;6,Z43&gt;6,AA43&gt;6)),1,0)</f>
        <v>0</v>
      </c>
      <c r="BQ43" s="248">
        <f>IF(AND(X43&gt;4,OR(X43&gt;6,Y43&gt;6,Z43&gt;6,AA43&gt;6)),1,0)</f>
        <v>0</v>
      </c>
      <c r="BR43" s="243">
        <f>IF(AND(X43&gt;4,MAX(X43:AB43)&gt;6),1,0)</f>
        <v>0</v>
      </c>
      <c r="BS43" s="243">
        <f>IF(AVERAGE(AO43:AP43)&gt;9,1,0)+IF(AVERAGE(AO43:AP43)&gt;7,1,0)+IF(AO43&gt;7,1,0)+IF(AP43&gt;7,1,0)+IF(AQ43&gt;8,1,0)+IF(AQ43&gt;6,1,0)</f>
        <v>0</v>
      </c>
      <c r="BT43" s="249">
        <f>IF(OR(MAX(AG43,AH43,AL43,AN43)&gt;6,MAX(AI43,AJ43,AK43,AM43)&gt;7),2,IF(MAX(AG43:AN43)&gt;4,1,0))</f>
        <v>2</v>
      </c>
      <c r="BU43" s="242" t="str">
        <f>IF(AS43=1,"Yes","")</f>
        <v/>
      </c>
      <c r="BV43" s="241" t="str">
        <f>IF($B43="ML","There",IF(AND($X43&gt;=6,AVERAGE($Z43:$AA43)&gt;=6),"Likely",IF(OR($X43&gt;6,AND($X43=6,AVERAGE($Z43:$AA43)&gt;=3),AND($X43&gt;=5,AVERAGE($Z43:$AA43)&gt;=5),AVERAGE($X43,$Z43:$AA43)&gt;5),"Possible","Unlikely")))</f>
        <v>Unlikely</v>
      </c>
      <c r="BW43" s="242" t="str">
        <f>IF(OR(AND(S43&gt;=6,U43+V43&gt;=12),S43&gt;7),"Start",IF(AND(S43&gt;=5,U43+V43&gt;=8),"Bench","aack!"))</f>
        <v>aack!</v>
      </c>
      <c r="BX43" s="242" t="str">
        <f>IF(OR(AND(X43&gt;=6,Z43+AA43&gt;=12),X43&gt;7),"Start",IF(AND(X43&gt;=5,Z43+AA43&gt;=8),"Bench","aack!"))</f>
        <v>aack!</v>
      </c>
      <c r="BY43" s="242" t="str">
        <f>IF(S43&gt;5,"ML",IF(S43=5,"AAA",IF(S43=4,"AA",IF(S43=3,"A","SS-A"))))</f>
        <v>AA</v>
      </c>
      <c r="BZ43" s="242">
        <f>S43-X43</f>
        <v>0</v>
      </c>
      <c r="CA43" s="242">
        <f>T43-Y43</f>
        <v>0</v>
      </c>
      <c r="CB43" s="242">
        <f>U43-Z43</f>
        <v>0</v>
      </c>
      <c r="CC43" s="242">
        <f>V43-AA43</f>
        <v>0</v>
      </c>
      <c r="CD43" s="242">
        <f>W43-AB43</f>
        <v>0</v>
      </c>
      <c r="CE43" s="242">
        <f>SUM(BZ43:CD43)</f>
        <v>0</v>
      </c>
      <c r="CF43" s="242">
        <f>X43+Z43+AA43</f>
        <v>14</v>
      </c>
      <c r="CG43" s="242">
        <f>X43+Z43</f>
        <v>9</v>
      </c>
      <c r="CH43" s="242">
        <f>X43+AA43</f>
        <v>9</v>
      </c>
      <c r="CI43" s="242" t="str">
        <f>IF(L43&gt;24,"Now - Age",IF(S43&gt;6,"Now",IF(X43&lt;6,"With Dev",MIN(X43-S43,7-S43))))</f>
        <v>Now - Age</v>
      </c>
      <c r="CJ43" s="257" t="str">
        <f>IF(AG43&lt;&gt;"-","X","")</f>
        <v>X</v>
      </c>
      <c r="CK43" s="257" t="str">
        <f>IF(AND(AH43&lt;&gt;"-",AH43&gt;5),"X","")</f>
        <v/>
      </c>
      <c r="CL43" s="257" t="str">
        <f>IF(AND(AI43&lt;&gt;"-",AI43&gt;5),"X","")</f>
        <v/>
      </c>
      <c r="CM43" s="257" t="str">
        <f>IF(AND(AJ43&lt;&gt;"-",AJ43&gt;4,AC43&gt;6),"X","")</f>
        <v/>
      </c>
      <c r="CN43" s="257" t="str">
        <f>IF(AND(AK43&lt;&gt;"-",AK43&gt;5,AC43&gt;5),"X","")</f>
        <v/>
      </c>
      <c r="CO43" s="257" t="str">
        <f>IF(AND(AL43&lt;&gt;"-",AL43&gt;3),"X","")</f>
        <v/>
      </c>
      <c r="CP43" s="257" t="str">
        <f>IF(AND(AM43&lt;&gt;"-",AM43&gt;6),"X","")</f>
        <v/>
      </c>
      <c r="CQ43" s="257" t="str">
        <f>IF(AND(AN43&lt;&gt;"-",AN43&gt;5,AD43&gt;6),"X","")</f>
        <v/>
      </c>
      <c r="CR43" s="257" t="str">
        <f>IF(COUNTBLANK(CJ43:CQ43)=8,"X","")</f>
        <v/>
      </c>
    </row>
    <row r="44" spans="1:96" s="306" customFormat="1" x14ac:dyDescent="0.25">
      <c r="A44" s="240" t="str">
        <f>H44&amp;" "&amp;I44</f>
        <v>Tom Gardner</v>
      </c>
      <c r="B44" s="240" t="str">
        <f>IF(ISERROR(VLOOKUP(A44,AMA!$C$3:$C$24,1,FALSE)),IF(ISERROR(VLOOKUP(A44,'END-AAA'!$C$6:$C$33,1,FALSE)),IF(ISERROR(VLOOKUP(A44,'DB-AA'!$C$6:$C$33,1,FALSE)),IF(ISERROR(VLOOKUP(A44,'UTR-A'!$C$6:$C$33,1,FALSE)),IF(ISERROR(VLOOKUP(A44,'FAI-S A'!$C$6:$C$33,1,FALSE)),"","S A"),"A"),"AA"),"AAA"),"ML")</f>
        <v/>
      </c>
      <c r="C44" s="241"/>
      <c r="D44" s="242" t="str">
        <f>IF(BL44=1,3,IF(BM44=1,4,IF(BJ44=1,1,IF(BN44=1,5,IF(BK44=1,2,IF(BO44=1,6,IF(BP44=1,7,IF(BQ44=1,8,IF(BR44=1,9,"-")))))))))</f>
        <v>-</v>
      </c>
      <c r="E44" s="242" t="str">
        <f>IF(BC44=1,3,IF(BD44=1,4,IF(BA44=1,1,IF(BE44=1,5,IF(BB44=1,2,IF(BF44=1,6,IF(BG44=1,7,IF(BH44=1,8,IF(BI44=1,9,"-")))))))))</f>
        <v>-</v>
      </c>
      <c r="F44" s="242" t="str">
        <f>IF(OR(OR(Q44="Very High",Q44="High"),AND(OR(Q44="Very High",Q44="High",Q44="Normal"),OR(R44="Very High",R44="High"))),"K","T")</f>
        <v>T</v>
      </c>
      <c r="G44" s="242" t="s">
        <v>74</v>
      </c>
      <c r="H44" s="242" t="s">
        <v>423</v>
      </c>
      <c r="I44" s="242" t="s">
        <v>817</v>
      </c>
      <c r="J44" s="242" t="s">
        <v>783</v>
      </c>
      <c r="K44" s="242" t="s">
        <v>185</v>
      </c>
      <c r="L44" s="242">
        <v>25</v>
      </c>
      <c r="M44" s="242" t="s">
        <v>82</v>
      </c>
      <c r="N44" s="242" t="s">
        <v>83</v>
      </c>
      <c r="O44" s="242" t="s">
        <v>773</v>
      </c>
      <c r="P44" s="243" t="s">
        <v>773</v>
      </c>
      <c r="Q44" s="242" t="s">
        <v>200</v>
      </c>
      <c r="R44" s="243" t="s">
        <v>200</v>
      </c>
      <c r="S44" s="242">
        <v>4</v>
      </c>
      <c r="T44" s="242">
        <v>5</v>
      </c>
      <c r="U44" s="242">
        <v>3</v>
      </c>
      <c r="V44" s="242">
        <v>7</v>
      </c>
      <c r="W44" s="243">
        <v>6</v>
      </c>
      <c r="X44" s="242">
        <v>4</v>
      </c>
      <c r="Y44" s="242">
        <v>5</v>
      </c>
      <c r="Z44" s="242">
        <v>3</v>
      </c>
      <c r="AA44" s="242">
        <v>7</v>
      </c>
      <c r="AB44" s="243">
        <v>6</v>
      </c>
      <c r="AC44" s="242">
        <v>6</v>
      </c>
      <c r="AD44" s="242">
        <v>4</v>
      </c>
      <c r="AE44" s="242">
        <v>1</v>
      </c>
      <c r="AF44" s="242" t="s">
        <v>32</v>
      </c>
      <c r="AG44" s="242" t="s">
        <v>32</v>
      </c>
      <c r="AH44" s="242" t="s">
        <v>32</v>
      </c>
      <c r="AI44" s="242">
        <v>6</v>
      </c>
      <c r="AJ44" s="242" t="s">
        <v>32</v>
      </c>
      <c r="AK44" s="242">
        <v>1</v>
      </c>
      <c r="AL44" s="242" t="s">
        <v>32</v>
      </c>
      <c r="AM44" s="242" t="s">
        <v>32</v>
      </c>
      <c r="AN44" s="243">
        <v>1</v>
      </c>
      <c r="AO44" s="242">
        <v>8</v>
      </c>
      <c r="AP44" s="242">
        <v>9</v>
      </c>
      <c r="AQ44" s="243">
        <v>10</v>
      </c>
      <c r="AR44" s="244" t="s">
        <v>32</v>
      </c>
      <c r="AS44" s="243">
        <v>0</v>
      </c>
      <c r="AT44" s="248" t="s">
        <v>779</v>
      </c>
      <c r="AU44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3.666666666666667</v>
      </c>
      <c r="AV44" s="246" t="str">
        <f>IF(AU44&gt;9,"SuperStar",IF(AU44&gt;8,"Star",IF(AU44&gt;6.5,"GoodReg",IF(AU44&gt;5,"Reg",IF(AU44&gt;4,"Bench","Minors")))))</f>
        <v>Minors</v>
      </c>
      <c r="AW44" s="245">
        <f>AVERAGE(X44,Z44,AA44)+IF(OR(X44&gt;7,AND(X44&gt;5,AA44&gt;5)),0.5,0)+IF(Z44&gt;7,0.25,0)+IF(X44&lt;6,-0.5*(6-X44),0)</f>
        <v>3.666666666666667</v>
      </c>
      <c r="AX44" s="245" t="str">
        <f>IF(AW44&gt;9,"SuperStar",IF(AW44&gt;8,"Star",IF(AW44&gt;6.5,"GoodReg",IF(AW44&gt;5,"Reg",IF(AW44&gt;4,"Bench","Minors")))))</f>
        <v>Minors</v>
      </c>
      <c r="AY44" s="246">
        <f>MIN(AU44+(MAX(0,25-L44))^1.5,AW44)</f>
        <v>3.666666666666667</v>
      </c>
      <c r="AZ44" s="246" t="str">
        <f>IF(AY44&gt;9,"SuperStar",IF(AY44&gt;8,"Star",IF(AY44&gt;6.5,"GoodReg",IF(AY44&gt;5,"Reg",IF(AY44&gt;4,"Bench","Minors")))))</f>
        <v>Minors</v>
      </c>
      <c r="BA44" s="247">
        <f>IF(AND(OR(S44+V44&gt;12,AND(S44&gt;6,V44&gt;6)),AO44&gt;6,OR(AP44&gt;=AO44,AP44&gt;6)),1,0)</f>
        <v>0</v>
      </c>
      <c r="BB44" s="248">
        <f>IF(OR(AND(S44&gt;6,W44&gt;6),S44+V44&gt;12),1,0)</f>
        <v>0</v>
      </c>
      <c r="BC44" s="248">
        <f>IF(AND(S44&gt;6,U44&gt;6,V44&gt;6),1,0)</f>
        <v>0</v>
      </c>
      <c r="BD44" s="248">
        <f>IF(AND(U44&gt;7,OR(S44&gt;6,V44&gt;6)),1,0)</f>
        <v>0</v>
      </c>
      <c r="BE44" s="248">
        <f>IF(AND(U44&gt;6,OR(S44&gt;6,V44&gt;6)),1,0)</f>
        <v>0</v>
      </c>
      <c r="BF44" s="248">
        <f>IF(AND(OR(S44&gt;6,U44&gt;6),OR(S44&gt;6,V44&gt;6)),1,0)</f>
        <v>0</v>
      </c>
      <c r="BG44" s="248">
        <f>IF(AND(S44&gt;4,OR(S44&gt;6,U44&gt;6,V44&gt;6)),1,0)</f>
        <v>0</v>
      </c>
      <c r="BH44" s="248">
        <f>IF(AND(S44&gt;4,OR(S44&gt;6,T44&gt;6,U44&gt;6,V44&gt;6)),1,0)</f>
        <v>0</v>
      </c>
      <c r="BI44" s="243">
        <f>IF(AND(S44&gt;4,MAX(S44:W44)&gt;6),1,0)</f>
        <v>0</v>
      </c>
      <c r="BJ44" s="247">
        <f>IF(AND(OR(X44+AA44&gt;12,AND(X44&gt;6,AA44&gt;6)),AO44&gt;6,OR(AP44&gt;=AO44,AP44&gt;6)),1,0)</f>
        <v>0</v>
      </c>
      <c r="BK44" s="248">
        <f>IF(OR(AND(X44&gt;6,AB44&gt;6),X44+AA44&gt;12),1,0)</f>
        <v>0</v>
      </c>
      <c r="BL44" s="248">
        <f>IF(AND(X44&gt;6,Z44&gt;6,AA44&gt;6),1,0)</f>
        <v>0</v>
      </c>
      <c r="BM44" s="248">
        <f>IF(AND(Z44&gt;7,OR(X44&gt;6,AA44&gt;6)),1,0)</f>
        <v>0</v>
      </c>
      <c r="BN44" s="248">
        <f>IF(AND(Z44&gt;6,OR(X44&gt;6,AA44&gt;6)),1,0)</f>
        <v>0</v>
      </c>
      <c r="BO44" s="248">
        <f>IF(AND(OR(X44&gt;6,Z44&gt;6),OR(X44&gt;6,AA44&gt;6)),1,0)</f>
        <v>0</v>
      </c>
      <c r="BP44" s="248">
        <f>IF(AND(X44&gt;4,OR(X44&gt;6,Z44&gt;6,AA44&gt;6)),1,0)</f>
        <v>0</v>
      </c>
      <c r="BQ44" s="248">
        <f>IF(AND(X44&gt;4,OR(X44&gt;6,Y44&gt;6,Z44&gt;6,AA44&gt;6)),1,0)</f>
        <v>0</v>
      </c>
      <c r="BR44" s="243">
        <f>IF(AND(X44&gt;4,MAX(X44:AB44)&gt;6),1,0)</f>
        <v>0</v>
      </c>
      <c r="BS44" s="243">
        <f>IF(AVERAGE(AO44:AP44)&gt;9,1,0)+IF(AVERAGE(AO44:AP44)&gt;7,1,0)+IF(AO44&gt;7,1,0)+IF(AP44&gt;7,1,0)+IF(AQ44&gt;8,1,0)+IF(AQ44&gt;6,1,0)</f>
        <v>5</v>
      </c>
      <c r="BT44" s="249">
        <f>IF(OR(MAX(AG44,AH44,AL44,AN44)&gt;6,MAX(AI44,AJ44,AK44,AM44)&gt;7),2,IF(MAX(AG44:AN44)&gt;4,1,0))</f>
        <v>1</v>
      </c>
      <c r="BU44" s="242" t="str">
        <f>IF(AS44=1,"Yes","")</f>
        <v/>
      </c>
      <c r="BV44" s="241" t="str">
        <f>IF($B44="ML","There",IF(AND($X44&gt;=6,AVERAGE($Z44:$AA44)&gt;=6),"Likely",IF(OR($X44&gt;6,AND($X44=6,AVERAGE($Z44:$AA44)&gt;=3),AND($X44&gt;=5,AVERAGE($Z44:$AA44)&gt;=5),AVERAGE($X44,$Z44:$AA44)&gt;5),"Possible","Unlikely")))</f>
        <v>Unlikely</v>
      </c>
      <c r="BW44" s="242" t="str">
        <f>IF(OR(AND(S44&gt;=6,U44+V44&gt;=12),S44&gt;7),"Start",IF(AND(S44&gt;=5,U44+V44&gt;=8),"Bench","aack!"))</f>
        <v>aack!</v>
      </c>
      <c r="BX44" s="242" t="str">
        <f>IF(OR(AND(X44&gt;=6,Z44+AA44&gt;=12),X44&gt;7),"Start",IF(AND(X44&gt;=5,Z44+AA44&gt;=8),"Bench","aack!"))</f>
        <v>aack!</v>
      </c>
      <c r="BY44" s="242" t="str">
        <f>IF(S44&gt;5,"ML",IF(S44=5,"AAA",IF(S44=4,"AA",IF(S44=3,"A","SS-A"))))</f>
        <v>AA</v>
      </c>
      <c r="BZ44" s="242">
        <f>S44-X44</f>
        <v>0</v>
      </c>
      <c r="CA44" s="242">
        <f>T44-Y44</f>
        <v>0</v>
      </c>
      <c r="CB44" s="242">
        <f>U44-Z44</f>
        <v>0</v>
      </c>
      <c r="CC44" s="242">
        <f>V44-AA44</f>
        <v>0</v>
      </c>
      <c r="CD44" s="242">
        <f>W44-AB44</f>
        <v>0</v>
      </c>
      <c r="CE44" s="242">
        <f>SUM(BZ44:CD44)</f>
        <v>0</v>
      </c>
      <c r="CF44" s="242">
        <f>X44+Z44+AA44</f>
        <v>14</v>
      </c>
      <c r="CG44" s="242">
        <f>X44+Z44</f>
        <v>7</v>
      </c>
      <c r="CH44" s="242">
        <f>X44+AA44</f>
        <v>11</v>
      </c>
      <c r="CI44" s="242" t="str">
        <f>IF(L44&gt;24,"Now - Age",IF(S44&gt;6,"Now",IF(X44&lt;6,"With Dev",MIN(X44-S44,7-S44))))</f>
        <v>Now - Age</v>
      </c>
      <c r="CJ44" s="257" t="str">
        <f>IF(AG44&lt;&gt;"-","X","")</f>
        <v/>
      </c>
      <c r="CK44" s="257" t="str">
        <f>IF(AND(AH44&lt;&gt;"-",AH44&gt;5),"X","")</f>
        <v/>
      </c>
      <c r="CL44" s="257" t="str">
        <f>IF(AND(AI44&lt;&gt;"-",AI44&gt;5),"X","")</f>
        <v>X</v>
      </c>
      <c r="CM44" s="257" t="str">
        <f>IF(AND(AJ44&lt;&gt;"-",AJ44&gt;4,AC44&gt;6),"X","")</f>
        <v/>
      </c>
      <c r="CN44" s="257" t="str">
        <f>IF(AND(AK44&lt;&gt;"-",AK44&gt;5,AC44&gt;5),"X","")</f>
        <v/>
      </c>
      <c r="CO44" s="257" t="str">
        <f>IF(AND(AL44&lt;&gt;"-",AL44&gt;3),"X","")</f>
        <v/>
      </c>
      <c r="CP44" s="257" t="str">
        <f>IF(AND(AM44&lt;&gt;"-",AM44&gt;6),"X","")</f>
        <v/>
      </c>
      <c r="CQ44" s="257" t="str">
        <f>IF(AND(AN44&lt;&gt;"-",AN44&gt;5,AD44&gt;6),"X","")</f>
        <v/>
      </c>
      <c r="CR44" s="257" t="str">
        <f>IF(COUNTBLANK(CJ44:CQ44)=8,"X","")</f>
        <v/>
      </c>
    </row>
    <row r="45" spans="1:96" s="306" customFormat="1" x14ac:dyDescent="0.25">
      <c r="A45" s="240" t="str">
        <f>H45&amp;" "&amp;I45</f>
        <v>Nathaniel Vanrenen</v>
      </c>
      <c r="B45" s="240" t="str">
        <f>IF(ISERROR(VLOOKUP(A45,AMA!$C$3:$C$24,1,FALSE)),IF(ISERROR(VLOOKUP(A45,'END-AAA'!$C$6:$C$33,1,FALSE)),IF(ISERROR(VLOOKUP(A45,'DB-AA'!$C$6:$C$33,1,FALSE)),IF(ISERROR(VLOOKUP(A45,'UTR-A'!$C$6:$C$33,1,FALSE)),IF(ISERROR(VLOOKUP(A45,'FAI-S A'!$C$6:$C$33,1,FALSE)),"","S A"),"A"),"AA"),"AAA"),"ML")</f>
        <v>ML</v>
      </c>
      <c r="C45" s="241"/>
      <c r="D45" s="242" t="str">
        <f>IF(BL45=1,3,IF(BM45=1,4,IF(BJ45=1,1,IF(BN45=1,5,IF(BK45=1,2,IF(BO45=1,6,IF(BP45=1,7,IF(BQ45=1,8,IF(BR45=1,9,"-")))))))))</f>
        <v>-</v>
      </c>
      <c r="E45" s="242" t="str">
        <f>IF(BC45=1,3,IF(BD45=1,4,IF(BA45=1,1,IF(BE45=1,5,IF(BB45=1,2,IF(BF45=1,6,IF(BG45=1,7,IF(BH45=1,8,IF(BI45=1,9,"-")))))))))</f>
        <v>-</v>
      </c>
      <c r="F45" s="242" t="str">
        <f>IF(OR(OR(Q45="Very High",Q45="High"),AND(OR(Q45="Very High",Q45="High",Q45="Normal"),OR(R45="Very High",R45="High"))),"K","T")</f>
        <v>T</v>
      </c>
      <c r="G45" s="242" t="s">
        <v>78</v>
      </c>
      <c r="H45" s="242" t="s">
        <v>826</v>
      </c>
      <c r="I45" s="242" t="s">
        <v>827</v>
      </c>
      <c r="J45" s="242" t="s">
        <v>763</v>
      </c>
      <c r="K45" s="242" t="s">
        <v>402</v>
      </c>
      <c r="L45" s="242">
        <v>26</v>
      </c>
      <c r="M45" s="242" t="s">
        <v>85</v>
      </c>
      <c r="N45" s="242" t="s">
        <v>83</v>
      </c>
      <c r="O45" s="242" t="s">
        <v>764</v>
      </c>
      <c r="P45" s="243" t="s">
        <v>764</v>
      </c>
      <c r="Q45" s="242" t="s">
        <v>200</v>
      </c>
      <c r="R45" s="243" t="s">
        <v>200</v>
      </c>
      <c r="S45" s="242">
        <v>4</v>
      </c>
      <c r="T45" s="242">
        <v>5</v>
      </c>
      <c r="U45" s="242">
        <v>4</v>
      </c>
      <c r="V45" s="242">
        <v>6</v>
      </c>
      <c r="W45" s="243">
        <v>2</v>
      </c>
      <c r="X45" s="242">
        <v>4</v>
      </c>
      <c r="Y45" s="242">
        <v>5</v>
      </c>
      <c r="Z45" s="242">
        <v>4</v>
      </c>
      <c r="AA45" s="242">
        <v>6</v>
      </c>
      <c r="AB45" s="243">
        <v>3</v>
      </c>
      <c r="AC45" s="242">
        <v>7</v>
      </c>
      <c r="AD45" s="242">
        <v>10</v>
      </c>
      <c r="AE45" s="242">
        <v>1</v>
      </c>
      <c r="AF45" s="242" t="s">
        <v>32</v>
      </c>
      <c r="AG45" s="242" t="s">
        <v>32</v>
      </c>
      <c r="AH45" s="242" t="s">
        <v>32</v>
      </c>
      <c r="AI45" s="242" t="s">
        <v>32</v>
      </c>
      <c r="AJ45" s="242" t="s">
        <v>32</v>
      </c>
      <c r="AK45" s="242" t="s">
        <v>32</v>
      </c>
      <c r="AL45" s="242" t="s">
        <v>32</v>
      </c>
      <c r="AM45" s="242">
        <v>9</v>
      </c>
      <c r="AN45" s="243" t="s">
        <v>32</v>
      </c>
      <c r="AO45" s="242">
        <v>10</v>
      </c>
      <c r="AP45" s="242">
        <v>10</v>
      </c>
      <c r="AQ45" s="243">
        <v>10</v>
      </c>
      <c r="AR45" s="244">
        <v>560000</v>
      </c>
      <c r="AS45" s="243" t="s">
        <v>33</v>
      </c>
      <c r="AT45" s="248" t="s">
        <v>779</v>
      </c>
      <c r="AU45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3.666666666666667</v>
      </c>
      <c r="AV45" s="246" t="str">
        <f>IF(AU45&gt;9,"SuperStar",IF(AU45&gt;8,"Star",IF(AU45&gt;6.5,"GoodReg",IF(AU45&gt;5,"Reg",IF(AU45&gt;4,"Bench","Minors")))))</f>
        <v>Minors</v>
      </c>
      <c r="AW45" s="245">
        <f>AVERAGE(X45,Z45,AA45)+IF(OR(X45&gt;7,AND(X45&gt;5,AA45&gt;5)),0.5,0)+IF(Z45&gt;7,0.25,0)+IF(X45&lt;6,-0.5*(6-X45),0)</f>
        <v>3.666666666666667</v>
      </c>
      <c r="AX45" s="245" t="str">
        <f>IF(AW45&gt;9,"SuperStar",IF(AW45&gt;8,"Star",IF(AW45&gt;6.5,"GoodReg",IF(AW45&gt;5,"Reg",IF(AW45&gt;4,"Bench","Minors")))))</f>
        <v>Minors</v>
      </c>
      <c r="AY45" s="246">
        <f>MIN(AU45+(MAX(0,25-L45))^1.5,AW45)</f>
        <v>3.666666666666667</v>
      </c>
      <c r="AZ45" s="246" t="str">
        <f>IF(AY45&gt;9,"SuperStar",IF(AY45&gt;8,"Star",IF(AY45&gt;6.5,"GoodReg",IF(AY45&gt;5,"Reg",IF(AY45&gt;4,"Bench","Minors")))))</f>
        <v>Minors</v>
      </c>
      <c r="BA45" s="247">
        <f>IF(AND(OR(S45+V45&gt;12,AND(S45&gt;6,V45&gt;6)),AO45&gt;6,OR(AP45&gt;=AO45,AP45&gt;6)),1,0)</f>
        <v>0</v>
      </c>
      <c r="BB45" s="248">
        <f>IF(OR(AND(S45&gt;6,W45&gt;6),S45+V45&gt;12),1,0)</f>
        <v>0</v>
      </c>
      <c r="BC45" s="248">
        <f>IF(AND(S45&gt;6,U45&gt;6,V45&gt;6),1,0)</f>
        <v>0</v>
      </c>
      <c r="BD45" s="248">
        <f>IF(AND(U45&gt;7,OR(S45&gt;6,V45&gt;6)),1,0)</f>
        <v>0</v>
      </c>
      <c r="BE45" s="248">
        <f>IF(AND(U45&gt;6,OR(S45&gt;6,V45&gt;6)),1,0)</f>
        <v>0</v>
      </c>
      <c r="BF45" s="248">
        <f>IF(AND(OR(S45&gt;6,U45&gt;6),OR(S45&gt;6,V45&gt;6)),1,0)</f>
        <v>0</v>
      </c>
      <c r="BG45" s="248">
        <f>IF(AND(S45&gt;4,OR(S45&gt;6,U45&gt;6,V45&gt;6)),1,0)</f>
        <v>0</v>
      </c>
      <c r="BH45" s="248">
        <f>IF(AND(S45&gt;4,OR(S45&gt;6,T45&gt;6,U45&gt;6,V45&gt;6)),1,0)</f>
        <v>0</v>
      </c>
      <c r="BI45" s="243">
        <f>IF(AND(S45&gt;4,MAX(S45:W45)&gt;6),1,0)</f>
        <v>0</v>
      </c>
      <c r="BJ45" s="247">
        <f>IF(AND(OR(X45+AA45&gt;12,AND(X45&gt;6,AA45&gt;6)),AO45&gt;6,OR(AP45&gt;=AO45,AP45&gt;6)),1,0)</f>
        <v>0</v>
      </c>
      <c r="BK45" s="248">
        <f>IF(OR(AND(X45&gt;6,AB45&gt;6),X45+AA45&gt;12),1,0)</f>
        <v>0</v>
      </c>
      <c r="BL45" s="248">
        <f>IF(AND(X45&gt;6,Z45&gt;6,AA45&gt;6),1,0)</f>
        <v>0</v>
      </c>
      <c r="BM45" s="248">
        <f>IF(AND(Z45&gt;7,OR(X45&gt;6,AA45&gt;6)),1,0)</f>
        <v>0</v>
      </c>
      <c r="BN45" s="248">
        <f>IF(AND(Z45&gt;6,OR(X45&gt;6,AA45&gt;6)),1,0)</f>
        <v>0</v>
      </c>
      <c r="BO45" s="248">
        <f>IF(AND(OR(X45&gt;6,Z45&gt;6),OR(X45&gt;6,AA45&gt;6)),1,0)</f>
        <v>0</v>
      </c>
      <c r="BP45" s="248">
        <f>IF(AND(X45&gt;4,OR(X45&gt;6,Z45&gt;6,AA45&gt;6)),1,0)</f>
        <v>0</v>
      </c>
      <c r="BQ45" s="248">
        <f>IF(AND(X45&gt;4,OR(X45&gt;6,Y45&gt;6,Z45&gt;6,AA45&gt;6)),1,0)</f>
        <v>0</v>
      </c>
      <c r="BR45" s="243">
        <f>IF(AND(X45&gt;4,MAX(X45:AB45)&gt;6),1,0)</f>
        <v>0</v>
      </c>
      <c r="BS45" s="243">
        <f>IF(AVERAGE(AO45:AP45)&gt;9,1,0)+IF(AVERAGE(AO45:AP45)&gt;7,1,0)+IF(AO45&gt;7,1,0)+IF(AP45&gt;7,1,0)+IF(AQ45&gt;8,1,0)+IF(AQ45&gt;6,1,0)</f>
        <v>6</v>
      </c>
      <c r="BT45" s="249">
        <f>IF(OR(MAX(AG45,AH45,AL45,AN45)&gt;6,MAX(AI45,AJ45,AK45,AM45)&gt;7),2,IF(MAX(AG45:AN45)&gt;4,1,0))</f>
        <v>2</v>
      </c>
      <c r="BU45" s="242" t="str">
        <f>IF(AS45=1,"Yes","")</f>
        <v/>
      </c>
      <c r="BV45" s="241" t="str">
        <f>IF($B45="ML","There",IF(AND($X45&gt;=6,AVERAGE($Z45:$AA45)&gt;=6),"Likely",IF(OR($X45&gt;6,AND($X45=6,AVERAGE($Z45:$AA45)&gt;=3),AND($X45&gt;=5,AVERAGE($Z45:$AA45)&gt;=5),AVERAGE($X45,$Z45:$AA45)&gt;5),"Possible","Unlikely")))</f>
        <v>There</v>
      </c>
      <c r="BW45" s="242" t="str">
        <f>IF(OR(AND(S45&gt;=6,U45+V45&gt;=12),S45&gt;7),"Start",IF(AND(S45&gt;=5,U45+V45&gt;=8),"Bench","aack!"))</f>
        <v>aack!</v>
      </c>
      <c r="BX45" s="242" t="str">
        <f>IF(OR(AND(X45&gt;=6,Z45+AA45&gt;=12),X45&gt;7),"Start",IF(AND(X45&gt;=5,Z45+AA45&gt;=8),"Bench","aack!"))</f>
        <v>aack!</v>
      </c>
      <c r="BY45" s="242" t="str">
        <f>IF(S45&gt;5,"ML",IF(S45=5,"AAA",IF(S45=4,"AA",IF(S45=3,"A","SS-A"))))</f>
        <v>AA</v>
      </c>
      <c r="BZ45" s="242">
        <f>S45-X45</f>
        <v>0</v>
      </c>
      <c r="CA45" s="242">
        <f>T45-Y45</f>
        <v>0</v>
      </c>
      <c r="CB45" s="242">
        <f>U45-Z45</f>
        <v>0</v>
      </c>
      <c r="CC45" s="242">
        <f>V45-AA45</f>
        <v>0</v>
      </c>
      <c r="CD45" s="242">
        <f>W45-AB45</f>
        <v>-1</v>
      </c>
      <c r="CE45" s="242">
        <f>SUM(BZ45:CD45)</f>
        <v>-1</v>
      </c>
      <c r="CF45" s="242">
        <f>X45+Z45+AA45</f>
        <v>14</v>
      </c>
      <c r="CG45" s="242">
        <f>X45+Z45</f>
        <v>8</v>
      </c>
      <c r="CH45" s="242">
        <f>X45+AA45</f>
        <v>10</v>
      </c>
      <c r="CI45" s="242" t="str">
        <f>IF(L45&gt;24,"Now - Age",IF(S45&gt;6,"Now",IF(X45&lt;6,"With Dev",MIN(X45-S45,7-S45))))</f>
        <v>Now - Age</v>
      </c>
      <c r="CJ45" s="257" t="str">
        <f>IF(AG45&lt;&gt;"-","X","")</f>
        <v/>
      </c>
      <c r="CK45" s="257" t="str">
        <f>IF(AND(AH45&lt;&gt;"-",AH45&gt;5),"X","")</f>
        <v/>
      </c>
      <c r="CL45" s="257" t="str">
        <f>IF(AND(AI45&lt;&gt;"-",AI45&gt;5),"X","")</f>
        <v/>
      </c>
      <c r="CM45" s="257" t="str">
        <f>IF(AND(AJ45&lt;&gt;"-",AJ45&gt;4,AC45&gt;6),"X","")</f>
        <v/>
      </c>
      <c r="CN45" s="257" t="str">
        <f>IF(AND(AK45&lt;&gt;"-",AK45&gt;5,AC45&gt;5),"X","")</f>
        <v/>
      </c>
      <c r="CO45" s="257" t="str">
        <f>IF(AND(AL45&lt;&gt;"-",AL45&gt;3),"X","")</f>
        <v/>
      </c>
      <c r="CP45" s="257" t="str">
        <f>IF(AND(AM45&lt;&gt;"-",AM45&gt;6),"X","")</f>
        <v>X</v>
      </c>
      <c r="CQ45" s="257" t="str">
        <f>IF(AND(AN45&lt;&gt;"-",AN45&gt;5,AD45&gt;6),"X","")</f>
        <v/>
      </c>
      <c r="CR45" s="257" t="str">
        <f>IF(COUNTBLANK(CJ45:CQ45)=8,"X","")</f>
        <v/>
      </c>
    </row>
    <row r="46" spans="1:96" s="306" customFormat="1" x14ac:dyDescent="0.25">
      <c r="A46" s="240" t="str">
        <f>H46&amp;" "&amp;I46</f>
        <v>Chae-ho Chang</v>
      </c>
      <c r="B46" s="240" t="str">
        <f>IF(ISERROR(VLOOKUP(A46,AMA!$C$3:$C$24,1,FALSE)),IF(ISERROR(VLOOKUP(A46,'END-AAA'!$C$6:$C$33,1,FALSE)),IF(ISERROR(VLOOKUP(A46,'DB-AA'!$C$6:$C$33,1,FALSE)),IF(ISERROR(VLOOKUP(A46,'UTR-A'!$C$6:$C$33,1,FALSE)),IF(ISERROR(VLOOKUP(A46,'FAI-S A'!$C$6:$C$33,1,FALSE)),"","S A"),"A"),"AA"),"AAA"),"ML")</f>
        <v/>
      </c>
      <c r="C46" s="241"/>
      <c r="D46" s="242" t="str">
        <f>IF(BL46=1,3,IF(BM46=1,4,IF(BJ46=1,1,IF(BN46=1,5,IF(BK46=1,2,IF(BO46=1,6,IF(BP46=1,7,IF(BQ46=1,8,IF(BR46=1,9,"-")))))))))</f>
        <v>-</v>
      </c>
      <c r="E46" s="242" t="str">
        <f>IF(BC46=1,3,IF(BD46=1,4,IF(BA46=1,1,IF(BE46=1,5,IF(BB46=1,2,IF(BF46=1,6,IF(BG46=1,7,IF(BH46=1,8,IF(BI46=1,9,"-")))))))))</f>
        <v>-</v>
      </c>
      <c r="F46" s="242" t="str">
        <f>IF(OR(OR(Q46="Very High",Q46="High"),AND(OR(Q46="Very High",Q46="High",Q46="Normal"),OR(R46="Very High",R46="High"))),"K","T")</f>
        <v>K</v>
      </c>
      <c r="G46" s="242" t="s">
        <v>79</v>
      </c>
      <c r="H46" s="242" t="s">
        <v>841</v>
      </c>
      <c r="I46" s="242" t="s">
        <v>842</v>
      </c>
      <c r="J46" s="242" t="s">
        <v>769</v>
      </c>
      <c r="K46" s="242" t="s">
        <v>186</v>
      </c>
      <c r="L46" s="242">
        <v>24</v>
      </c>
      <c r="M46" s="242" t="s">
        <v>82</v>
      </c>
      <c r="N46" s="242" t="s">
        <v>83</v>
      </c>
      <c r="O46" s="242" t="s">
        <v>773</v>
      </c>
      <c r="P46" s="243" t="s">
        <v>773</v>
      </c>
      <c r="Q46" s="242" t="s">
        <v>199</v>
      </c>
      <c r="R46" s="243" t="s">
        <v>200</v>
      </c>
      <c r="S46" s="242">
        <v>4</v>
      </c>
      <c r="T46" s="242">
        <v>4</v>
      </c>
      <c r="U46" s="242">
        <v>4</v>
      </c>
      <c r="V46" s="242">
        <v>6</v>
      </c>
      <c r="W46" s="243">
        <v>3</v>
      </c>
      <c r="X46" s="242">
        <v>4</v>
      </c>
      <c r="Y46" s="242">
        <v>4</v>
      </c>
      <c r="Z46" s="242">
        <v>4</v>
      </c>
      <c r="AA46" s="242">
        <v>6</v>
      </c>
      <c r="AB46" s="243">
        <v>4</v>
      </c>
      <c r="AC46" s="242">
        <v>4</v>
      </c>
      <c r="AD46" s="242">
        <v>7</v>
      </c>
      <c r="AE46" s="242">
        <v>1</v>
      </c>
      <c r="AF46" s="242" t="s">
        <v>32</v>
      </c>
      <c r="AG46" s="242" t="s">
        <v>32</v>
      </c>
      <c r="AH46" s="242" t="s">
        <v>32</v>
      </c>
      <c r="AI46" s="242" t="s">
        <v>32</v>
      </c>
      <c r="AJ46" s="242" t="s">
        <v>32</v>
      </c>
      <c r="AK46" s="242" t="s">
        <v>32</v>
      </c>
      <c r="AL46" s="242">
        <v>2</v>
      </c>
      <c r="AM46" s="242" t="s">
        <v>32</v>
      </c>
      <c r="AN46" s="243">
        <v>8</v>
      </c>
      <c r="AO46" s="242">
        <v>6</v>
      </c>
      <c r="AP46" s="242">
        <v>7</v>
      </c>
      <c r="AQ46" s="243">
        <v>10</v>
      </c>
      <c r="AR46" s="244" t="s">
        <v>32</v>
      </c>
      <c r="AS46" s="243" t="s">
        <v>33</v>
      </c>
      <c r="AT46" s="248" t="s">
        <v>779</v>
      </c>
      <c r="AU46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3.666666666666667</v>
      </c>
      <c r="AV46" s="246" t="str">
        <f>IF(AU46&gt;9,"SuperStar",IF(AU46&gt;8,"Star",IF(AU46&gt;6.5,"GoodReg",IF(AU46&gt;5,"Reg",IF(AU46&gt;4,"Bench","Minors")))))</f>
        <v>Minors</v>
      </c>
      <c r="AW46" s="245">
        <f>AVERAGE(X46,Z46,AA46)+IF(OR(X46&gt;7,AND(X46&gt;5,AA46&gt;5)),0.5,0)+IF(Z46&gt;7,0.25,0)+IF(X46&lt;6,-0.5*(6-X46),0)</f>
        <v>3.666666666666667</v>
      </c>
      <c r="AX46" s="245" t="str">
        <f>IF(AW46&gt;9,"SuperStar",IF(AW46&gt;8,"Star",IF(AW46&gt;6.5,"GoodReg",IF(AW46&gt;5,"Reg",IF(AW46&gt;4,"Bench","Minors")))))</f>
        <v>Minors</v>
      </c>
      <c r="AY46" s="246">
        <f>MIN(AU46+(MAX(0,25-L46))^1.5,AW46)</f>
        <v>3.666666666666667</v>
      </c>
      <c r="AZ46" s="246" t="str">
        <f>IF(AY46&gt;9,"SuperStar",IF(AY46&gt;8,"Star",IF(AY46&gt;6.5,"GoodReg",IF(AY46&gt;5,"Reg",IF(AY46&gt;4,"Bench","Minors")))))</f>
        <v>Minors</v>
      </c>
      <c r="BA46" s="247">
        <f>IF(AND(OR(S46+V46&gt;12,AND(S46&gt;6,V46&gt;6)),AO46&gt;6,OR(AP46&gt;=AO46,AP46&gt;6)),1,0)</f>
        <v>0</v>
      </c>
      <c r="BB46" s="248">
        <f>IF(OR(AND(S46&gt;6,W46&gt;6),S46+V46&gt;12),1,0)</f>
        <v>0</v>
      </c>
      <c r="BC46" s="248">
        <f>IF(AND(S46&gt;6,U46&gt;6,V46&gt;6),1,0)</f>
        <v>0</v>
      </c>
      <c r="BD46" s="248">
        <f>IF(AND(U46&gt;7,OR(S46&gt;6,V46&gt;6)),1,0)</f>
        <v>0</v>
      </c>
      <c r="BE46" s="248">
        <f>IF(AND(U46&gt;6,OR(S46&gt;6,V46&gt;6)),1,0)</f>
        <v>0</v>
      </c>
      <c r="BF46" s="248">
        <f>IF(AND(OR(S46&gt;6,U46&gt;6),OR(S46&gt;6,V46&gt;6)),1,0)</f>
        <v>0</v>
      </c>
      <c r="BG46" s="248">
        <f>IF(AND(S46&gt;4,OR(S46&gt;6,U46&gt;6,V46&gt;6)),1,0)</f>
        <v>0</v>
      </c>
      <c r="BH46" s="248">
        <f>IF(AND(S46&gt;4,OR(S46&gt;6,T46&gt;6,U46&gt;6,V46&gt;6)),1,0)</f>
        <v>0</v>
      </c>
      <c r="BI46" s="243">
        <f>IF(AND(S46&gt;4,MAX(S46:W46)&gt;6),1,0)</f>
        <v>0</v>
      </c>
      <c r="BJ46" s="247">
        <f>IF(AND(OR(X46+AA46&gt;12,AND(X46&gt;6,AA46&gt;6)),AO46&gt;6,OR(AP46&gt;=AO46,AP46&gt;6)),1,0)</f>
        <v>0</v>
      </c>
      <c r="BK46" s="248">
        <f>IF(OR(AND(X46&gt;6,AB46&gt;6),X46+AA46&gt;12),1,0)</f>
        <v>0</v>
      </c>
      <c r="BL46" s="248">
        <f>IF(AND(X46&gt;6,Z46&gt;6,AA46&gt;6),1,0)</f>
        <v>0</v>
      </c>
      <c r="BM46" s="248">
        <f>IF(AND(Z46&gt;7,OR(X46&gt;6,AA46&gt;6)),1,0)</f>
        <v>0</v>
      </c>
      <c r="BN46" s="248">
        <f>IF(AND(Z46&gt;6,OR(X46&gt;6,AA46&gt;6)),1,0)</f>
        <v>0</v>
      </c>
      <c r="BO46" s="248">
        <f>IF(AND(OR(X46&gt;6,Z46&gt;6),OR(X46&gt;6,AA46&gt;6)),1,0)</f>
        <v>0</v>
      </c>
      <c r="BP46" s="248">
        <f>IF(AND(X46&gt;4,OR(X46&gt;6,Z46&gt;6,AA46&gt;6)),1,0)</f>
        <v>0</v>
      </c>
      <c r="BQ46" s="248">
        <f>IF(AND(X46&gt;4,OR(X46&gt;6,Y46&gt;6,Z46&gt;6,AA46&gt;6)),1,0)</f>
        <v>0</v>
      </c>
      <c r="BR46" s="243">
        <f>IF(AND(X46&gt;4,MAX(X46:AB46)&gt;6),1,0)</f>
        <v>0</v>
      </c>
      <c r="BS46" s="243">
        <f>IF(AVERAGE(AO46:AP46)&gt;9,1,0)+IF(AVERAGE(AO46:AP46)&gt;7,1,0)+IF(AO46&gt;7,1,0)+IF(AP46&gt;7,1,0)+IF(AQ46&gt;8,1,0)+IF(AQ46&gt;6,1,0)</f>
        <v>2</v>
      </c>
      <c r="BT46" s="249">
        <f>IF(OR(MAX(AG46,AH46,AL46,AN46)&gt;6,MAX(AI46,AJ46,AK46,AM46)&gt;7),2,IF(MAX(AG46:AN46)&gt;4,1,0))</f>
        <v>2</v>
      </c>
      <c r="BU46" s="242" t="str">
        <f>IF(AS46=1,"Yes","")</f>
        <v/>
      </c>
      <c r="BV46" s="241" t="str">
        <f>IF($B46="ML","There",IF(AND($X46&gt;=6,AVERAGE($Z46:$AA46)&gt;=6),"Likely",IF(OR($X46&gt;6,AND($X46=6,AVERAGE($Z46:$AA46)&gt;=3),AND($X46&gt;=5,AVERAGE($Z46:$AA46)&gt;=5),AVERAGE($X46,$Z46:$AA46)&gt;5),"Possible","Unlikely")))</f>
        <v>Unlikely</v>
      </c>
      <c r="BW46" s="242" t="str">
        <f>IF(OR(AND(S46&gt;=6,U46+V46&gt;=12),S46&gt;7),"Start",IF(AND(S46&gt;=5,U46+V46&gt;=8),"Bench","aack!"))</f>
        <v>aack!</v>
      </c>
      <c r="BX46" s="242" t="str">
        <f>IF(OR(AND(X46&gt;=6,Z46+AA46&gt;=12),X46&gt;7),"Start",IF(AND(X46&gt;=5,Z46+AA46&gt;=8),"Bench","aack!"))</f>
        <v>aack!</v>
      </c>
      <c r="BY46" s="242" t="str">
        <f>IF(S46&gt;5,"ML",IF(S46=5,"AAA",IF(S46=4,"AA",IF(S46=3,"A","SS-A"))))</f>
        <v>AA</v>
      </c>
      <c r="BZ46" s="242">
        <f>S46-X46</f>
        <v>0</v>
      </c>
      <c r="CA46" s="242">
        <f>T46-Y46</f>
        <v>0</v>
      </c>
      <c r="CB46" s="242">
        <f>U46-Z46</f>
        <v>0</v>
      </c>
      <c r="CC46" s="242">
        <f>V46-AA46</f>
        <v>0</v>
      </c>
      <c r="CD46" s="242">
        <f>W46-AB46</f>
        <v>-1</v>
      </c>
      <c r="CE46" s="242">
        <f>SUM(BZ46:CD46)</f>
        <v>-1</v>
      </c>
      <c r="CF46" s="242">
        <f>X46+Z46+AA46</f>
        <v>14</v>
      </c>
      <c r="CG46" s="242">
        <f>X46+Z46</f>
        <v>8</v>
      </c>
      <c r="CH46" s="242">
        <f>X46+AA46</f>
        <v>10</v>
      </c>
      <c r="CI46" s="242" t="str">
        <f>IF(L46&gt;24,"Now - Age",IF(S46&gt;6,"Now",IF(X46&lt;6,"With Dev",MIN(X46-S46,7-S46))))</f>
        <v>With Dev</v>
      </c>
      <c r="CJ46" s="257" t="str">
        <f>IF(AG46&lt;&gt;"-","X","")</f>
        <v/>
      </c>
      <c r="CK46" s="257" t="str">
        <f>IF(AND(AH46&lt;&gt;"-",AH46&gt;5),"X","")</f>
        <v/>
      </c>
      <c r="CL46" s="257" t="str">
        <f>IF(AND(AI46&lt;&gt;"-",AI46&gt;5),"X","")</f>
        <v/>
      </c>
      <c r="CM46" s="257" t="str">
        <f>IF(AND(AJ46&lt;&gt;"-",AJ46&gt;4,AC46&gt;6),"X","")</f>
        <v/>
      </c>
      <c r="CN46" s="257" t="str">
        <f>IF(AND(AK46&lt;&gt;"-",AK46&gt;5,AC46&gt;5),"X","")</f>
        <v/>
      </c>
      <c r="CO46" s="257" t="str">
        <f>IF(AND(AL46&lt;&gt;"-",AL46&gt;3),"X","")</f>
        <v/>
      </c>
      <c r="CP46" s="257" t="str">
        <f>IF(AND(AM46&lt;&gt;"-",AM46&gt;6),"X","")</f>
        <v/>
      </c>
      <c r="CQ46" s="257" t="str">
        <f>IF(AND(AN46&lt;&gt;"-",AN46&gt;5,AD46&gt;6),"X","")</f>
        <v>X</v>
      </c>
      <c r="CR46" s="257" t="str">
        <f>IF(COUNTBLANK(CJ46:CQ46)=8,"X","")</f>
        <v/>
      </c>
    </row>
    <row r="47" spans="1:96" s="306" customFormat="1" x14ac:dyDescent="0.25">
      <c r="A47" s="240" t="str">
        <f>H47&amp;" "&amp;I47</f>
        <v>Lonnie Paradise</v>
      </c>
      <c r="B47" s="240" t="str">
        <f>IF(ISERROR(VLOOKUP(A47,AMA!$C$3:$C$24,1,FALSE)),IF(ISERROR(VLOOKUP(A47,'END-AAA'!$C$6:$C$33,1,FALSE)),IF(ISERROR(VLOOKUP(A47,'DB-AA'!$C$6:$C$33,1,FALSE)),IF(ISERROR(VLOOKUP(A47,'UTR-A'!$C$6:$C$33,1,FALSE)),IF(ISERROR(VLOOKUP(A47,'FAI-S A'!$C$6:$C$33,1,FALSE)),"","S A"),"A"),"AA"),"AAA"),"ML")</f>
        <v>ML</v>
      </c>
      <c r="C47" s="241"/>
      <c r="D47" s="242" t="str">
        <f>IF(BL47=1,3,IF(BM47=1,4,IF(BJ47=1,1,IF(BN47=1,5,IF(BK47=1,2,IF(BO47=1,6,IF(BP47=1,7,IF(BQ47=1,8,IF(BR47=1,9,"-")))))))))</f>
        <v>-</v>
      </c>
      <c r="E47" s="242" t="str">
        <f>IF(BC47=1,3,IF(BD47=1,4,IF(BA47=1,1,IF(BE47=1,5,IF(BB47=1,2,IF(BF47=1,6,IF(BG47=1,7,IF(BH47=1,8,IF(BI47=1,9,"-")))))))))</f>
        <v>-</v>
      </c>
      <c r="F47" s="242" t="str">
        <f>IF(OR(OR(Q47="Very High",Q47="High"),AND(OR(Q47="Very High",Q47="High",Q47="Normal"),OR(R47="Very High",R47="High"))),"K","T")</f>
        <v>T</v>
      </c>
      <c r="G47" s="242" t="s">
        <v>71</v>
      </c>
      <c r="H47" s="242" t="s">
        <v>788</v>
      </c>
      <c r="I47" s="242" t="s">
        <v>789</v>
      </c>
      <c r="J47" s="242" t="s">
        <v>763</v>
      </c>
      <c r="K47" s="242" t="s">
        <v>402</v>
      </c>
      <c r="L47" s="242">
        <v>32</v>
      </c>
      <c r="M47" s="242" t="s">
        <v>83</v>
      </c>
      <c r="N47" s="242" t="s">
        <v>83</v>
      </c>
      <c r="O47" s="242" t="s">
        <v>773</v>
      </c>
      <c r="P47" s="243" t="s">
        <v>773</v>
      </c>
      <c r="Q47" s="242" t="s">
        <v>200</v>
      </c>
      <c r="R47" s="243" t="s">
        <v>200</v>
      </c>
      <c r="S47" s="242">
        <v>4</v>
      </c>
      <c r="T47" s="242">
        <v>2</v>
      </c>
      <c r="U47" s="242">
        <v>5</v>
      </c>
      <c r="V47" s="242">
        <v>5</v>
      </c>
      <c r="W47" s="243">
        <v>3</v>
      </c>
      <c r="X47" s="242">
        <v>4</v>
      </c>
      <c r="Y47" s="242">
        <v>2</v>
      </c>
      <c r="Z47" s="242">
        <v>5</v>
      </c>
      <c r="AA47" s="242">
        <v>5</v>
      </c>
      <c r="AB47" s="243">
        <v>3</v>
      </c>
      <c r="AC47" s="242">
        <v>5</v>
      </c>
      <c r="AD47" s="242">
        <v>4</v>
      </c>
      <c r="AE47" s="242">
        <v>8</v>
      </c>
      <c r="AF47" s="242">
        <v>7</v>
      </c>
      <c r="AG47" s="242">
        <v>7</v>
      </c>
      <c r="AH47" s="242" t="s">
        <v>32</v>
      </c>
      <c r="AI47" s="242" t="s">
        <v>32</v>
      </c>
      <c r="AJ47" s="242" t="s">
        <v>32</v>
      </c>
      <c r="AK47" s="242" t="s">
        <v>32</v>
      </c>
      <c r="AL47" s="242" t="s">
        <v>32</v>
      </c>
      <c r="AM47" s="242" t="s">
        <v>32</v>
      </c>
      <c r="AN47" s="243" t="s">
        <v>32</v>
      </c>
      <c r="AO47" s="242">
        <v>1</v>
      </c>
      <c r="AP47" s="242">
        <v>1</v>
      </c>
      <c r="AQ47" s="243">
        <v>1</v>
      </c>
      <c r="AR47" s="244">
        <v>560000</v>
      </c>
      <c r="AS47" s="243" t="s">
        <v>33</v>
      </c>
      <c r="AT47" s="248" t="s">
        <v>779</v>
      </c>
      <c r="AU47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3.666666666666667</v>
      </c>
      <c r="AV47" s="246" t="str">
        <f>IF(AU47&gt;9,"SuperStar",IF(AU47&gt;8,"Star",IF(AU47&gt;6.5,"GoodReg",IF(AU47&gt;5,"Reg",IF(AU47&gt;4,"Bench","Minors")))))</f>
        <v>Minors</v>
      </c>
      <c r="AW47" s="245">
        <f>AVERAGE(X47,Z47,AA47)+IF(OR(X47&gt;7,AND(X47&gt;5,AA47&gt;5)),0.5,0)+IF(Z47&gt;7,0.25,0)+IF(X47&lt;6,-0.5*(6-X47),0)</f>
        <v>3.666666666666667</v>
      </c>
      <c r="AX47" s="245" t="str">
        <f>IF(AW47&gt;9,"SuperStar",IF(AW47&gt;8,"Star",IF(AW47&gt;6.5,"GoodReg",IF(AW47&gt;5,"Reg",IF(AW47&gt;4,"Bench","Minors")))))</f>
        <v>Minors</v>
      </c>
      <c r="AY47" s="246">
        <f>MIN(AU47+(MAX(0,25-L47))^1.5,AW47)</f>
        <v>3.666666666666667</v>
      </c>
      <c r="AZ47" s="246" t="str">
        <f>IF(AY47&gt;9,"SuperStar",IF(AY47&gt;8,"Star",IF(AY47&gt;6.5,"GoodReg",IF(AY47&gt;5,"Reg",IF(AY47&gt;4,"Bench","Minors")))))</f>
        <v>Minors</v>
      </c>
      <c r="BA47" s="247">
        <f>IF(AND(OR(S47+V47&gt;12,AND(S47&gt;6,V47&gt;6)),AO47&gt;6,OR(AP47&gt;=AO47,AP47&gt;6)),1,0)</f>
        <v>0</v>
      </c>
      <c r="BB47" s="248">
        <f>IF(OR(AND(S47&gt;6,W47&gt;6),S47+V47&gt;12),1,0)</f>
        <v>0</v>
      </c>
      <c r="BC47" s="248">
        <f>IF(AND(S47&gt;6,U47&gt;6,V47&gt;6),1,0)</f>
        <v>0</v>
      </c>
      <c r="BD47" s="248">
        <f>IF(AND(U47&gt;7,OR(S47&gt;6,V47&gt;6)),1,0)</f>
        <v>0</v>
      </c>
      <c r="BE47" s="248">
        <f>IF(AND(U47&gt;6,OR(S47&gt;6,V47&gt;6)),1,0)</f>
        <v>0</v>
      </c>
      <c r="BF47" s="248">
        <f>IF(AND(OR(S47&gt;6,U47&gt;6),OR(S47&gt;6,V47&gt;6)),1,0)</f>
        <v>0</v>
      </c>
      <c r="BG47" s="248">
        <f>IF(AND(S47&gt;4,OR(S47&gt;6,U47&gt;6,V47&gt;6)),1,0)</f>
        <v>0</v>
      </c>
      <c r="BH47" s="248">
        <f>IF(AND(S47&gt;4,OR(S47&gt;6,T47&gt;6,U47&gt;6,V47&gt;6)),1,0)</f>
        <v>0</v>
      </c>
      <c r="BI47" s="243">
        <f>IF(AND(S47&gt;4,MAX(S47:W47)&gt;6),1,0)</f>
        <v>0</v>
      </c>
      <c r="BJ47" s="247">
        <f>IF(AND(OR(X47+AA47&gt;12,AND(X47&gt;6,AA47&gt;6)),AO47&gt;6,OR(AP47&gt;=AO47,AP47&gt;6)),1,0)</f>
        <v>0</v>
      </c>
      <c r="BK47" s="248">
        <f>IF(OR(AND(X47&gt;6,AB47&gt;6),X47+AA47&gt;12),1,0)</f>
        <v>0</v>
      </c>
      <c r="BL47" s="248">
        <f>IF(AND(X47&gt;6,Z47&gt;6,AA47&gt;6),1,0)</f>
        <v>0</v>
      </c>
      <c r="BM47" s="248">
        <f>IF(AND(Z47&gt;7,OR(X47&gt;6,AA47&gt;6)),1,0)</f>
        <v>0</v>
      </c>
      <c r="BN47" s="248">
        <f>IF(AND(Z47&gt;6,OR(X47&gt;6,AA47&gt;6)),1,0)</f>
        <v>0</v>
      </c>
      <c r="BO47" s="248">
        <f>IF(AND(OR(X47&gt;6,Z47&gt;6),OR(X47&gt;6,AA47&gt;6)),1,0)</f>
        <v>0</v>
      </c>
      <c r="BP47" s="248">
        <f>IF(AND(X47&gt;4,OR(X47&gt;6,Z47&gt;6,AA47&gt;6)),1,0)</f>
        <v>0</v>
      </c>
      <c r="BQ47" s="248">
        <f>IF(AND(X47&gt;4,OR(X47&gt;6,Y47&gt;6,Z47&gt;6,AA47&gt;6)),1,0)</f>
        <v>0</v>
      </c>
      <c r="BR47" s="243">
        <f>IF(AND(X47&gt;4,MAX(X47:AB47)&gt;6),1,0)</f>
        <v>0</v>
      </c>
      <c r="BS47" s="243">
        <f>IF(AVERAGE(AO47:AP47)&gt;9,1,0)+IF(AVERAGE(AO47:AP47)&gt;7,1,0)+IF(AO47&gt;7,1,0)+IF(AP47&gt;7,1,0)+IF(AQ47&gt;8,1,0)+IF(AQ47&gt;6,1,0)</f>
        <v>0</v>
      </c>
      <c r="BT47" s="249">
        <f>IF(OR(MAX(AG47,AH47,AL47,AN47)&gt;6,MAX(AI47,AJ47,AK47,AM47)&gt;7),2,IF(MAX(AG47:AN47)&gt;4,1,0))</f>
        <v>2</v>
      </c>
      <c r="BU47" s="242" t="str">
        <f>IF(AS47=1,"Yes","")</f>
        <v/>
      </c>
      <c r="BV47" s="241" t="str">
        <f>IF($B47="ML","There",IF(AND($X47&gt;=6,AVERAGE($Z47:$AA47)&gt;=6),"Likely",IF(OR($X47&gt;6,AND($X47=6,AVERAGE($Z47:$AA47)&gt;=3),AND($X47&gt;=5,AVERAGE($Z47:$AA47)&gt;=5),AVERAGE($X47,$Z47:$AA47)&gt;5),"Possible","Unlikely")))</f>
        <v>There</v>
      </c>
      <c r="BW47" s="242" t="str">
        <f>IF(OR(AND(S47&gt;=6,U47+V47&gt;=12),S47&gt;7),"Start",IF(AND(S47&gt;=5,U47+V47&gt;=8),"Bench","aack!"))</f>
        <v>aack!</v>
      </c>
      <c r="BX47" s="242" t="str">
        <f>IF(OR(AND(X47&gt;=6,Z47+AA47&gt;=12),X47&gt;7),"Start",IF(AND(X47&gt;=5,Z47+AA47&gt;=8),"Bench","aack!"))</f>
        <v>aack!</v>
      </c>
      <c r="BY47" s="242" t="str">
        <f>IF(S47&gt;5,"ML",IF(S47=5,"AAA",IF(S47=4,"AA",IF(S47=3,"A","SS-A"))))</f>
        <v>AA</v>
      </c>
      <c r="BZ47" s="242">
        <f>S47-X47</f>
        <v>0</v>
      </c>
      <c r="CA47" s="242">
        <f>T47-Y47</f>
        <v>0</v>
      </c>
      <c r="CB47" s="242">
        <f>U47-Z47</f>
        <v>0</v>
      </c>
      <c r="CC47" s="242">
        <f>V47-AA47</f>
        <v>0</v>
      </c>
      <c r="CD47" s="242">
        <f>W47-AB47</f>
        <v>0</v>
      </c>
      <c r="CE47" s="242">
        <f>SUM(BZ47:CD47)</f>
        <v>0</v>
      </c>
      <c r="CF47" s="242">
        <f>X47+Z47+AA47</f>
        <v>14</v>
      </c>
      <c r="CG47" s="242">
        <f>X47+Z47</f>
        <v>9</v>
      </c>
      <c r="CH47" s="242">
        <f>X47+AA47</f>
        <v>9</v>
      </c>
      <c r="CI47" s="242" t="str">
        <f>IF(L47&gt;24,"Now - Age",IF(S47&gt;6,"Now",IF(X47&lt;6,"With Dev",MIN(X47-S47,7-S47))))</f>
        <v>Now - Age</v>
      </c>
      <c r="CJ47" s="257" t="str">
        <f>IF(AG47&lt;&gt;"-","X","")</f>
        <v>X</v>
      </c>
      <c r="CK47" s="257" t="str">
        <f>IF(AND(AH47&lt;&gt;"-",AH47&gt;5),"X","")</f>
        <v/>
      </c>
      <c r="CL47" s="257" t="str">
        <f>IF(AND(AI47&lt;&gt;"-",AI47&gt;5),"X","")</f>
        <v/>
      </c>
      <c r="CM47" s="257" t="str">
        <f>IF(AND(AJ47&lt;&gt;"-",AJ47&gt;4,AC47&gt;6),"X","")</f>
        <v/>
      </c>
      <c r="CN47" s="257" t="str">
        <f>IF(AND(AK47&lt;&gt;"-",AK47&gt;5,AC47&gt;5),"X","")</f>
        <v/>
      </c>
      <c r="CO47" s="257" t="str">
        <f>IF(AND(AL47&lt;&gt;"-",AL47&gt;3),"X","")</f>
        <v/>
      </c>
      <c r="CP47" s="257" t="str">
        <f>IF(AND(AM47&lt;&gt;"-",AM47&gt;6),"X","")</f>
        <v/>
      </c>
      <c r="CQ47" s="257" t="str">
        <f>IF(AND(AN47&lt;&gt;"-",AN47&gt;5,AD47&gt;6),"X","")</f>
        <v/>
      </c>
      <c r="CR47" s="257" t="str">
        <f>IF(COUNTBLANK(CJ47:CQ47)=8,"X","")</f>
        <v/>
      </c>
    </row>
    <row r="48" spans="1:96" s="306" customFormat="1" x14ac:dyDescent="0.25">
      <c r="A48" s="240" t="str">
        <f>H48&amp;" "&amp;I48</f>
        <v>MICHAEL BARBER</v>
      </c>
      <c r="B48" s="240" t="str">
        <f>IF(ISERROR(VLOOKUP(A48,AMA!$C$3:$C$24,1,FALSE)),IF(ISERROR(VLOOKUP(A48,'END-AAA'!$C$6:$C$33,1,FALSE)),IF(ISERROR(VLOOKUP(A48,'DB-AA'!$C$6:$C$33,1,FALSE)),IF(ISERROR(VLOOKUP(A48,'UTR-A'!$C$6:$C$33,1,FALSE)),IF(ISERROR(VLOOKUP(A48,'FAI-S A'!$C$6:$C$33,1,FALSE)),"","S A"),"A"),"AA"),"AAA"),"ML")</f>
        <v/>
      </c>
      <c r="C48" s="241"/>
      <c r="D48" s="242" t="str">
        <f>IF(BL48=1,3,IF(BM48=1,4,IF(BJ48=1,1,IF(BN48=1,5,IF(BK48=1,2,IF(BO48=1,6,IF(BP48=1,7,IF(BQ48=1,8,IF(BR48=1,9,"-")))))))))</f>
        <v>-</v>
      </c>
      <c r="E48" s="242" t="str">
        <f>IF(BC48=1,3,IF(BD48=1,4,IF(BA48=1,1,IF(BE48=1,5,IF(BB48=1,2,IF(BF48=1,6,IF(BG48=1,7,IF(BH48=1,8,IF(BI48=1,9,"-")))))))))</f>
        <v>-</v>
      </c>
      <c r="F48" s="242" t="str">
        <f>IF(OR(OR(Q48="Very High",Q48="High"),AND(OR(Q48="Very High",Q48="High",Q48="Normal"),OR(R48="Very High",R48="High"))),"K","T")</f>
        <v>T</v>
      </c>
      <c r="G48" s="242" t="s">
        <v>77</v>
      </c>
      <c r="H48" s="242" t="s">
        <v>1275</v>
      </c>
      <c r="I48" s="242" t="s">
        <v>1276</v>
      </c>
      <c r="J48" s="242" t="s">
        <v>814</v>
      </c>
      <c r="K48" s="242" t="s">
        <v>187</v>
      </c>
      <c r="L48" s="242">
        <v>20</v>
      </c>
      <c r="M48" s="242" t="s">
        <v>82</v>
      </c>
      <c r="N48" s="242" t="s">
        <v>83</v>
      </c>
      <c r="O48" s="242" t="s">
        <v>773</v>
      </c>
      <c r="P48" s="243" t="s">
        <v>764</v>
      </c>
      <c r="Q48" s="242" t="s">
        <v>200</v>
      </c>
      <c r="R48" s="243" t="s">
        <v>200</v>
      </c>
      <c r="S48" s="242">
        <v>5</v>
      </c>
      <c r="T48" s="242">
        <v>6</v>
      </c>
      <c r="U48" s="242">
        <v>3</v>
      </c>
      <c r="V48" s="242">
        <v>4</v>
      </c>
      <c r="W48" s="243">
        <v>4</v>
      </c>
      <c r="X48" s="242">
        <v>5</v>
      </c>
      <c r="Y48" s="242">
        <v>6</v>
      </c>
      <c r="Z48" s="242">
        <v>4</v>
      </c>
      <c r="AA48" s="242">
        <v>4</v>
      </c>
      <c r="AB48" s="243">
        <v>5</v>
      </c>
      <c r="AC48" s="242">
        <v>8</v>
      </c>
      <c r="AD48" s="242">
        <v>10</v>
      </c>
      <c r="AE48" s="242">
        <v>1</v>
      </c>
      <c r="AF48" s="242" t="s">
        <v>32</v>
      </c>
      <c r="AG48" s="242" t="s">
        <v>32</v>
      </c>
      <c r="AH48" s="242" t="s">
        <v>32</v>
      </c>
      <c r="AI48" s="242" t="s">
        <v>32</v>
      </c>
      <c r="AJ48" s="242" t="s">
        <v>32</v>
      </c>
      <c r="AK48" s="242" t="s">
        <v>32</v>
      </c>
      <c r="AL48" s="242">
        <v>9</v>
      </c>
      <c r="AM48" s="242">
        <v>3</v>
      </c>
      <c r="AN48" s="243">
        <v>8</v>
      </c>
      <c r="AO48" s="242">
        <v>9</v>
      </c>
      <c r="AP48" s="242">
        <v>9</v>
      </c>
      <c r="AQ48" s="243">
        <v>9</v>
      </c>
      <c r="AR48" s="244" t="s">
        <v>32</v>
      </c>
      <c r="AS48" s="243" t="s">
        <v>33</v>
      </c>
      <c r="AT48" s="248" t="s">
        <v>201</v>
      </c>
      <c r="AU48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3.5</v>
      </c>
      <c r="AV48" s="246" t="str">
        <f>IF(AU48&gt;9,"SuperStar",IF(AU48&gt;8,"Star",IF(AU48&gt;6.5,"GoodReg",IF(AU48&gt;5,"Reg",IF(AU48&gt;4,"Bench","Minors")))))</f>
        <v>Minors</v>
      </c>
      <c r="AW48" s="245">
        <f>AVERAGE(X48,Z48,AA48)+IF(OR(X48&gt;7,AND(X48&gt;5,AA48&gt;5)),0.5,0)+IF(Z48&gt;7,0.25,0)+IF(X48&lt;6,-0.5*(6-X48),0)</f>
        <v>3.833333333333333</v>
      </c>
      <c r="AX48" s="245" t="str">
        <f>IF(AW48&gt;9,"SuperStar",IF(AW48&gt;8,"Star",IF(AW48&gt;6.5,"GoodReg",IF(AW48&gt;5,"Reg",IF(AW48&gt;4,"Bench","Minors")))))</f>
        <v>Minors</v>
      </c>
      <c r="AY48" s="246">
        <f>MIN(AU48+(MAX(0,25-L48))^1.5,AW48)</f>
        <v>3.833333333333333</v>
      </c>
      <c r="AZ48" s="246" t="str">
        <f>IF(AY48&gt;9,"SuperStar",IF(AY48&gt;8,"Star",IF(AY48&gt;6.5,"GoodReg",IF(AY48&gt;5,"Reg",IF(AY48&gt;4,"Bench","Minors")))))</f>
        <v>Minors</v>
      </c>
      <c r="BA48" s="247">
        <f>IF(AND(OR(S48+V48&gt;12,AND(S48&gt;6,V48&gt;6)),AO48&gt;6,OR(AP48&gt;=AO48,AP48&gt;6)),1,0)</f>
        <v>0</v>
      </c>
      <c r="BB48" s="248">
        <f>IF(OR(AND(S48&gt;6,W48&gt;6),S48+V48&gt;12),1,0)</f>
        <v>0</v>
      </c>
      <c r="BC48" s="248">
        <f>IF(AND(S48&gt;6,U48&gt;6,V48&gt;6),1,0)</f>
        <v>0</v>
      </c>
      <c r="BD48" s="248">
        <f>IF(AND(U48&gt;7,OR(S48&gt;6,V48&gt;6)),1,0)</f>
        <v>0</v>
      </c>
      <c r="BE48" s="248">
        <f>IF(AND(U48&gt;6,OR(S48&gt;6,V48&gt;6)),1,0)</f>
        <v>0</v>
      </c>
      <c r="BF48" s="248">
        <f>IF(AND(OR(S48&gt;6,U48&gt;6),OR(S48&gt;6,V48&gt;6)),1,0)</f>
        <v>0</v>
      </c>
      <c r="BG48" s="248">
        <f>IF(AND(S48&gt;4,OR(S48&gt;6,U48&gt;6,V48&gt;6)),1,0)</f>
        <v>0</v>
      </c>
      <c r="BH48" s="248">
        <f>IF(AND(S48&gt;4,OR(S48&gt;6,T48&gt;6,U48&gt;6,V48&gt;6)),1,0)</f>
        <v>0</v>
      </c>
      <c r="BI48" s="243">
        <f>IF(AND(S48&gt;4,MAX(S48:W48)&gt;6),1,0)</f>
        <v>0</v>
      </c>
      <c r="BJ48" s="247">
        <f>IF(AND(OR(X48+AA48&gt;12,AND(X48&gt;6,AA48&gt;6)),AO48&gt;6,OR(AP48&gt;=AO48,AP48&gt;6)),1,0)</f>
        <v>0</v>
      </c>
      <c r="BK48" s="248">
        <f>IF(OR(AND(X48&gt;6,AB48&gt;6),X48+AA48&gt;12),1,0)</f>
        <v>0</v>
      </c>
      <c r="BL48" s="248">
        <f>IF(AND(X48&gt;6,Z48&gt;6,AA48&gt;6),1,0)</f>
        <v>0</v>
      </c>
      <c r="BM48" s="248">
        <f>IF(AND(Z48&gt;7,OR(X48&gt;6,AA48&gt;6)),1,0)</f>
        <v>0</v>
      </c>
      <c r="BN48" s="248">
        <f>IF(AND(Z48&gt;6,OR(X48&gt;6,AA48&gt;6)),1,0)</f>
        <v>0</v>
      </c>
      <c r="BO48" s="248">
        <f>IF(AND(OR(X48&gt;6,Z48&gt;6),OR(X48&gt;6,AA48&gt;6)),1,0)</f>
        <v>0</v>
      </c>
      <c r="BP48" s="248">
        <f>IF(AND(X48&gt;4,OR(X48&gt;6,Z48&gt;6,AA48&gt;6)),1,0)</f>
        <v>0</v>
      </c>
      <c r="BQ48" s="248">
        <f>IF(AND(X48&gt;4,OR(X48&gt;6,Y48&gt;6,Z48&gt;6,AA48&gt;6)),1,0)</f>
        <v>0</v>
      </c>
      <c r="BR48" s="243">
        <f>IF(AND(X48&gt;4,MAX(X48:AB48)&gt;6),1,0)</f>
        <v>0</v>
      </c>
      <c r="BS48" s="243">
        <f>IF(AVERAGE(AO48:AP48)&gt;9,1,0)+IF(AVERAGE(AO48:AP48)&gt;7,1,0)+IF(AO48&gt;7,1,0)+IF(AP48&gt;7,1,0)+IF(AQ48&gt;8,1,0)+IF(AQ48&gt;6,1,0)</f>
        <v>5</v>
      </c>
      <c r="BT48" s="249">
        <f>IF(OR(MAX(AG48,AH48,AL48,AN48)&gt;6,MAX(AI48,AJ48,AK48,AM48)&gt;7),2,IF(MAX(AG48:AN48)&gt;4,1,0))</f>
        <v>2</v>
      </c>
      <c r="BU48" s="242" t="str">
        <f>IF(AS48=1,"Yes","")</f>
        <v/>
      </c>
      <c r="BV48" s="241" t="str">
        <f>IF($B48="ML","There",IF(AND($X48&gt;=6,AVERAGE($Z48:$AA48)&gt;=6),"Likely",IF(OR($X48&gt;6,AND($X48=6,AVERAGE($Z48:$AA48)&gt;=3),AND($X48&gt;=5,AVERAGE($Z48:$AA48)&gt;=5),AVERAGE($X48,$Z48:$AA48)&gt;5),"Possible","Unlikely")))</f>
        <v>Unlikely</v>
      </c>
      <c r="BW48" s="242" t="str">
        <f>IF(OR(AND(S48&gt;=6,U48+V48&gt;=12),S48&gt;7),"Start",IF(AND(S48&gt;=5,U48+V48&gt;=8),"Bench","aack!"))</f>
        <v>aack!</v>
      </c>
      <c r="BX48" s="242" t="str">
        <f>IF(OR(AND(X48&gt;=6,Z48+AA48&gt;=12),X48&gt;7),"Start",IF(AND(X48&gt;=5,Z48+AA48&gt;=8),"Bench","aack!"))</f>
        <v>Bench</v>
      </c>
      <c r="BY48" s="242" t="str">
        <f>IF(S48&gt;5,"ML",IF(S48=5,"AAA",IF(S48=4,"AA",IF(S48=3,"A","SS-A"))))</f>
        <v>AAA</v>
      </c>
      <c r="BZ48" s="242">
        <f>S48-X48</f>
        <v>0</v>
      </c>
      <c r="CA48" s="242">
        <f>T48-Y48</f>
        <v>0</v>
      </c>
      <c r="CB48" s="242">
        <f>U48-Z48</f>
        <v>-1</v>
      </c>
      <c r="CC48" s="242">
        <f>V48-AA48</f>
        <v>0</v>
      </c>
      <c r="CD48" s="242">
        <f>W48-AB48</f>
        <v>-1</v>
      </c>
      <c r="CE48" s="242">
        <f>SUM(BZ48:CD48)</f>
        <v>-2</v>
      </c>
      <c r="CF48" s="242">
        <f>X48+Z48+AA48</f>
        <v>13</v>
      </c>
      <c r="CG48" s="242">
        <f>X48+Z48</f>
        <v>9</v>
      </c>
      <c r="CH48" s="242">
        <f>X48+AA48</f>
        <v>9</v>
      </c>
      <c r="CI48" s="242" t="str">
        <f>IF(L48&gt;24,"Now - Age",IF(S48&gt;6,"Now",IF(X48&lt;6,"With Dev",MIN(X48-S48,7-S48))))</f>
        <v>With Dev</v>
      </c>
      <c r="CJ48" s="257" t="str">
        <f>IF(AG48&lt;&gt;"-","X","")</f>
        <v/>
      </c>
      <c r="CK48" s="257" t="str">
        <f>IF(AND(AH48&lt;&gt;"-",AH48&gt;5),"X","")</f>
        <v/>
      </c>
      <c r="CL48" s="257" t="str">
        <f>IF(AND(AI48&lt;&gt;"-",AI48&gt;5),"X","")</f>
        <v/>
      </c>
      <c r="CM48" s="257" t="str">
        <f>IF(AND(AJ48&lt;&gt;"-",AJ48&gt;4,AC48&gt;6),"X","")</f>
        <v/>
      </c>
      <c r="CN48" s="257" t="str">
        <f>IF(AND(AK48&lt;&gt;"-",AK48&gt;5,AC48&gt;5),"X","")</f>
        <v/>
      </c>
      <c r="CO48" s="257" t="str">
        <f>IF(AND(AL48&lt;&gt;"-",AL48&gt;3),"X","")</f>
        <v>X</v>
      </c>
      <c r="CP48" s="257" t="str">
        <f>IF(AND(AM48&lt;&gt;"-",AM48&gt;6),"X","")</f>
        <v/>
      </c>
      <c r="CQ48" s="257" t="str">
        <f>IF(AND(AN48&lt;&gt;"-",AN48&gt;5,AD48&gt;6),"X","")</f>
        <v>X</v>
      </c>
      <c r="CR48" s="257" t="str">
        <f>IF(COUNTBLANK(CJ48:CQ48)=8,"X","")</f>
        <v/>
      </c>
    </row>
    <row r="49" spans="1:96" s="306" customFormat="1" x14ac:dyDescent="0.25">
      <c r="A49" s="240" t="str">
        <f>H49&amp;" "&amp;I49</f>
        <v>Jim Evans</v>
      </c>
      <c r="B49" s="240" t="str">
        <f>IF(ISERROR(VLOOKUP(A49,AMA!$C$3:$C$24,1,FALSE)),IF(ISERROR(VLOOKUP(A49,'END-AAA'!$C$6:$C$33,1,FALSE)),IF(ISERROR(VLOOKUP(A49,'DB-AA'!$C$6:$C$33,1,FALSE)),IF(ISERROR(VLOOKUP(A49,'UTR-A'!$C$6:$C$33,1,FALSE)),IF(ISERROR(VLOOKUP(A49,'FAI-S A'!$C$6:$C$33,1,FALSE)),"","S A"),"A"),"AA"),"AAA"),"ML")</f>
        <v/>
      </c>
      <c r="C49" s="241"/>
      <c r="D49" s="242" t="str">
        <f>IF(BL49=1,3,IF(BM49=1,4,IF(BJ49=1,1,IF(BN49=1,5,IF(BK49=1,2,IF(BO49=1,6,IF(BP49=1,7,IF(BQ49=1,8,IF(BR49=1,9,"-")))))))))</f>
        <v>-</v>
      </c>
      <c r="E49" s="242" t="str">
        <f>IF(BC49=1,3,IF(BD49=1,4,IF(BA49=1,1,IF(BE49=1,5,IF(BB49=1,2,IF(BF49=1,6,IF(BG49=1,7,IF(BH49=1,8,IF(BI49=1,9,"-")))))))))</f>
        <v>-</v>
      </c>
      <c r="F49" s="242" t="str">
        <f>IF(OR(OR(Q49="Very High",Q49="High"),AND(OR(Q49="Very High",Q49="High",Q49="Normal"),OR(R49="Very High",R49="High"))),"K","T")</f>
        <v>T</v>
      </c>
      <c r="G49" s="242" t="s">
        <v>74</v>
      </c>
      <c r="H49" s="242" t="s">
        <v>492</v>
      </c>
      <c r="I49" s="242" t="s">
        <v>811</v>
      </c>
      <c r="J49" s="242" t="s">
        <v>814</v>
      </c>
      <c r="K49" s="242" t="s">
        <v>187</v>
      </c>
      <c r="L49" s="242">
        <v>23</v>
      </c>
      <c r="M49" s="242" t="s">
        <v>83</v>
      </c>
      <c r="N49" s="242" t="s">
        <v>83</v>
      </c>
      <c r="O49" s="242" t="s">
        <v>808</v>
      </c>
      <c r="P49" s="243" t="s">
        <v>773</v>
      </c>
      <c r="Q49" s="242" t="s">
        <v>201</v>
      </c>
      <c r="R49" s="243" t="s">
        <v>200</v>
      </c>
      <c r="S49" s="242">
        <v>5</v>
      </c>
      <c r="T49" s="242">
        <v>5</v>
      </c>
      <c r="U49" s="242">
        <v>2</v>
      </c>
      <c r="V49" s="242">
        <v>5</v>
      </c>
      <c r="W49" s="243">
        <v>6</v>
      </c>
      <c r="X49" s="242">
        <v>5</v>
      </c>
      <c r="Y49" s="242">
        <v>5</v>
      </c>
      <c r="Z49" s="242">
        <v>2</v>
      </c>
      <c r="AA49" s="242">
        <v>6</v>
      </c>
      <c r="AB49" s="243">
        <v>6</v>
      </c>
      <c r="AC49" s="242">
        <v>7</v>
      </c>
      <c r="AD49" s="242">
        <v>9</v>
      </c>
      <c r="AE49" s="242">
        <v>1</v>
      </c>
      <c r="AF49" s="242" t="s">
        <v>32</v>
      </c>
      <c r="AG49" s="242" t="s">
        <v>32</v>
      </c>
      <c r="AH49" s="242">
        <v>5</v>
      </c>
      <c r="AI49" s="242">
        <v>4</v>
      </c>
      <c r="AJ49" s="242" t="s">
        <v>32</v>
      </c>
      <c r="AK49" s="242" t="s">
        <v>32</v>
      </c>
      <c r="AL49" s="242" t="s">
        <v>32</v>
      </c>
      <c r="AM49" s="242">
        <v>2</v>
      </c>
      <c r="AN49" s="243" t="s">
        <v>32</v>
      </c>
      <c r="AO49" s="242">
        <v>4</v>
      </c>
      <c r="AP49" s="242">
        <v>2</v>
      </c>
      <c r="AQ49" s="243">
        <v>1</v>
      </c>
      <c r="AR49" s="244" t="s">
        <v>32</v>
      </c>
      <c r="AS49" s="243" t="s">
        <v>33</v>
      </c>
      <c r="AT49" s="248" t="s">
        <v>199</v>
      </c>
      <c r="AU49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3.5</v>
      </c>
      <c r="AV49" s="246" t="str">
        <f>IF(AU49&gt;9,"SuperStar",IF(AU49&gt;8,"Star",IF(AU49&gt;6.5,"GoodReg",IF(AU49&gt;5,"Reg",IF(AU49&gt;4,"Bench","Minors")))))</f>
        <v>Minors</v>
      </c>
      <c r="AW49" s="245">
        <f>AVERAGE(X49,Z49,AA49)+IF(OR(X49&gt;7,AND(X49&gt;5,AA49&gt;5)),0.5,0)+IF(Z49&gt;7,0.25,0)+IF(X49&lt;6,-0.5*(6-X49),0)</f>
        <v>3.833333333333333</v>
      </c>
      <c r="AX49" s="245" t="str">
        <f>IF(AW49&gt;9,"SuperStar",IF(AW49&gt;8,"Star",IF(AW49&gt;6.5,"GoodReg",IF(AW49&gt;5,"Reg",IF(AW49&gt;4,"Bench","Minors")))))</f>
        <v>Minors</v>
      </c>
      <c r="AY49" s="246">
        <f>MIN(AU49+(MAX(0,25-L49))^1.5,AW49)</f>
        <v>3.833333333333333</v>
      </c>
      <c r="AZ49" s="246" t="str">
        <f>IF(AY49&gt;9,"SuperStar",IF(AY49&gt;8,"Star",IF(AY49&gt;6.5,"GoodReg",IF(AY49&gt;5,"Reg",IF(AY49&gt;4,"Bench","Minors")))))</f>
        <v>Minors</v>
      </c>
      <c r="BA49" s="247">
        <f>IF(AND(OR(S49+V49&gt;12,AND(S49&gt;6,V49&gt;6)),AO49&gt;6,OR(AP49&gt;=AO49,AP49&gt;6)),1,0)</f>
        <v>0</v>
      </c>
      <c r="BB49" s="248">
        <f>IF(OR(AND(S49&gt;6,W49&gt;6),S49+V49&gt;12),1,0)</f>
        <v>0</v>
      </c>
      <c r="BC49" s="248">
        <f>IF(AND(S49&gt;6,U49&gt;6,V49&gt;6),1,0)</f>
        <v>0</v>
      </c>
      <c r="BD49" s="248">
        <f>IF(AND(U49&gt;7,OR(S49&gt;6,V49&gt;6)),1,0)</f>
        <v>0</v>
      </c>
      <c r="BE49" s="248">
        <f>IF(AND(U49&gt;6,OR(S49&gt;6,V49&gt;6)),1,0)</f>
        <v>0</v>
      </c>
      <c r="BF49" s="248">
        <f>IF(AND(OR(S49&gt;6,U49&gt;6),OR(S49&gt;6,V49&gt;6)),1,0)</f>
        <v>0</v>
      </c>
      <c r="BG49" s="248">
        <f>IF(AND(S49&gt;4,OR(S49&gt;6,U49&gt;6,V49&gt;6)),1,0)</f>
        <v>0</v>
      </c>
      <c r="BH49" s="248">
        <f>IF(AND(S49&gt;4,OR(S49&gt;6,T49&gt;6,U49&gt;6,V49&gt;6)),1,0)</f>
        <v>0</v>
      </c>
      <c r="BI49" s="243">
        <f>IF(AND(S49&gt;4,MAX(S49:W49)&gt;6),1,0)</f>
        <v>0</v>
      </c>
      <c r="BJ49" s="247">
        <f>IF(AND(OR(X49+AA49&gt;12,AND(X49&gt;6,AA49&gt;6)),AO49&gt;6,OR(AP49&gt;=AO49,AP49&gt;6)),1,0)</f>
        <v>0</v>
      </c>
      <c r="BK49" s="248">
        <f>IF(OR(AND(X49&gt;6,AB49&gt;6),X49+AA49&gt;12),1,0)</f>
        <v>0</v>
      </c>
      <c r="BL49" s="248">
        <f>IF(AND(X49&gt;6,Z49&gt;6,AA49&gt;6),1,0)</f>
        <v>0</v>
      </c>
      <c r="BM49" s="248">
        <f>IF(AND(Z49&gt;7,OR(X49&gt;6,AA49&gt;6)),1,0)</f>
        <v>0</v>
      </c>
      <c r="BN49" s="248">
        <f>IF(AND(Z49&gt;6,OR(X49&gt;6,AA49&gt;6)),1,0)</f>
        <v>0</v>
      </c>
      <c r="BO49" s="248">
        <f>IF(AND(OR(X49&gt;6,Z49&gt;6),OR(X49&gt;6,AA49&gt;6)),1,0)</f>
        <v>0</v>
      </c>
      <c r="BP49" s="248">
        <f>IF(AND(X49&gt;4,OR(X49&gt;6,Z49&gt;6,AA49&gt;6)),1,0)</f>
        <v>0</v>
      </c>
      <c r="BQ49" s="248">
        <f>IF(AND(X49&gt;4,OR(X49&gt;6,Y49&gt;6,Z49&gt;6,AA49&gt;6)),1,0)</f>
        <v>0</v>
      </c>
      <c r="BR49" s="243">
        <f>IF(AND(X49&gt;4,MAX(X49:AB49)&gt;6),1,0)</f>
        <v>0</v>
      </c>
      <c r="BS49" s="243">
        <f>IF(AVERAGE(AO49:AP49)&gt;9,1,0)+IF(AVERAGE(AO49:AP49)&gt;7,1,0)+IF(AO49&gt;7,1,0)+IF(AP49&gt;7,1,0)+IF(AQ49&gt;8,1,0)+IF(AQ49&gt;6,1,0)</f>
        <v>0</v>
      </c>
      <c r="BT49" s="249">
        <f>IF(OR(MAX(AG49,AH49,AL49,AN49)&gt;6,MAX(AI49,AJ49,AK49,AM49)&gt;7),2,IF(MAX(AG49:AN49)&gt;4,1,0))</f>
        <v>1</v>
      </c>
      <c r="BU49" s="242" t="str">
        <f>IF(AS49=1,"Yes","")</f>
        <v/>
      </c>
      <c r="BV49" s="241" t="str">
        <f>IF($B49="ML","There",IF(AND($X49&gt;=6,AVERAGE($Z49:$AA49)&gt;=6),"Likely",IF(OR($X49&gt;6,AND($X49=6,AVERAGE($Z49:$AA49)&gt;=3),AND($X49&gt;=5,AVERAGE($Z49:$AA49)&gt;=5),AVERAGE($X49,$Z49:$AA49)&gt;5),"Possible","Unlikely")))</f>
        <v>Unlikely</v>
      </c>
      <c r="BW49" s="242" t="str">
        <f>IF(OR(AND(S49&gt;=6,U49+V49&gt;=12),S49&gt;7),"Start",IF(AND(S49&gt;=5,U49+V49&gt;=8),"Bench","aack!"))</f>
        <v>aack!</v>
      </c>
      <c r="BX49" s="242" t="str">
        <f>IF(OR(AND(X49&gt;=6,Z49+AA49&gt;=12),X49&gt;7),"Start",IF(AND(X49&gt;=5,Z49+AA49&gt;=8),"Bench","aack!"))</f>
        <v>Bench</v>
      </c>
      <c r="BY49" s="242" t="str">
        <f>IF(S49&gt;5,"ML",IF(S49=5,"AAA",IF(S49=4,"AA",IF(S49=3,"A","SS-A"))))</f>
        <v>AAA</v>
      </c>
      <c r="BZ49" s="242">
        <f>S49-X49</f>
        <v>0</v>
      </c>
      <c r="CA49" s="242">
        <f>T49-Y49</f>
        <v>0</v>
      </c>
      <c r="CB49" s="242">
        <f>U49-Z49</f>
        <v>0</v>
      </c>
      <c r="CC49" s="242">
        <f>V49-AA49</f>
        <v>-1</v>
      </c>
      <c r="CD49" s="242">
        <f>W49-AB49</f>
        <v>0</v>
      </c>
      <c r="CE49" s="242">
        <f>SUM(BZ49:CD49)</f>
        <v>-1</v>
      </c>
      <c r="CF49" s="242">
        <f>X49+Z49+AA49</f>
        <v>13</v>
      </c>
      <c r="CG49" s="242">
        <f>X49+Z49</f>
        <v>7</v>
      </c>
      <c r="CH49" s="242">
        <f>X49+AA49</f>
        <v>11</v>
      </c>
      <c r="CI49" s="242" t="str">
        <f>IF(L49&gt;24,"Now - Age",IF(S49&gt;6,"Now",IF(X49&lt;6,"With Dev",MIN(X49-S49,7-S49))))</f>
        <v>With Dev</v>
      </c>
      <c r="CJ49" s="257" t="str">
        <f>IF(AG49&lt;&gt;"-","X","")</f>
        <v/>
      </c>
      <c r="CK49" s="257" t="str">
        <f>IF(AND(AH49&lt;&gt;"-",AH49&gt;5),"X","")</f>
        <v/>
      </c>
      <c r="CL49" s="257" t="str">
        <f>IF(AND(AI49&lt;&gt;"-",AI49&gt;5),"X","")</f>
        <v/>
      </c>
      <c r="CM49" s="257" t="str">
        <f>IF(AND(AJ49&lt;&gt;"-",AJ49&gt;4,AC49&gt;6),"X","")</f>
        <v/>
      </c>
      <c r="CN49" s="257" t="str">
        <f>IF(AND(AK49&lt;&gt;"-",AK49&gt;5,AC49&gt;5),"X","")</f>
        <v/>
      </c>
      <c r="CO49" s="257" t="str">
        <f>IF(AND(AL49&lt;&gt;"-",AL49&gt;3),"X","")</f>
        <v/>
      </c>
      <c r="CP49" s="257" t="str">
        <f>IF(AND(AM49&lt;&gt;"-",AM49&gt;6),"X","")</f>
        <v/>
      </c>
      <c r="CQ49" s="257" t="str">
        <f>IF(AND(AN49&lt;&gt;"-",AN49&gt;5,AD49&gt;6),"X","")</f>
        <v/>
      </c>
      <c r="CR49" s="257" t="str">
        <f>IF(COUNTBLANK(CJ49:CQ49)=8,"X","")</f>
        <v>X</v>
      </c>
    </row>
    <row r="50" spans="1:96" s="306" customFormat="1" x14ac:dyDescent="0.25">
      <c r="A50" s="240" t="str">
        <f>H50&amp;" "&amp;I50</f>
        <v>Valentín Márquez</v>
      </c>
      <c r="B50" s="240" t="str">
        <f>IF(ISERROR(VLOOKUP(A50,AMA!$C$3:$C$24,1,FALSE)),IF(ISERROR(VLOOKUP(A50,'END-AAA'!$C$6:$C$33,1,FALSE)),IF(ISERROR(VLOOKUP(A50,'DB-AA'!$C$6:$C$33,1,FALSE)),IF(ISERROR(VLOOKUP(A50,'UTR-A'!$C$6:$C$33,1,FALSE)),IF(ISERROR(VLOOKUP(A50,'FAI-S A'!$C$6:$C$33,1,FALSE)),"","S A"),"A"),"AA"),"AAA"),"ML")</f>
        <v/>
      </c>
      <c r="C50" s="241"/>
      <c r="D50" s="242" t="str">
        <f>IF(BL50=1,3,IF(BM50=1,4,IF(BJ50=1,1,IF(BN50=1,5,IF(BK50=1,2,IF(BO50=1,6,IF(BP50=1,7,IF(BQ50=1,8,IF(BR50=1,9,"-")))))))))</f>
        <v>-</v>
      </c>
      <c r="E50" s="242" t="str">
        <f>IF(BC50=1,3,IF(BD50=1,4,IF(BA50=1,1,IF(BE50=1,5,IF(BB50=1,2,IF(BF50=1,6,IF(BG50=1,7,IF(BH50=1,8,IF(BI50=1,9,"-")))))))))</f>
        <v>-</v>
      </c>
      <c r="F50" s="242" t="str">
        <f>IF(OR(OR(Q50="Very High",Q50="High"),AND(OR(Q50="Very High",Q50="High",Q50="Normal"),OR(R50="Very High",R50="High"))),"K","T")</f>
        <v>K</v>
      </c>
      <c r="G50" s="242" t="s">
        <v>74</v>
      </c>
      <c r="H50" s="242" t="s">
        <v>413</v>
      </c>
      <c r="I50" s="242" t="s">
        <v>722</v>
      </c>
      <c r="J50" s="242" t="s">
        <v>769</v>
      </c>
      <c r="K50" s="242" t="s">
        <v>186</v>
      </c>
      <c r="L50" s="242">
        <v>29</v>
      </c>
      <c r="M50" s="242" t="s">
        <v>83</v>
      </c>
      <c r="N50" s="242" t="s">
        <v>83</v>
      </c>
      <c r="O50" s="242" t="s">
        <v>773</v>
      </c>
      <c r="P50" s="243" t="s">
        <v>773</v>
      </c>
      <c r="Q50" s="242" t="s">
        <v>199</v>
      </c>
      <c r="R50" s="243" t="s">
        <v>200</v>
      </c>
      <c r="S50" s="242">
        <v>3</v>
      </c>
      <c r="T50" s="242">
        <v>3</v>
      </c>
      <c r="U50" s="242">
        <v>4</v>
      </c>
      <c r="V50" s="242">
        <v>8</v>
      </c>
      <c r="W50" s="243">
        <v>2</v>
      </c>
      <c r="X50" s="242">
        <v>3</v>
      </c>
      <c r="Y50" s="242">
        <v>4</v>
      </c>
      <c r="Z50" s="242">
        <v>4</v>
      </c>
      <c r="AA50" s="242">
        <v>8</v>
      </c>
      <c r="AB50" s="243">
        <v>3</v>
      </c>
      <c r="AC50" s="242">
        <v>8</v>
      </c>
      <c r="AD50" s="242">
        <v>7</v>
      </c>
      <c r="AE50" s="242">
        <v>1</v>
      </c>
      <c r="AF50" s="242" t="s">
        <v>32</v>
      </c>
      <c r="AG50" s="242" t="s">
        <v>32</v>
      </c>
      <c r="AH50" s="242" t="s">
        <v>32</v>
      </c>
      <c r="AI50" s="242">
        <v>8</v>
      </c>
      <c r="AJ50" s="242">
        <v>1</v>
      </c>
      <c r="AK50" s="242">
        <v>6</v>
      </c>
      <c r="AL50" s="242" t="s">
        <v>32</v>
      </c>
      <c r="AM50" s="242" t="s">
        <v>32</v>
      </c>
      <c r="AN50" s="243" t="s">
        <v>32</v>
      </c>
      <c r="AO50" s="242">
        <v>7</v>
      </c>
      <c r="AP50" s="242">
        <v>10</v>
      </c>
      <c r="AQ50" s="243">
        <v>10</v>
      </c>
      <c r="AR50" s="244" t="s">
        <v>32</v>
      </c>
      <c r="AS50" s="243" t="s">
        <v>33</v>
      </c>
      <c r="AT50" s="248" t="s">
        <v>779</v>
      </c>
      <c r="AU50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3.5</v>
      </c>
      <c r="AV50" s="246" t="str">
        <f>IF(AU50&gt;9,"SuperStar",IF(AU50&gt;8,"Star",IF(AU50&gt;6.5,"GoodReg",IF(AU50&gt;5,"Reg",IF(AU50&gt;4,"Bench","Minors")))))</f>
        <v>Minors</v>
      </c>
      <c r="AW50" s="245">
        <f>AVERAGE(X50,Z50,AA50)+IF(OR(X50&gt;7,AND(X50&gt;5,AA50&gt;5)),0.5,0)+IF(Z50&gt;7,0.25,0)+IF(X50&lt;6,-0.5*(6-X50),0)</f>
        <v>3.5</v>
      </c>
      <c r="AX50" s="245" t="str">
        <f>IF(AW50&gt;9,"SuperStar",IF(AW50&gt;8,"Star",IF(AW50&gt;6.5,"GoodReg",IF(AW50&gt;5,"Reg",IF(AW50&gt;4,"Bench","Minors")))))</f>
        <v>Minors</v>
      </c>
      <c r="AY50" s="246">
        <f>MIN(AU50+(MAX(0,25-L50))^1.5,AW50)</f>
        <v>3.5</v>
      </c>
      <c r="AZ50" s="246" t="str">
        <f>IF(AY50&gt;9,"SuperStar",IF(AY50&gt;8,"Star",IF(AY50&gt;6.5,"GoodReg",IF(AY50&gt;5,"Reg",IF(AY50&gt;4,"Bench","Minors")))))</f>
        <v>Minors</v>
      </c>
      <c r="BA50" s="247">
        <f>IF(AND(OR(S50+V50&gt;12,AND(S50&gt;6,V50&gt;6)),AO50&gt;6,OR(AP50&gt;=AO50,AP50&gt;6)),1,0)</f>
        <v>0</v>
      </c>
      <c r="BB50" s="248">
        <f>IF(OR(AND(S50&gt;6,W50&gt;6),S50+V50&gt;12),1,0)</f>
        <v>0</v>
      </c>
      <c r="BC50" s="248">
        <f>IF(AND(S50&gt;6,U50&gt;6,V50&gt;6),1,0)</f>
        <v>0</v>
      </c>
      <c r="BD50" s="248">
        <f>IF(AND(U50&gt;7,OR(S50&gt;6,V50&gt;6)),1,0)</f>
        <v>0</v>
      </c>
      <c r="BE50" s="248">
        <f>IF(AND(U50&gt;6,OR(S50&gt;6,V50&gt;6)),1,0)</f>
        <v>0</v>
      </c>
      <c r="BF50" s="248">
        <f>IF(AND(OR(S50&gt;6,U50&gt;6),OR(S50&gt;6,V50&gt;6)),1,0)</f>
        <v>0</v>
      </c>
      <c r="BG50" s="248">
        <f>IF(AND(S50&gt;4,OR(S50&gt;6,U50&gt;6,V50&gt;6)),1,0)</f>
        <v>0</v>
      </c>
      <c r="BH50" s="248">
        <f>IF(AND(S50&gt;4,OR(S50&gt;6,T50&gt;6,U50&gt;6,V50&gt;6)),1,0)</f>
        <v>0</v>
      </c>
      <c r="BI50" s="243">
        <f>IF(AND(S50&gt;4,MAX(S50:W50)&gt;6),1,0)</f>
        <v>0</v>
      </c>
      <c r="BJ50" s="247">
        <f>IF(AND(OR(X50+AA50&gt;12,AND(X50&gt;6,AA50&gt;6)),AO50&gt;6,OR(AP50&gt;=AO50,AP50&gt;6)),1,0)</f>
        <v>0</v>
      </c>
      <c r="BK50" s="248">
        <f>IF(OR(AND(X50&gt;6,AB50&gt;6),X50+AA50&gt;12),1,0)</f>
        <v>0</v>
      </c>
      <c r="BL50" s="248">
        <f>IF(AND(X50&gt;6,Z50&gt;6,AA50&gt;6),1,0)</f>
        <v>0</v>
      </c>
      <c r="BM50" s="248">
        <f>IF(AND(Z50&gt;7,OR(X50&gt;6,AA50&gt;6)),1,0)</f>
        <v>0</v>
      </c>
      <c r="BN50" s="248">
        <f>IF(AND(Z50&gt;6,OR(X50&gt;6,AA50&gt;6)),1,0)</f>
        <v>0</v>
      </c>
      <c r="BO50" s="248">
        <f>IF(AND(OR(X50&gt;6,Z50&gt;6),OR(X50&gt;6,AA50&gt;6)),1,0)</f>
        <v>0</v>
      </c>
      <c r="BP50" s="248">
        <f>IF(AND(X50&gt;4,OR(X50&gt;6,Z50&gt;6,AA50&gt;6)),1,0)</f>
        <v>0</v>
      </c>
      <c r="BQ50" s="248">
        <f>IF(AND(X50&gt;4,OR(X50&gt;6,Y50&gt;6,Z50&gt;6,AA50&gt;6)),1,0)</f>
        <v>0</v>
      </c>
      <c r="BR50" s="243">
        <f>IF(AND(X50&gt;4,MAX(X50:AB50)&gt;6),1,0)</f>
        <v>0</v>
      </c>
      <c r="BS50" s="243">
        <f>IF(AVERAGE(AO50:AP50)&gt;9,1,0)+IF(AVERAGE(AO50:AP50)&gt;7,1,0)+IF(AO50&gt;7,1,0)+IF(AP50&gt;7,1,0)+IF(AQ50&gt;8,1,0)+IF(AQ50&gt;6,1,0)</f>
        <v>4</v>
      </c>
      <c r="BT50" s="249">
        <f>IF(OR(MAX(AG50,AH50,AL50,AN50)&gt;6,MAX(AI50,AJ50,AK50,AM50)&gt;7),2,IF(MAX(AG50:AN50)&gt;4,1,0))</f>
        <v>2</v>
      </c>
      <c r="BU50" s="242" t="str">
        <f>IF(AS50=1,"Yes","")</f>
        <v/>
      </c>
      <c r="BV50" s="241" t="str">
        <f>IF($B50="ML","There",IF(AND($X50&gt;=6,AVERAGE($Z50:$AA50)&gt;=6),"Likely",IF(OR($X50&gt;6,AND($X50=6,AVERAGE($Z50:$AA50)&gt;=3),AND($X50&gt;=5,AVERAGE($Z50:$AA50)&gt;=5),AVERAGE($X50,$Z50:$AA50)&gt;5),"Possible","Unlikely")))</f>
        <v>Unlikely</v>
      </c>
      <c r="BW50" s="242" t="str">
        <f>IF(OR(AND(S50&gt;=6,U50+V50&gt;=12),S50&gt;7),"Start",IF(AND(S50&gt;=5,U50+V50&gt;=8),"Bench","aack!"))</f>
        <v>aack!</v>
      </c>
      <c r="BX50" s="242" t="str">
        <f>IF(OR(AND(X50&gt;=6,Z50+AA50&gt;=12),X50&gt;7),"Start",IF(AND(X50&gt;=5,Z50+AA50&gt;=8),"Bench","aack!"))</f>
        <v>aack!</v>
      </c>
      <c r="BY50" s="242" t="str">
        <f>IF(S50&gt;5,"ML",IF(S50=5,"AAA",IF(S50=4,"AA",IF(S50=3,"A","SS-A"))))</f>
        <v>A</v>
      </c>
      <c r="BZ50" s="242">
        <f>S50-X50</f>
        <v>0</v>
      </c>
      <c r="CA50" s="242">
        <f>T50-Y50</f>
        <v>-1</v>
      </c>
      <c r="CB50" s="242">
        <f>U50-Z50</f>
        <v>0</v>
      </c>
      <c r="CC50" s="242">
        <f>V50-AA50</f>
        <v>0</v>
      </c>
      <c r="CD50" s="242">
        <f>W50-AB50</f>
        <v>-1</v>
      </c>
      <c r="CE50" s="242">
        <f>SUM(BZ50:CD50)</f>
        <v>-2</v>
      </c>
      <c r="CF50" s="242">
        <f>X50+Z50+AA50</f>
        <v>15</v>
      </c>
      <c r="CG50" s="242">
        <f>X50+Z50</f>
        <v>7</v>
      </c>
      <c r="CH50" s="242">
        <f>X50+AA50</f>
        <v>11</v>
      </c>
      <c r="CI50" s="242" t="str">
        <f>IF(L50&gt;24,"Now - Age",IF(S50&gt;6,"Now",IF(X50&lt;6,"With Dev",MIN(X50-S50,7-S50))))</f>
        <v>Now - Age</v>
      </c>
      <c r="CJ50" s="257" t="str">
        <f>IF(AG50&lt;&gt;"-","X","")</f>
        <v/>
      </c>
      <c r="CK50" s="257" t="str">
        <f>IF(AND(AH50&lt;&gt;"-",AH50&gt;5),"X","")</f>
        <v/>
      </c>
      <c r="CL50" s="257" t="str">
        <f>IF(AND(AI50&lt;&gt;"-",AI50&gt;5),"X","")</f>
        <v>X</v>
      </c>
      <c r="CM50" s="257" t="str">
        <f>IF(AND(AJ50&lt;&gt;"-",AJ50&gt;4,AC50&gt;6),"X","")</f>
        <v/>
      </c>
      <c r="CN50" s="257" t="str">
        <f>IF(AND(AK50&lt;&gt;"-",AK50&gt;5,AC50&gt;5),"X","")</f>
        <v>X</v>
      </c>
      <c r="CO50" s="257" t="str">
        <f>IF(AND(AL50&lt;&gt;"-",AL50&gt;3),"X","")</f>
        <v/>
      </c>
      <c r="CP50" s="257" t="str">
        <f>IF(AND(AM50&lt;&gt;"-",AM50&gt;6),"X","")</f>
        <v/>
      </c>
      <c r="CQ50" s="257" t="str">
        <f>IF(AND(AN50&lt;&gt;"-",AN50&gt;5,AD50&gt;6),"X","")</f>
        <v/>
      </c>
      <c r="CR50" s="257" t="str">
        <f>IF(COUNTBLANK(CJ50:CQ50)=8,"X","")</f>
        <v/>
      </c>
    </row>
    <row r="51" spans="1:96" s="306" customFormat="1" x14ac:dyDescent="0.25">
      <c r="A51" s="240" t="str">
        <f>H51&amp;" "&amp;I51</f>
        <v>Tomás Rivera</v>
      </c>
      <c r="B51" s="240" t="str">
        <f>IF(ISERROR(VLOOKUP(A51,AMA!$C$3:$C$24,1,FALSE)),IF(ISERROR(VLOOKUP(A51,'END-AAA'!$C$6:$C$33,1,FALSE)),IF(ISERROR(VLOOKUP(A51,'DB-AA'!$C$6:$C$33,1,FALSE)),IF(ISERROR(VLOOKUP(A51,'UTR-A'!$C$6:$C$33,1,FALSE)),IF(ISERROR(VLOOKUP(A51,'FAI-S A'!$C$6:$C$33,1,FALSE)),"","S A"),"A"),"AA"),"AAA"),"ML")</f>
        <v/>
      </c>
      <c r="C51" s="241"/>
      <c r="D51" s="242" t="str">
        <f>IF(BL51=1,3,IF(BM51=1,4,IF(BJ51=1,1,IF(BN51=1,5,IF(BK51=1,2,IF(BO51=1,6,IF(BP51=1,7,IF(BQ51=1,8,IF(BR51=1,9,"-")))))))))</f>
        <v>-</v>
      </c>
      <c r="E51" s="242" t="str">
        <f>IF(BC51=1,3,IF(BD51=1,4,IF(BA51=1,1,IF(BE51=1,5,IF(BB51=1,2,IF(BF51=1,6,IF(BG51=1,7,IF(BH51=1,8,IF(BI51=1,9,"-")))))))))</f>
        <v>-</v>
      </c>
      <c r="F51" s="242" t="str">
        <f>IF(OR(OR(Q51="Very High",Q51="High"),AND(OR(Q51="Very High",Q51="High",Q51="Normal"),OR(R51="Very High",R51="High"))),"K","T")</f>
        <v>K</v>
      </c>
      <c r="G51" s="242" t="s">
        <v>78</v>
      </c>
      <c r="H51" s="242" t="s">
        <v>407</v>
      </c>
      <c r="I51" s="242" t="s">
        <v>792</v>
      </c>
      <c r="J51" s="242" t="s">
        <v>814</v>
      </c>
      <c r="K51" s="242" t="s">
        <v>187</v>
      </c>
      <c r="L51" s="242">
        <v>23</v>
      </c>
      <c r="M51" s="242" t="s">
        <v>83</v>
      </c>
      <c r="N51" s="242" t="s">
        <v>83</v>
      </c>
      <c r="O51" s="242" t="s">
        <v>773</v>
      </c>
      <c r="P51" s="243" t="s">
        <v>764</v>
      </c>
      <c r="Q51" s="242" t="s">
        <v>199</v>
      </c>
      <c r="R51" s="243" t="s">
        <v>199</v>
      </c>
      <c r="S51" s="242">
        <v>4</v>
      </c>
      <c r="T51" s="242">
        <v>5</v>
      </c>
      <c r="U51" s="242">
        <v>5</v>
      </c>
      <c r="V51" s="242">
        <v>4</v>
      </c>
      <c r="W51" s="243">
        <v>4</v>
      </c>
      <c r="X51" s="242">
        <v>5</v>
      </c>
      <c r="Y51" s="242">
        <v>6</v>
      </c>
      <c r="Z51" s="242">
        <v>5</v>
      </c>
      <c r="AA51" s="242">
        <v>4</v>
      </c>
      <c r="AB51" s="243">
        <v>6</v>
      </c>
      <c r="AC51" s="242">
        <v>2</v>
      </c>
      <c r="AD51" s="242">
        <v>5</v>
      </c>
      <c r="AE51" s="242">
        <v>1</v>
      </c>
      <c r="AF51" s="242" t="s">
        <v>32</v>
      </c>
      <c r="AG51" s="242" t="s">
        <v>32</v>
      </c>
      <c r="AH51" s="242" t="s">
        <v>32</v>
      </c>
      <c r="AI51" s="242" t="s">
        <v>32</v>
      </c>
      <c r="AJ51" s="242" t="s">
        <v>32</v>
      </c>
      <c r="AK51" s="242" t="s">
        <v>32</v>
      </c>
      <c r="AL51" s="242">
        <v>1</v>
      </c>
      <c r="AM51" s="242">
        <v>7</v>
      </c>
      <c r="AN51" s="243" t="s">
        <v>32</v>
      </c>
      <c r="AO51" s="242">
        <v>9</v>
      </c>
      <c r="AP51" s="242">
        <v>4</v>
      </c>
      <c r="AQ51" s="243">
        <v>5</v>
      </c>
      <c r="AR51" s="244" t="s">
        <v>32</v>
      </c>
      <c r="AS51" s="243" t="s">
        <v>33</v>
      </c>
      <c r="AT51" s="248" t="s">
        <v>779</v>
      </c>
      <c r="AU5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3.333333333333333</v>
      </c>
      <c r="AV51" s="246" t="str">
        <f>IF(AU51&gt;9,"SuperStar",IF(AU51&gt;8,"Star",IF(AU51&gt;6.5,"GoodReg",IF(AU51&gt;5,"Reg",IF(AU51&gt;4,"Bench","Minors")))))</f>
        <v>Minors</v>
      </c>
      <c r="AW51" s="245">
        <f>AVERAGE(X51,Z51,AA51)+IF(OR(X51&gt;7,AND(X51&gt;5,AA51&gt;5)),0.5,0)+IF(Z51&gt;7,0.25,0)+IF(X51&lt;6,-0.5*(6-X51),0)</f>
        <v>4.166666666666667</v>
      </c>
      <c r="AX51" s="245" t="str">
        <f>IF(AW51&gt;9,"SuperStar",IF(AW51&gt;8,"Star",IF(AW51&gt;6.5,"GoodReg",IF(AW51&gt;5,"Reg",IF(AW51&gt;4,"Bench","Minors")))))</f>
        <v>Bench</v>
      </c>
      <c r="AY51" s="246">
        <f>MIN(AU51+(MAX(0,25-L51))^1.5,AW51)</f>
        <v>4.166666666666667</v>
      </c>
      <c r="AZ51" s="246" t="str">
        <f>IF(AY51&gt;9,"SuperStar",IF(AY51&gt;8,"Star",IF(AY51&gt;6.5,"GoodReg",IF(AY51&gt;5,"Reg",IF(AY51&gt;4,"Bench","Minors")))))</f>
        <v>Bench</v>
      </c>
      <c r="BA51" s="247">
        <f>IF(AND(OR(S51+V51&gt;12,AND(S51&gt;6,V51&gt;6)),AO51&gt;6,OR(AP51&gt;=AO51,AP51&gt;6)),1,0)</f>
        <v>0</v>
      </c>
      <c r="BB51" s="248">
        <f>IF(OR(AND(S51&gt;6,W51&gt;6),S51+V51&gt;12),1,0)</f>
        <v>0</v>
      </c>
      <c r="BC51" s="248">
        <f>IF(AND(S51&gt;6,U51&gt;6,V51&gt;6),1,0)</f>
        <v>0</v>
      </c>
      <c r="BD51" s="248">
        <f>IF(AND(U51&gt;7,OR(S51&gt;6,V51&gt;6)),1,0)</f>
        <v>0</v>
      </c>
      <c r="BE51" s="248">
        <f>IF(AND(U51&gt;6,OR(S51&gt;6,V51&gt;6)),1,0)</f>
        <v>0</v>
      </c>
      <c r="BF51" s="248">
        <f>IF(AND(OR(S51&gt;6,U51&gt;6),OR(S51&gt;6,V51&gt;6)),1,0)</f>
        <v>0</v>
      </c>
      <c r="BG51" s="248">
        <f>IF(AND(S51&gt;4,OR(S51&gt;6,U51&gt;6,V51&gt;6)),1,0)</f>
        <v>0</v>
      </c>
      <c r="BH51" s="248">
        <f>IF(AND(S51&gt;4,OR(S51&gt;6,T51&gt;6,U51&gt;6,V51&gt;6)),1,0)</f>
        <v>0</v>
      </c>
      <c r="BI51" s="243">
        <f>IF(AND(S51&gt;4,MAX(S51:W51)&gt;6),1,0)</f>
        <v>0</v>
      </c>
      <c r="BJ51" s="247">
        <f>IF(AND(OR(X51+AA51&gt;12,AND(X51&gt;6,AA51&gt;6)),AO51&gt;6,OR(AP51&gt;=AO51,AP51&gt;6)),1,0)</f>
        <v>0</v>
      </c>
      <c r="BK51" s="248">
        <f>IF(OR(AND(X51&gt;6,AB51&gt;6),X51+AA51&gt;12),1,0)</f>
        <v>0</v>
      </c>
      <c r="BL51" s="248">
        <f>IF(AND(X51&gt;6,Z51&gt;6,AA51&gt;6),1,0)</f>
        <v>0</v>
      </c>
      <c r="BM51" s="248">
        <f>IF(AND(Z51&gt;7,OR(X51&gt;6,AA51&gt;6)),1,0)</f>
        <v>0</v>
      </c>
      <c r="BN51" s="248">
        <f>IF(AND(Z51&gt;6,OR(X51&gt;6,AA51&gt;6)),1,0)</f>
        <v>0</v>
      </c>
      <c r="BO51" s="248">
        <f>IF(AND(OR(X51&gt;6,Z51&gt;6),OR(X51&gt;6,AA51&gt;6)),1,0)</f>
        <v>0</v>
      </c>
      <c r="BP51" s="248">
        <f>IF(AND(X51&gt;4,OR(X51&gt;6,Z51&gt;6,AA51&gt;6)),1,0)</f>
        <v>0</v>
      </c>
      <c r="BQ51" s="248">
        <f>IF(AND(X51&gt;4,OR(X51&gt;6,Y51&gt;6,Z51&gt;6,AA51&gt;6)),1,0)</f>
        <v>0</v>
      </c>
      <c r="BR51" s="243">
        <f>IF(AND(X51&gt;4,MAX(X51:AB51)&gt;6),1,0)</f>
        <v>0</v>
      </c>
      <c r="BS51" s="243">
        <f>IF(AVERAGE(AO51:AP51)&gt;9,1,0)+IF(AVERAGE(AO51:AP51)&gt;7,1,0)+IF(AO51&gt;7,1,0)+IF(AP51&gt;7,1,0)+IF(AQ51&gt;8,1,0)+IF(AQ51&gt;6,1,0)</f>
        <v>1</v>
      </c>
      <c r="BT51" s="249">
        <f>IF(OR(MAX(AG51,AH51,AL51,AN51)&gt;6,MAX(AI51,AJ51,AK51,AM51)&gt;7),2,IF(MAX(AG51:AN51)&gt;4,1,0))</f>
        <v>1</v>
      </c>
      <c r="BU51" s="242" t="str">
        <f>IF(AS51=1,"Yes","")</f>
        <v/>
      </c>
      <c r="BV51" s="241" t="str">
        <f>IF($B51="ML","There",IF(AND($X51&gt;=6,AVERAGE($Z51:$AA51)&gt;=6),"Likely",IF(OR($X51&gt;6,AND($X51=6,AVERAGE($Z51:$AA51)&gt;=3),AND($X51&gt;=5,AVERAGE($Z51:$AA51)&gt;=5),AVERAGE($X51,$Z51:$AA51)&gt;5),"Possible","Unlikely")))</f>
        <v>Unlikely</v>
      </c>
      <c r="BW51" s="242" t="str">
        <f>IF(OR(AND(S51&gt;=6,U51+V51&gt;=12),S51&gt;7),"Start",IF(AND(S51&gt;=5,U51+V51&gt;=8),"Bench","aack!"))</f>
        <v>aack!</v>
      </c>
      <c r="BX51" s="242" t="str">
        <f>IF(OR(AND(X51&gt;=6,Z51+AA51&gt;=12),X51&gt;7),"Start",IF(AND(X51&gt;=5,Z51+AA51&gt;=8),"Bench","aack!"))</f>
        <v>Bench</v>
      </c>
      <c r="BY51" s="242" t="str">
        <f>IF(S51&gt;5,"ML",IF(S51=5,"AAA",IF(S51=4,"AA",IF(S51=3,"A","SS-A"))))</f>
        <v>AA</v>
      </c>
      <c r="BZ51" s="242">
        <f>S51-X51</f>
        <v>-1</v>
      </c>
      <c r="CA51" s="242">
        <f>T51-Y51</f>
        <v>-1</v>
      </c>
      <c r="CB51" s="242">
        <f>U51-Z51</f>
        <v>0</v>
      </c>
      <c r="CC51" s="242">
        <f>V51-AA51</f>
        <v>0</v>
      </c>
      <c r="CD51" s="242">
        <f>W51-AB51</f>
        <v>-2</v>
      </c>
      <c r="CE51" s="242">
        <f>SUM(BZ51:CD51)</f>
        <v>-4</v>
      </c>
      <c r="CF51" s="242">
        <f>X51+Z51+AA51</f>
        <v>14</v>
      </c>
      <c r="CG51" s="242">
        <f>X51+Z51</f>
        <v>10</v>
      </c>
      <c r="CH51" s="242">
        <f>X51+AA51</f>
        <v>9</v>
      </c>
      <c r="CI51" s="242" t="str">
        <f>IF(L51&gt;24,"Now - Age",IF(S51&gt;6,"Now",IF(X51&lt;6,"With Dev",MIN(X51-S51,7-S51))))</f>
        <v>With Dev</v>
      </c>
      <c r="CJ51" s="257" t="str">
        <f>IF(AG51&lt;&gt;"-","X","")</f>
        <v/>
      </c>
      <c r="CK51" s="257" t="str">
        <f>IF(AND(AH51&lt;&gt;"-",AH51&gt;5),"X","")</f>
        <v/>
      </c>
      <c r="CL51" s="257" t="str">
        <f>IF(AND(AI51&lt;&gt;"-",AI51&gt;5),"X","")</f>
        <v/>
      </c>
      <c r="CM51" s="257" t="str">
        <f>IF(AND(AJ51&lt;&gt;"-",AJ51&gt;4,AC51&gt;6),"X","")</f>
        <v/>
      </c>
      <c r="CN51" s="257" t="str">
        <f>IF(AND(AK51&lt;&gt;"-",AK51&gt;5,AC51&gt;5),"X","")</f>
        <v/>
      </c>
      <c r="CO51" s="257" t="str">
        <f>IF(AND(AL51&lt;&gt;"-",AL51&gt;3),"X","")</f>
        <v/>
      </c>
      <c r="CP51" s="257" t="str">
        <f>IF(AND(AM51&lt;&gt;"-",AM51&gt;6),"X","")</f>
        <v>X</v>
      </c>
      <c r="CQ51" s="257" t="str">
        <f>IF(AND(AN51&lt;&gt;"-",AN51&gt;5,AD51&gt;6),"X","")</f>
        <v/>
      </c>
      <c r="CR51" s="257" t="str">
        <f>IF(COUNTBLANK(CJ51:CQ51)=8,"X","")</f>
        <v/>
      </c>
    </row>
    <row r="52" spans="1:96" s="306" customFormat="1" x14ac:dyDescent="0.25">
      <c r="A52" s="240" t="str">
        <f>H52&amp;" "&amp;I52</f>
        <v>Ichizo Yamashita</v>
      </c>
      <c r="B52" s="240" t="str">
        <f>IF(ISERROR(VLOOKUP(A52,AMA!$C$3:$C$24,1,FALSE)),IF(ISERROR(VLOOKUP(A52,'END-AAA'!$C$6:$C$33,1,FALSE)),IF(ISERROR(VLOOKUP(A52,'DB-AA'!$C$6:$C$33,1,FALSE)),IF(ISERROR(VLOOKUP(A52,'UTR-A'!$C$6:$C$33,1,FALSE)),IF(ISERROR(VLOOKUP(A52,'FAI-S A'!$C$6:$C$33,1,FALSE)),"","S A"),"A"),"AA"),"AAA"),"ML")</f>
        <v/>
      </c>
      <c r="C52" s="241"/>
      <c r="D52" s="242" t="str">
        <f>IF(BL52=1,3,IF(BM52=1,4,IF(BJ52=1,1,IF(BN52=1,5,IF(BK52=1,2,IF(BO52=1,6,IF(BP52=1,7,IF(BQ52=1,8,IF(BR52=1,9,"-")))))))))</f>
        <v>-</v>
      </c>
      <c r="E52" s="242" t="str">
        <f>IF(BC52=1,3,IF(BD52=1,4,IF(BA52=1,1,IF(BE52=1,5,IF(BB52=1,2,IF(BF52=1,6,IF(BG52=1,7,IF(BH52=1,8,IF(BI52=1,9,"-")))))))))</f>
        <v>-</v>
      </c>
      <c r="F52" s="242" t="str">
        <f>IF(OR(OR(Q52="Very High",Q52="High"),AND(OR(Q52="Very High",Q52="High",Q52="Normal"),OR(R52="Very High",R52="High"))),"K","T")</f>
        <v>T</v>
      </c>
      <c r="G52" s="242" t="s">
        <v>77</v>
      </c>
      <c r="H52" s="242" t="s">
        <v>830</v>
      </c>
      <c r="I52" s="242" t="s">
        <v>831</v>
      </c>
      <c r="J52" s="242" t="s">
        <v>769</v>
      </c>
      <c r="K52" s="242" t="s">
        <v>186</v>
      </c>
      <c r="L52" s="242">
        <v>25</v>
      </c>
      <c r="M52" s="242" t="s">
        <v>83</v>
      </c>
      <c r="N52" s="242" t="s">
        <v>83</v>
      </c>
      <c r="O52" s="242" t="s">
        <v>808</v>
      </c>
      <c r="P52" s="243" t="s">
        <v>773</v>
      </c>
      <c r="Q52" s="242" t="s">
        <v>200</v>
      </c>
      <c r="R52" s="243" t="s">
        <v>200</v>
      </c>
      <c r="S52" s="242">
        <v>4</v>
      </c>
      <c r="T52" s="242">
        <v>6</v>
      </c>
      <c r="U52" s="242">
        <v>4</v>
      </c>
      <c r="V52" s="242">
        <v>5</v>
      </c>
      <c r="W52" s="243">
        <v>7</v>
      </c>
      <c r="X52" s="242">
        <v>4</v>
      </c>
      <c r="Y52" s="242">
        <v>6</v>
      </c>
      <c r="Z52" s="242">
        <v>4</v>
      </c>
      <c r="AA52" s="242">
        <v>5</v>
      </c>
      <c r="AB52" s="243">
        <v>7</v>
      </c>
      <c r="AC52" s="242">
        <v>3</v>
      </c>
      <c r="AD52" s="242">
        <v>6</v>
      </c>
      <c r="AE52" s="242">
        <v>1</v>
      </c>
      <c r="AF52" s="242" t="s">
        <v>32</v>
      </c>
      <c r="AG52" s="242" t="s">
        <v>32</v>
      </c>
      <c r="AH52" s="242" t="s">
        <v>32</v>
      </c>
      <c r="AI52" s="242" t="s">
        <v>32</v>
      </c>
      <c r="AJ52" s="242" t="s">
        <v>32</v>
      </c>
      <c r="AK52" s="242" t="s">
        <v>32</v>
      </c>
      <c r="AL52" s="242">
        <v>6</v>
      </c>
      <c r="AM52" s="242">
        <v>1</v>
      </c>
      <c r="AN52" s="243" t="s">
        <v>32</v>
      </c>
      <c r="AO52" s="242">
        <v>8</v>
      </c>
      <c r="AP52" s="242">
        <v>8</v>
      </c>
      <c r="AQ52" s="243">
        <v>5</v>
      </c>
      <c r="AR52" s="244" t="s">
        <v>32</v>
      </c>
      <c r="AS52" s="243">
        <v>0</v>
      </c>
      <c r="AT52" s="248" t="s">
        <v>199</v>
      </c>
      <c r="AU5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3.333333333333333</v>
      </c>
      <c r="AV52" s="246" t="str">
        <f>IF(AU52&gt;9,"SuperStar",IF(AU52&gt;8,"Star",IF(AU52&gt;6.5,"GoodReg",IF(AU52&gt;5,"Reg",IF(AU52&gt;4,"Bench","Minors")))))</f>
        <v>Minors</v>
      </c>
      <c r="AW52" s="245">
        <f>AVERAGE(X52,Z52,AA52)+IF(OR(X52&gt;7,AND(X52&gt;5,AA52&gt;5)),0.5,0)+IF(Z52&gt;7,0.25,0)+IF(X52&lt;6,-0.5*(6-X52),0)</f>
        <v>3.333333333333333</v>
      </c>
      <c r="AX52" s="245" t="str">
        <f>IF(AW52&gt;9,"SuperStar",IF(AW52&gt;8,"Star",IF(AW52&gt;6.5,"GoodReg",IF(AW52&gt;5,"Reg",IF(AW52&gt;4,"Bench","Minors")))))</f>
        <v>Minors</v>
      </c>
      <c r="AY52" s="246">
        <f>MIN(AU52+(MAX(0,25-L52))^1.5,AW52)</f>
        <v>3.333333333333333</v>
      </c>
      <c r="AZ52" s="246" t="str">
        <f>IF(AY52&gt;9,"SuperStar",IF(AY52&gt;8,"Star",IF(AY52&gt;6.5,"GoodReg",IF(AY52&gt;5,"Reg",IF(AY52&gt;4,"Bench","Minors")))))</f>
        <v>Minors</v>
      </c>
      <c r="BA52" s="247">
        <f>IF(AND(OR(S52+V52&gt;12,AND(S52&gt;6,V52&gt;6)),AO52&gt;6,OR(AP52&gt;=AO52,AP52&gt;6)),1,0)</f>
        <v>0</v>
      </c>
      <c r="BB52" s="248">
        <f>IF(OR(AND(S52&gt;6,W52&gt;6),S52+V52&gt;12),1,0)</f>
        <v>0</v>
      </c>
      <c r="BC52" s="248">
        <f>IF(AND(S52&gt;6,U52&gt;6,V52&gt;6),1,0)</f>
        <v>0</v>
      </c>
      <c r="BD52" s="248">
        <f>IF(AND(U52&gt;7,OR(S52&gt;6,V52&gt;6)),1,0)</f>
        <v>0</v>
      </c>
      <c r="BE52" s="248">
        <f>IF(AND(U52&gt;6,OR(S52&gt;6,V52&gt;6)),1,0)</f>
        <v>0</v>
      </c>
      <c r="BF52" s="248">
        <f>IF(AND(OR(S52&gt;6,U52&gt;6),OR(S52&gt;6,V52&gt;6)),1,0)</f>
        <v>0</v>
      </c>
      <c r="BG52" s="248">
        <f>IF(AND(S52&gt;4,OR(S52&gt;6,U52&gt;6,V52&gt;6)),1,0)</f>
        <v>0</v>
      </c>
      <c r="BH52" s="248">
        <f>IF(AND(S52&gt;4,OR(S52&gt;6,T52&gt;6,U52&gt;6,V52&gt;6)),1,0)</f>
        <v>0</v>
      </c>
      <c r="BI52" s="243">
        <f>IF(AND(S52&gt;4,MAX(S52:W52)&gt;6),1,0)</f>
        <v>0</v>
      </c>
      <c r="BJ52" s="247">
        <f>IF(AND(OR(X52+AA52&gt;12,AND(X52&gt;6,AA52&gt;6)),AO52&gt;6,OR(AP52&gt;=AO52,AP52&gt;6)),1,0)</f>
        <v>0</v>
      </c>
      <c r="BK52" s="248">
        <f>IF(OR(AND(X52&gt;6,AB52&gt;6),X52+AA52&gt;12),1,0)</f>
        <v>0</v>
      </c>
      <c r="BL52" s="248">
        <f>IF(AND(X52&gt;6,Z52&gt;6,AA52&gt;6),1,0)</f>
        <v>0</v>
      </c>
      <c r="BM52" s="248">
        <f>IF(AND(Z52&gt;7,OR(X52&gt;6,AA52&gt;6)),1,0)</f>
        <v>0</v>
      </c>
      <c r="BN52" s="248">
        <f>IF(AND(Z52&gt;6,OR(X52&gt;6,AA52&gt;6)),1,0)</f>
        <v>0</v>
      </c>
      <c r="BO52" s="248">
        <f>IF(AND(OR(X52&gt;6,Z52&gt;6),OR(X52&gt;6,AA52&gt;6)),1,0)</f>
        <v>0</v>
      </c>
      <c r="BP52" s="248">
        <f>IF(AND(X52&gt;4,OR(X52&gt;6,Z52&gt;6,AA52&gt;6)),1,0)</f>
        <v>0</v>
      </c>
      <c r="BQ52" s="248">
        <f>IF(AND(X52&gt;4,OR(X52&gt;6,Y52&gt;6,Z52&gt;6,AA52&gt;6)),1,0)</f>
        <v>0</v>
      </c>
      <c r="BR52" s="243">
        <f>IF(AND(X52&gt;4,MAX(X52:AB52)&gt;6),1,0)</f>
        <v>0</v>
      </c>
      <c r="BS52" s="243">
        <f>IF(AVERAGE(AO52:AP52)&gt;9,1,0)+IF(AVERAGE(AO52:AP52)&gt;7,1,0)+IF(AO52&gt;7,1,0)+IF(AP52&gt;7,1,0)+IF(AQ52&gt;8,1,0)+IF(AQ52&gt;6,1,0)</f>
        <v>3</v>
      </c>
      <c r="BT52" s="249">
        <f>IF(OR(MAX(AG52,AH52,AL52,AN52)&gt;6,MAX(AI52,AJ52,AK52,AM52)&gt;7),2,IF(MAX(AG52:AN52)&gt;4,1,0))</f>
        <v>1</v>
      </c>
      <c r="BU52" s="242" t="str">
        <f>IF(AS52=1,"Yes","")</f>
        <v/>
      </c>
      <c r="BV52" s="241" t="str">
        <f>IF($B52="ML","There",IF(AND($X52&gt;=6,AVERAGE($Z52:$AA52)&gt;=6),"Likely",IF(OR($X52&gt;6,AND($X52=6,AVERAGE($Z52:$AA52)&gt;=3),AND($X52&gt;=5,AVERAGE($Z52:$AA52)&gt;=5),AVERAGE($X52,$Z52:$AA52)&gt;5),"Possible","Unlikely")))</f>
        <v>Unlikely</v>
      </c>
      <c r="BW52" s="242" t="str">
        <f>IF(OR(AND(S52&gt;=6,U52+V52&gt;=12),S52&gt;7),"Start",IF(AND(S52&gt;=5,U52+V52&gt;=8),"Bench","aack!"))</f>
        <v>aack!</v>
      </c>
      <c r="BX52" s="242" t="str">
        <f>IF(OR(AND(X52&gt;=6,Z52+AA52&gt;=12),X52&gt;7),"Start",IF(AND(X52&gt;=5,Z52+AA52&gt;=8),"Bench","aack!"))</f>
        <v>aack!</v>
      </c>
      <c r="BY52" s="242" t="str">
        <f>IF(S52&gt;5,"ML",IF(S52=5,"AAA",IF(S52=4,"AA",IF(S52=3,"A","SS-A"))))</f>
        <v>AA</v>
      </c>
      <c r="BZ52" s="242">
        <f>S52-X52</f>
        <v>0</v>
      </c>
      <c r="CA52" s="242">
        <f>T52-Y52</f>
        <v>0</v>
      </c>
      <c r="CB52" s="242">
        <f>U52-Z52</f>
        <v>0</v>
      </c>
      <c r="CC52" s="242">
        <f>V52-AA52</f>
        <v>0</v>
      </c>
      <c r="CD52" s="242">
        <f>W52-AB52</f>
        <v>0</v>
      </c>
      <c r="CE52" s="242">
        <f>SUM(BZ52:CD52)</f>
        <v>0</v>
      </c>
      <c r="CF52" s="242">
        <f>X52+Z52+AA52</f>
        <v>13</v>
      </c>
      <c r="CG52" s="242">
        <f>X52+Z52</f>
        <v>8</v>
      </c>
      <c r="CH52" s="242">
        <f>X52+AA52</f>
        <v>9</v>
      </c>
      <c r="CI52" s="242" t="str">
        <f>IF(L52&gt;24,"Now - Age",IF(S52&gt;6,"Now",IF(X52&lt;6,"With Dev",MIN(X52-S52,7-S52))))</f>
        <v>Now - Age</v>
      </c>
      <c r="CJ52" s="257" t="str">
        <f>IF(AG52&lt;&gt;"-","X","")</f>
        <v/>
      </c>
      <c r="CK52" s="257" t="str">
        <f>IF(AND(AH52&lt;&gt;"-",AH52&gt;5),"X","")</f>
        <v/>
      </c>
      <c r="CL52" s="257" t="str">
        <f>IF(AND(AI52&lt;&gt;"-",AI52&gt;5),"X","")</f>
        <v/>
      </c>
      <c r="CM52" s="257" t="str">
        <f>IF(AND(AJ52&lt;&gt;"-",AJ52&gt;4,AC52&gt;6),"X","")</f>
        <v/>
      </c>
      <c r="CN52" s="257" t="str">
        <f>IF(AND(AK52&lt;&gt;"-",AK52&gt;5,AC52&gt;5),"X","")</f>
        <v/>
      </c>
      <c r="CO52" s="257" t="str">
        <f>IF(AND(AL52&lt;&gt;"-",AL52&gt;3),"X","")</f>
        <v>X</v>
      </c>
      <c r="CP52" s="257" t="str">
        <f>IF(AND(AM52&lt;&gt;"-",AM52&gt;6),"X","")</f>
        <v/>
      </c>
      <c r="CQ52" s="257" t="str">
        <f>IF(AND(AN52&lt;&gt;"-",AN52&gt;5,AD52&gt;6),"X","")</f>
        <v/>
      </c>
      <c r="CR52" s="257" t="str">
        <f>IF(COUNTBLANK(CJ52:CQ52)=8,"X","")</f>
        <v/>
      </c>
    </row>
    <row r="53" spans="1:96" s="306" customFormat="1" x14ac:dyDescent="0.25">
      <c r="A53" s="240" t="str">
        <f>H53&amp;" "&amp;I53</f>
        <v>Jeremy Hill</v>
      </c>
      <c r="B53" s="240" t="str">
        <f>IF(ISERROR(VLOOKUP(A53,AMA!$C$3:$C$24,1,FALSE)),IF(ISERROR(VLOOKUP(A53,'END-AAA'!$C$6:$C$33,1,FALSE)),IF(ISERROR(VLOOKUP(A53,'DB-AA'!$C$6:$C$33,1,FALSE)),IF(ISERROR(VLOOKUP(A53,'UTR-A'!$C$6:$C$33,1,FALSE)),IF(ISERROR(VLOOKUP(A53,'FAI-S A'!$C$6:$C$33,1,FALSE)),"","S A"),"A"),"AA"),"AAA"),"ML")</f>
        <v/>
      </c>
      <c r="C53" s="241"/>
      <c r="D53" s="242" t="str">
        <f>IF(BL53=1,3,IF(BM53=1,4,IF(BJ53=1,1,IF(BN53=1,5,IF(BK53=1,2,IF(BO53=1,6,IF(BP53=1,7,IF(BQ53=1,8,IF(BR53=1,9,"-")))))))))</f>
        <v>-</v>
      </c>
      <c r="E53" s="242" t="str">
        <f>IF(BC53=1,3,IF(BD53=1,4,IF(BA53=1,1,IF(BE53=1,5,IF(BB53=1,2,IF(BF53=1,6,IF(BG53=1,7,IF(BH53=1,8,IF(BI53=1,9,"-")))))))))</f>
        <v>-</v>
      </c>
      <c r="F53" s="242" t="str">
        <f>IF(OR(OR(Q53="Very High",Q53="High"),AND(OR(Q53="Very High",Q53="High",Q53="Normal"),OR(R53="Very High",R53="High"))),"K","T")</f>
        <v>K</v>
      </c>
      <c r="G53" s="242" t="s">
        <v>78</v>
      </c>
      <c r="H53" s="242" t="s">
        <v>712</v>
      </c>
      <c r="I53" s="242" t="s">
        <v>489</v>
      </c>
      <c r="J53" s="242" t="s">
        <v>769</v>
      </c>
      <c r="K53" s="242" t="s">
        <v>186</v>
      </c>
      <c r="L53" s="242">
        <v>30</v>
      </c>
      <c r="M53" s="242" t="s">
        <v>83</v>
      </c>
      <c r="N53" s="242" t="s">
        <v>83</v>
      </c>
      <c r="O53" s="242" t="s">
        <v>773</v>
      </c>
      <c r="P53" s="243" t="s">
        <v>773</v>
      </c>
      <c r="Q53" s="242" t="s">
        <v>200</v>
      </c>
      <c r="R53" s="243" t="s">
        <v>199</v>
      </c>
      <c r="S53" s="242">
        <v>4</v>
      </c>
      <c r="T53" s="242">
        <v>4</v>
      </c>
      <c r="U53" s="242">
        <v>2</v>
      </c>
      <c r="V53" s="242">
        <v>7</v>
      </c>
      <c r="W53" s="243">
        <v>10</v>
      </c>
      <c r="X53" s="242">
        <v>4</v>
      </c>
      <c r="Y53" s="242">
        <v>4</v>
      </c>
      <c r="Z53" s="242">
        <v>2</v>
      </c>
      <c r="AA53" s="242">
        <v>7</v>
      </c>
      <c r="AB53" s="243">
        <v>10</v>
      </c>
      <c r="AC53" s="242">
        <v>1</v>
      </c>
      <c r="AD53" s="242">
        <v>9</v>
      </c>
      <c r="AE53" s="242">
        <v>1</v>
      </c>
      <c r="AF53" s="242" t="s">
        <v>32</v>
      </c>
      <c r="AG53" s="242" t="s">
        <v>32</v>
      </c>
      <c r="AH53" s="242" t="s">
        <v>32</v>
      </c>
      <c r="AI53" s="242" t="s">
        <v>32</v>
      </c>
      <c r="AJ53" s="242" t="s">
        <v>32</v>
      </c>
      <c r="AK53" s="242" t="s">
        <v>32</v>
      </c>
      <c r="AL53" s="242">
        <v>7</v>
      </c>
      <c r="AM53" s="242">
        <v>9</v>
      </c>
      <c r="AN53" s="243">
        <v>9</v>
      </c>
      <c r="AO53" s="242">
        <v>7</v>
      </c>
      <c r="AP53" s="242">
        <v>10</v>
      </c>
      <c r="AQ53" s="243">
        <v>10</v>
      </c>
      <c r="AR53" s="244" t="s">
        <v>32</v>
      </c>
      <c r="AS53" s="243" t="s">
        <v>33</v>
      </c>
      <c r="AT53" s="248" t="s">
        <v>779</v>
      </c>
      <c r="AU5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3.333333333333333</v>
      </c>
      <c r="AV53" s="246" t="str">
        <f>IF(AU53&gt;9,"SuperStar",IF(AU53&gt;8,"Star",IF(AU53&gt;6.5,"GoodReg",IF(AU53&gt;5,"Reg",IF(AU53&gt;4,"Bench","Minors")))))</f>
        <v>Minors</v>
      </c>
      <c r="AW53" s="245">
        <f>AVERAGE(X53,Z53,AA53)+IF(OR(X53&gt;7,AND(X53&gt;5,AA53&gt;5)),0.5,0)+IF(Z53&gt;7,0.25,0)+IF(X53&lt;6,-0.5*(6-X53),0)</f>
        <v>3.333333333333333</v>
      </c>
      <c r="AX53" s="245" t="str">
        <f>IF(AW53&gt;9,"SuperStar",IF(AW53&gt;8,"Star",IF(AW53&gt;6.5,"GoodReg",IF(AW53&gt;5,"Reg",IF(AW53&gt;4,"Bench","Minors")))))</f>
        <v>Minors</v>
      </c>
      <c r="AY53" s="246">
        <f>MIN(AU53+(MAX(0,25-L53))^1.5,AW53)</f>
        <v>3.333333333333333</v>
      </c>
      <c r="AZ53" s="246" t="str">
        <f>IF(AY53&gt;9,"SuperStar",IF(AY53&gt;8,"Star",IF(AY53&gt;6.5,"GoodReg",IF(AY53&gt;5,"Reg",IF(AY53&gt;4,"Bench","Minors")))))</f>
        <v>Minors</v>
      </c>
      <c r="BA53" s="247">
        <f>IF(AND(OR(S53+V53&gt;12,AND(S53&gt;6,V53&gt;6)),AO53&gt;6,OR(AP53&gt;=AO53,AP53&gt;6)),1,0)</f>
        <v>0</v>
      </c>
      <c r="BB53" s="248">
        <f>IF(OR(AND(S53&gt;6,W53&gt;6),S53+V53&gt;12),1,0)</f>
        <v>0</v>
      </c>
      <c r="BC53" s="248">
        <f>IF(AND(S53&gt;6,U53&gt;6,V53&gt;6),1,0)</f>
        <v>0</v>
      </c>
      <c r="BD53" s="248">
        <f>IF(AND(U53&gt;7,OR(S53&gt;6,V53&gt;6)),1,0)</f>
        <v>0</v>
      </c>
      <c r="BE53" s="248">
        <f>IF(AND(U53&gt;6,OR(S53&gt;6,V53&gt;6)),1,0)</f>
        <v>0</v>
      </c>
      <c r="BF53" s="248">
        <f>IF(AND(OR(S53&gt;6,U53&gt;6),OR(S53&gt;6,V53&gt;6)),1,0)</f>
        <v>0</v>
      </c>
      <c r="BG53" s="248">
        <f>IF(AND(S53&gt;4,OR(S53&gt;6,U53&gt;6,V53&gt;6)),1,0)</f>
        <v>0</v>
      </c>
      <c r="BH53" s="248">
        <f>IF(AND(S53&gt;4,OR(S53&gt;6,T53&gt;6,U53&gt;6,V53&gt;6)),1,0)</f>
        <v>0</v>
      </c>
      <c r="BI53" s="243">
        <f>IF(AND(S53&gt;4,MAX(S53:W53)&gt;6),1,0)</f>
        <v>0</v>
      </c>
      <c r="BJ53" s="247">
        <f>IF(AND(OR(X53+AA53&gt;12,AND(X53&gt;6,AA53&gt;6)),AO53&gt;6,OR(AP53&gt;=AO53,AP53&gt;6)),1,0)</f>
        <v>0</v>
      </c>
      <c r="BK53" s="248">
        <f>IF(OR(AND(X53&gt;6,AB53&gt;6),X53+AA53&gt;12),1,0)</f>
        <v>0</v>
      </c>
      <c r="BL53" s="248">
        <f>IF(AND(X53&gt;6,Z53&gt;6,AA53&gt;6),1,0)</f>
        <v>0</v>
      </c>
      <c r="BM53" s="248">
        <f>IF(AND(Z53&gt;7,OR(X53&gt;6,AA53&gt;6)),1,0)</f>
        <v>0</v>
      </c>
      <c r="BN53" s="248">
        <f>IF(AND(Z53&gt;6,OR(X53&gt;6,AA53&gt;6)),1,0)</f>
        <v>0</v>
      </c>
      <c r="BO53" s="248">
        <f>IF(AND(OR(X53&gt;6,Z53&gt;6),OR(X53&gt;6,AA53&gt;6)),1,0)</f>
        <v>0</v>
      </c>
      <c r="BP53" s="248">
        <f>IF(AND(X53&gt;4,OR(X53&gt;6,Z53&gt;6,AA53&gt;6)),1,0)</f>
        <v>0</v>
      </c>
      <c r="BQ53" s="248">
        <f>IF(AND(X53&gt;4,OR(X53&gt;6,Y53&gt;6,Z53&gt;6,AA53&gt;6)),1,0)</f>
        <v>0</v>
      </c>
      <c r="BR53" s="243">
        <f>IF(AND(X53&gt;4,MAX(X53:AB53)&gt;6),1,0)</f>
        <v>0</v>
      </c>
      <c r="BS53" s="243">
        <f>IF(AVERAGE(AO53:AP53)&gt;9,1,0)+IF(AVERAGE(AO53:AP53)&gt;7,1,0)+IF(AO53&gt;7,1,0)+IF(AP53&gt;7,1,0)+IF(AQ53&gt;8,1,0)+IF(AQ53&gt;6,1,0)</f>
        <v>4</v>
      </c>
      <c r="BT53" s="249">
        <f>IF(OR(MAX(AG53,AH53,AL53,AN53)&gt;6,MAX(AI53,AJ53,AK53,AM53)&gt;7),2,IF(MAX(AG53:AN53)&gt;4,1,0))</f>
        <v>2</v>
      </c>
      <c r="BU53" s="242" t="str">
        <f>IF(AS53=1,"Yes","")</f>
        <v/>
      </c>
      <c r="BV53" s="241" t="str">
        <f>IF($B53="ML","There",IF(AND($X53&gt;=6,AVERAGE($Z53:$AA53)&gt;=6),"Likely",IF(OR($X53&gt;6,AND($X53=6,AVERAGE($Z53:$AA53)&gt;=3),AND($X53&gt;=5,AVERAGE($Z53:$AA53)&gt;=5),AVERAGE($X53,$Z53:$AA53)&gt;5),"Possible","Unlikely")))</f>
        <v>Unlikely</v>
      </c>
      <c r="BW53" s="242" t="str">
        <f>IF(OR(AND(S53&gt;=6,U53+V53&gt;=12),S53&gt;7),"Start",IF(AND(S53&gt;=5,U53+V53&gt;=8),"Bench","aack!"))</f>
        <v>aack!</v>
      </c>
      <c r="BX53" s="242" t="str">
        <f>IF(OR(AND(X53&gt;=6,Z53+AA53&gt;=12),X53&gt;7),"Start",IF(AND(X53&gt;=5,Z53+AA53&gt;=8),"Bench","aack!"))</f>
        <v>aack!</v>
      </c>
      <c r="BY53" s="242" t="str">
        <f>IF(S53&gt;5,"ML",IF(S53=5,"AAA",IF(S53=4,"AA",IF(S53=3,"A","SS-A"))))</f>
        <v>AA</v>
      </c>
      <c r="BZ53" s="242">
        <f>S53-X53</f>
        <v>0</v>
      </c>
      <c r="CA53" s="242">
        <f>T53-Y53</f>
        <v>0</v>
      </c>
      <c r="CB53" s="242">
        <f>U53-Z53</f>
        <v>0</v>
      </c>
      <c r="CC53" s="242">
        <f>V53-AA53</f>
        <v>0</v>
      </c>
      <c r="CD53" s="242">
        <f>W53-AB53</f>
        <v>0</v>
      </c>
      <c r="CE53" s="242">
        <f>SUM(BZ53:CD53)</f>
        <v>0</v>
      </c>
      <c r="CF53" s="242">
        <f>X53+Z53+AA53</f>
        <v>13</v>
      </c>
      <c r="CG53" s="242">
        <f>X53+Z53</f>
        <v>6</v>
      </c>
      <c r="CH53" s="242">
        <f>X53+AA53</f>
        <v>11</v>
      </c>
      <c r="CI53" s="242" t="str">
        <f>IF(L53&gt;24,"Now - Age",IF(S53&gt;6,"Now",IF(X53&lt;6,"With Dev",MIN(X53-S53,7-S53))))</f>
        <v>Now - Age</v>
      </c>
      <c r="CJ53" s="257" t="str">
        <f>IF(AG53&lt;&gt;"-","X","")</f>
        <v/>
      </c>
      <c r="CK53" s="257" t="str">
        <f>IF(AND(AH53&lt;&gt;"-",AH53&gt;5),"X","")</f>
        <v/>
      </c>
      <c r="CL53" s="257" t="str">
        <f>IF(AND(AI53&lt;&gt;"-",AI53&gt;5),"X","")</f>
        <v/>
      </c>
      <c r="CM53" s="257" t="str">
        <f>IF(AND(AJ53&lt;&gt;"-",AJ53&gt;4,AC53&gt;6),"X","")</f>
        <v/>
      </c>
      <c r="CN53" s="257" t="str">
        <f>IF(AND(AK53&lt;&gt;"-",AK53&gt;5,AC53&gt;5),"X","")</f>
        <v/>
      </c>
      <c r="CO53" s="257" t="str">
        <f>IF(AND(AL53&lt;&gt;"-",AL53&gt;3),"X","")</f>
        <v>X</v>
      </c>
      <c r="CP53" s="257" t="str">
        <f>IF(AND(AM53&lt;&gt;"-",AM53&gt;6),"X","")</f>
        <v>X</v>
      </c>
      <c r="CQ53" s="257" t="str">
        <f>IF(AND(AN53&lt;&gt;"-",AN53&gt;5,AD53&gt;6),"X","")</f>
        <v>X</v>
      </c>
      <c r="CR53" s="257" t="str">
        <f>IF(COUNTBLANK(CJ53:CQ53)=8,"X","")</f>
        <v/>
      </c>
    </row>
    <row r="54" spans="1:96" s="306" customFormat="1" x14ac:dyDescent="0.25">
      <c r="A54" s="240" t="str">
        <f>H54&amp;" "&amp;I54</f>
        <v>Jung-soo Kim</v>
      </c>
      <c r="B54" s="240" t="str">
        <f>IF(ISERROR(VLOOKUP(A54,AMA!$C$3:$C$24,1,FALSE)),IF(ISERROR(VLOOKUP(A54,'END-AAA'!$C$6:$C$33,1,FALSE)),IF(ISERROR(VLOOKUP(A54,'DB-AA'!$C$6:$C$33,1,FALSE)),IF(ISERROR(VLOOKUP(A54,'UTR-A'!$C$6:$C$33,1,FALSE)),IF(ISERROR(VLOOKUP(A54,'FAI-S A'!$C$6:$C$33,1,FALSE)),"","S A"),"A"),"AA"),"AAA"),"ML")</f>
        <v/>
      </c>
      <c r="C54" s="241"/>
      <c r="D54" s="242" t="str">
        <f>IF(BL54=1,3,IF(BM54=1,4,IF(BJ54=1,1,IF(BN54=1,5,IF(BK54=1,2,IF(BO54=1,6,IF(BP54=1,7,IF(BQ54=1,8,IF(BR54=1,9,"-")))))))))</f>
        <v>-</v>
      </c>
      <c r="E54" s="242" t="str">
        <f>IF(BC54=1,3,IF(BD54=1,4,IF(BA54=1,1,IF(BE54=1,5,IF(BB54=1,2,IF(BF54=1,6,IF(BG54=1,7,IF(BH54=1,8,IF(BI54=1,9,"-")))))))))</f>
        <v>-</v>
      </c>
      <c r="F54" s="242" t="str">
        <f>IF(OR(OR(Q54="Very High",Q54="High"),AND(OR(Q54="Very High",Q54="High",Q54="Normal"),OR(R54="Very High",R54="High"))),"K","T")</f>
        <v>T</v>
      </c>
      <c r="G54" s="242" t="s">
        <v>74</v>
      </c>
      <c r="H54" s="242" t="s">
        <v>819</v>
      </c>
      <c r="I54" s="242" t="s">
        <v>426</v>
      </c>
      <c r="J54" s="242" t="s">
        <v>814</v>
      </c>
      <c r="K54" s="242" t="s">
        <v>187</v>
      </c>
      <c r="L54" s="242">
        <v>23</v>
      </c>
      <c r="M54" s="242" t="s">
        <v>83</v>
      </c>
      <c r="N54" s="242" t="s">
        <v>83</v>
      </c>
      <c r="O54" s="242" t="s">
        <v>808</v>
      </c>
      <c r="P54" s="243" t="s">
        <v>764</v>
      </c>
      <c r="Q54" s="242" t="s">
        <v>201</v>
      </c>
      <c r="R54" s="243" t="s">
        <v>200</v>
      </c>
      <c r="S54" s="242">
        <v>4</v>
      </c>
      <c r="T54" s="242">
        <v>5</v>
      </c>
      <c r="U54" s="242">
        <v>3</v>
      </c>
      <c r="V54" s="242">
        <v>5</v>
      </c>
      <c r="W54" s="243">
        <v>4</v>
      </c>
      <c r="X54" s="242">
        <v>5</v>
      </c>
      <c r="Y54" s="242">
        <v>5</v>
      </c>
      <c r="Z54" s="242">
        <v>3</v>
      </c>
      <c r="AA54" s="242">
        <v>6</v>
      </c>
      <c r="AB54" s="243">
        <v>5</v>
      </c>
      <c r="AC54" s="242">
        <v>5</v>
      </c>
      <c r="AD54" s="242">
        <v>3</v>
      </c>
      <c r="AE54" s="242">
        <v>1</v>
      </c>
      <c r="AF54" s="242" t="s">
        <v>32</v>
      </c>
      <c r="AG54" s="242" t="s">
        <v>32</v>
      </c>
      <c r="AH54" s="242" t="s">
        <v>32</v>
      </c>
      <c r="AI54" s="242">
        <v>6</v>
      </c>
      <c r="AJ54" s="242" t="s">
        <v>32</v>
      </c>
      <c r="AK54" s="242">
        <v>5</v>
      </c>
      <c r="AL54" s="242" t="s">
        <v>32</v>
      </c>
      <c r="AM54" s="242" t="s">
        <v>32</v>
      </c>
      <c r="AN54" s="243" t="s">
        <v>32</v>
      </c>
      <c r="AO54" s="242">
        <v>8</v>
      </c>
      <c r="AP54" s="242">
        <v>7</v>
      </c>
      <c r="AQ54" s="243">
        <v>4</v>
      </c>
      <c r="AR54" s="244" t="s">
        <v>32</v>
      </c>
      <c r="AS54" s="243" t="s">
        <v>33</v>
      </c>
      <c r="AT54" s="248" t="s">
        <v>779</v>
      </c>
      <c r="AU54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</v>
      </c>
      <c r="AV54" s="246" t="str">
        <f>IF(AU54&gt;9,"SuperStar",IF(AU54&gt;8,"Star",IF(AU54&gt;6.5,"GoodReg",IF(AU54&gt;5,"Reg",IF(AU54&gt;4,"Bench","Minors")))))</f>
        <v>Minors</v>
      </c>
      <c r="AW54" s="245">
        <f>AVERAGE(X54,Z54,AA54)+IF(OR(X54&gt;7,AND(X54&gt;5,AA54&gt;5)),0.5,0)+IF(Z54&gt;7,0.25,0)+IF(X54&lt;6,-0.5*(6-X54),0)</f>
        <v>4.166666666666667</v>
      </c>
      <c r="AX54" s="245" t="str">
        <f>IF(AW54&gt;9,"SuperStar",IF(AW54&gt;8,"Star",IF(AW54&gt;6.5,"GoodReg",IF(AW54&gt;5,"Reg",IF(AW54&gt;4,"Bench","Minors")))))</f>
        <v>Bench</v>
      </c>
      <c r="AY54" s="246">
        <f>MIN(AU54+(MAX(0,25-L54))^1.5,AW54)</f>
        <v>4.166666666666667</v>
      </c>
      <c r="AZ54" s="246" t="str">
        <f>IF(AY54&gt;9,"SuperStar",IF(AY54&gt;8,"Star",IF(AY54&gt;6.5,"GoodReg",IF(AY54&gt;5,"Reg",IF(AY54&gt;4,"Bench","Minors")))))</f>
        <v>Bench</v>
      </c>
      <c r="BA54" s="247">
        <f>IF(AND(OR(S54+V54&gt;12,AND(S54&gt;6,V54&gt;6)),AO54&gt;6,OR(AP54&gt;=AO54,AP54&gt;6)),1,0)</f>
        <v>0</v>
      </c>
      <c r="BB54" s="248">
        <f>IF(OR(AND(S54&gt;6,W54&gt;6),S54+V54&gt;12),1,0)</f>
        <v>0</v>
      </c>
      <c r="BC54" s="248">
        <f>IF(AND(S54&gt;6,U54&gt;6,V54&gt;6),1,0)</f>
        <v>0</v>
      </c>
      <c r="BD54" s="248">
        <f>IF(AND(U54&gt;7,OR(S54&gt;6,V54&gt;6)),1,0)</f>
        <v>0</v>
      </c>
      <c r="BE54" s="248">
        <f>IF(AND(U54&gt;6,OR(S54&gt;6,V54&gt;6)),1,0)</f>
        <v>0</v>
      </c>
      <c r="BF54" s="248">
        <f>IF(AND(OR(S54&gt;6,U54&gt;6),OR(S54&gt;6,V54&gt;6)),1,0)</f>
        <v>0</v>
      </c>
      <c r="BG54" s="248">
        <f>IF(AND(S54&gt;4,OR(S54&gt;6,U54&gt;6,V54&gt;6)),1,0)</f>
        <v>0</v>
      </c>
      <c r="BH54" s="248">
        <f>IF(AND(S54&gt;4,OR(S54&gt;6,T54&gt;6,U54&gt;6,V54&gt;6)),1,0)</f>
        <v>0</v>
      </c>
      <c r="BI54" s="243">
        <f>IF(AND(S54&gt;4,MAX(S54:W54)&gt;6),1,0)</f>
        <v>0</v>
      </c>
      <c r="BJ54" s="247">
        <f>IF(AND(OR(X54+AA54&gt;12,AND(X54&gt;6,AA54&gt;6)),AO54&gt;6,OR(AP54&gt;=AO54,AP54&gt;6)),1,0)</f>
        <v>0</v>
      </c>
      <c r="BK54" s="248">
        <f>IF(OR(AND(X54&gt;6,AB54&gt;6),X54+AA54&gt;12),1,0)</f>
        <v>0</v>
      </c>
      <c r="BL54" s="248">
        <f>IF(AND(X54&gt;6,Z54&gt;6,AA54&gt;6),1,0)</f>
        <v>0</v>
      </c>
      <c r="BM54" s="248">
        <f>IF(AND(Z54&gt;7,OR(X54&gt;6,AA54&gt;6)),1,0)</f>
        <v>0</v>
      </c>
      <c r="BN54" s="248">
        <f>IF(AND(Z54&gt;6,OR(X54&gt;6,AA54&gt;6)),1,0)</f>
        <v>0</v>
      </c>
      <c r="BO54" s="248">
        <f>IF(AND(OR(X54&gt;6,Z54&gt;6),OR(X54&gt;6,AA54&gt;6)),1,0)</f>
        <v>0</v>
      </c>
      <c r="BP54" s="248">
        <f>IF(AND(X54&gt;4,OR(X54&gt;6,Z54&gt;6,AA54&gt;6)),1,0)</f>
        <v>0</v>
      </c>
      <c r="BQ54" s="248">
        <f>IF(AND(X54&gt;4,OR(X54&gt;6,Y54&gt;6,Z54&gt;6,AA54&gt;6)),1,0)</f>
        <v>0</v>
      </c>
      <c r="BR54" s="243">
        <f>IF(AND(X54&gt;4,MAX(X54:AB54)&gt;6),1,0)</f>
        <v>0</v>
      </c>
      <c r="BS54" s="243">
        <f>IF(AVERAGE(AO54:AP54)&gt;9,1,0)+IF(AVERAGE(AO54:AP54)&gt;7,1,0)+IF(AO54&gt;7,1,0)+IF(AP54&gt;7,1,0)+IF(AQ54&gt;8,1,0)+IF(AQ54&gt;6,1,0)</f>
        <v>2</v>
      </c>
      <c r="BT54" s="249">
        <f>IF(OR(MAX(AG54,AH54,AL54,AN54)&gt;6,MAX(AI54,AJ54,AK54,AM54)&gt;7),2,IF(MAX(AG54:AN54)&gt;4,1,0))</f>
        <v>1</v>
      </c>
      <c r="BU54" s="242" t="str">
        <f>IF(AS54=1,"Yes","")</f>
        <v/>
      </c>
      <c r="BV54" s="241" t="str">
        <f>IF($B54="ML","There",IF(AND($X54&gt;=6,AVERAGE($Z54:$AA54)&gt;=6),"Likely",IF(OR($X54&gt;6,AND($X54=6,AVERAGE($Z54:$AA54)&gt;=3),AND($X54&gt;=5,AVERAGE($Z54:$AA54)&gt;=5),AVERAGE($X54,$Z54:$AA54)&gt;5),"Possible","Unlikely")))</f>
        <v>Unlikely</v>
      </c>
      <c r="BW54" s="242" t="str">
        <f>IF(OR(AND(S54&gt;=6,U54+V54&gt;=12),S54&gt;7),"Start",IF(AND(S54&gt;=5,U54+V54&gt;=8),"Bench","aack!"))</f>
        <v>aack!</v>
      </c>
      <c r="BX54" s="242" t="str">
        <f>IF(OR(AND(X54&gt;=6,Z54+AA54&gt;=12),X54&gt;7),"Start",IF(AND(X54&gt;=5,Z54+AA54&gt;=8),"Bench","aack!"))</f>
        <v>Bench</v>
      </c>
      <c r="BY54" s="242" t="str">
        <f>IF(S54&gt;5,"ML",IF(S54=5,"AAA",IF(S54=4,"AA",IF(S54=3,"A","SS-A"))))</f>
        <v>AA</v>
      </c>
      <c r="BZ54" s="242">
        <f>S54-X54</f>
        <v>-1</v>
      </c>
      <c r="CA54" s="242">
        <f>T54-Y54</f>
        <v>0</v>
      </c>
      <c r="CB54" s="242">
        <f>U54-Z54</f>
        <v>0</v>
      </c>
      <c r="CC54" s="242">
        <f>V54-AA54</f>
        <v>-1</v>
      </c>
      <c r="CD54" s="242">
        <f>W54-AB54</f>
        <v>-1</v>
      </c>
      <c r="CE54" s="242">
        <f>SUM(BZ54:CD54)</f>
        <v>-3</v>
      </c>
      <c r="CF54" s="242">
        <f>X54+Z54+AA54</f>
        <v>14</v>
      </c>
      <c r="CG54" s="242">
        <f>X54+Z54</f>
        <v>8</v>
      </c>
      <c r="CH54" s="242">
        <f>X54+AA54</f>
        <v>11</v>
      </c>
      <c r="CI54" s="242" t="str">
        <f>IF(L54&gt;24,"Now - Age",IF(S54&gt;6,"Now",IF(X54&lt;6,"With Dev",MIN(X54-S54,7-S54))))</f>
        <v>With Dev</v>
      </c>
      <c r="CJ54" s="257" t="str">
        <f>IF(AG54&lt;&gt;"-","X","")</f>
        <v/>
      </c>
      <c r="CK54" s="257" t="str">
        <f>IF(AND(AH54&lt;&gt;"-",AH54&gt;5),"X","")</f>
        <v/>
      </c>
      <c r="CL54" s="257" t="str">
        <f>IF(AND(AI54&lt;&gt;"-",AI54&gt;5),"X","")</f>
        <v>X</v>
      </c>
      <c r="CM54" s="257" t="str">
        <f>IF(AND(AJ54&lt;&gt;"-",AJ54&gt;4,AC54&gt;6),"X","")</f>
        <v/>
      </c>
      <c r="CN54" s="257" t="str">
        <f>IF(AND(AK54&lt;&gt;"-",AK54&gt;5,AC54&gt;5),"X","")</f>
        <v/>
      </c>
      <c r="CO54" s="257" t="str">
        <f>IF(AND(AL54&lt;&gt;"-",AL54&gt;3),"X","")</f>
        <v/>
      </c>
      <c r="CP54" s="257" t="str">
        <f>IF(AND(AM54&lt;&gt;"-",AM54&gt;6),"X","")</f>
        <v/>
      </c>
      <c r="CQ54" s="257" t="str">
        <f>IF(AND(AN54&lt;&gt;"-",AN54&gt;5,AD54&gt;6),"X","")</f>
        <v/>
      </c>
      <c r="CR54" s="257" t="str">
        <f>IF(COUNTBLANK(CJ54:CQ54)=8,"X","")</f>
        <v/>
      </c>
    </row>
    <row r="55" spans="1:96" s="306" customFormat="1" x14ac:dyDescent="0.25">
      <c r="A55" s="240" t="str">
        <f>H55&amp;" "&amp;I55</f>
        <v>Alberto Díaz</v>
      </c>
      <c r="B55" s="240" t="str">
        <f>IF(ISERROR(VLOOKUP(A55,AMA!$C$3:$C$24,1,FALSE)),IF(ISERROR(VLOOKUP(A55,'END-AAA'!$C$6:$C$33,1,FALSE)),IF(ISERROR(VLOOKUP(A55,'DB-AA'!$C$6:$C$33,1,FALSE)),IF(ISERROR(VLOOKUP(A55,'UTR-A'!$C$6:$C$33,1,FALSE)),IF(ISERROR(VLOOKUP(A55,'FAI-S A'!$C$6:$C$33,1,FALSE)),"","S A"),"A"),"AA"),"AAA"),"ML")</f>
        <v/>
      </c>
      <c r="C55" s="241"/>
      <c r="D55" s="242" t="str">
        <f>IF(BL55=1,3,IF(BM55=1,4,IF(BJ55=1,1,IF(BN55=1,5,IF(BK55=1,2,IF(BO55=1,6,IF(BP55=1,7,IF(BQ55=1,8,IF(BR55=1,9,"-")))))))))</f>
        <v>-</v>
      </c>
      <c r="E55" s="242" t="str">
        <f>IF(BC55=1,3,IF(BD55=1,4,IF(BA55=1,1,IF(BE55=1,5,IF(BB55=1,2,IF(BF55=1,6,IF(BG55=1,7,IF(BH55=1,8,IF(BI55=1,9,"-")))))))))</f>
        <v>-</v>
      </c>
      <c r="F55" s="242" t="str">
        <f>IF(OR(OR(Q55="Very High",Q55="High"),AND(OR(Q55="Very High",Q55="High",Q55="Normal"),OR(R55="Very High",R55="High"))),"K","T")</f>
        <v>K</v>
      </c>
      <c r="G55" s="242" t="s">
        <v>78</v>
      </c>
      <c r="H55" s="242" t="s">
        <v>443</v>
      </c>
      <c r="I55" s="242" t="s">
        <v>493</v>
      </c>
      <c r="J55" s="242" t="s">
        <v>783</v>
      </c>
      <c r="K55" s="242" t="s">
        <v>185</v>
      </c>
      <c r="L55" s="242">
        <v>31</v>
      </c>
      <c r="M55" s="242" t="s">
        <v>83</v>
      </c>
      <c r="N55" s="242" t="s">
        <v>83</v>
      </c>
      <c r="O55" s="242" t="s">
        <v>773</v>
      </c>
      <c r="P55" s="243" t="s">
        <v>773</v>
      </c>
      <c r="Q55" s="242" t="s">
        <v>200</v>
      </c>
      <c r="R55" s="243" t="s">
        <v>199</v>
      </c>
      <c r="S55" s="242">
        <v>4</v>
      </c>
      <c r="T55" s="242">
        <v>2</v>
      </c>
      <c r="U55" s="242">
        <v>4</v>
      </c>
      <c r="V55" s="242">
        <v>4</v>
      </c>
      <c r="W55" s="243">
        <v>3</v>
      </c>
      <c r="X55" s="242">
        <v>4</v>
      </c>
      <c r="Y55" s="242">
        <v>2</v>
      </c>
      <c r="Z55" s="242">
        <v>4</v>
      </c>
      <c r="AA55" s="242">
        <v>4</v>
      </c>
      <c r="AB55" s="243">
        <v>3</v>
      </c>
      <c r="AC55" s="242">
        <v>1</v>
      </c>
      <c r="AD55" s="242">
        <v>6</v>
      </c>
      <c r="AE55" s="242">
        <v>1</v>
      </c>
      <c r="AF55" s="242" t="s">
        <v>32</v>
      </c>
      <c r="AG55" s="242" t="s">
        <v>32</v>
      </c>
      <c r="AH55" s="242" t="s">
        <v>32</v>
      </c>
      <c r="AI55" s="242" t="s">
        <v>32</v>
      </c>
      <c r="AJ55" s="242" t="s">
        <v>32</v>
      </c>
      <c r="AK55" s="242" t="s">
        <v>32</v>
      </c>
      <c r="AL55" s="242">
        <v>9</v>
      </c>
      <c r="AM55" s="242">
        <v>6</v>
      </c>
      <c r="AN55" s="243" t="s">
        <v>32</v>
      </c>
      <c r="AO55" s="242">
        <v>8</v>
      </c>
      <c r="AP55" s="242">
        <v>10</v>
      </c>
      <c r="AQ55" s="243">
        <v>10</v>
      </c>
      <c r="AR55" s="244" t="s">
        <v>32</v>
      </c>
      <c r="AS55" s="243" t="s">
        <v>33</v>
      </c>
      <c r="AT55" s="248" t="s">
        <v>199</v>
      </c>
      <c r="AU55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3</v>
      </c>
      <c r="AV55" s="246" t="str">
        <f>IF(AU55&gt;9,"SuperStar",IF(AU55&gt;8,"Star",IF(AU55&gt;6.5,"GoodReg",IF(AU55&gt;5,"Reg",IF(AU55&gt;4,"Bench","Minors")))))</f>
        <v>Minors</v>
      </c>
      <c r="AW55" s="245">
        <f>AVERAGE(X55,Z55,AA55)+IF(OR(X55&gt;7,AND(X55&gt;5,AA55&gt;5)),0.5,0)+IF(Z55&gt;7,0.25,0)+IF(X55&lt;6,-0.5*(6-X55),0)</f>
        <v>3</v>
      </c>
      <c r="AX55" s="245" t="str">
        <f>IF(AW55&gt;9,"SuperStar",IF(AW55&gt;8,"Star",IF(AW55&gt;6.5,"GoodReg",IF(AW55&gt;5,"Reg",IF(AW55&gt;4,"Bench","Minors")))))</f>
        <v>Minors</v>
      </c>
      <c r="AY55" s="246">
        <f>MIN(AU55+(MAX(0,25-L55))^1.5,AW55)</f>
        <v>3</v>
      </c>
      <c r="AZ55" s="246" t="str">
        <f>IF(AY55&gt;9,"SuperStar",IF(AY55&gt;8,"Star",IF(AY55&gt;6.5,"GoodReg",IF(AY55&gt;5,"Reg",IF(AY55&gt;4,"Bench","Minors")))))</f>
        <v>Minors</v>
      </c>
      <c r="BA55" s="247">
        <f>IF(AND(OR(S55+V55&gt;12,AND(S55&gt;6,V55&gt;6)),AO55&gt;6,OR(AP55&gt;=AO55,AP55&gt;6)),1,0)</f>
        <v>0</v>
      </c>
      <c r="BB55" s="248">
        <f>IF(OR(AND(S55&gt;6,W55&gt;6),S55+V55&gt;12),1,0)</f>
        <v>0</v>
      </c>
      <c r="BC55" s="248">
        <f>IF(AND(S55&gt;6,U55&gt;6,V55&gt;6),1,0)</f>
        <v>0</v>
      </c>
      <c r="BD55" s="248">
        <f>IF(AND(U55&gt;7,OR(S55&gt;6,V55&gt;6)),1,0)</f>
        <v>0</v>
      </c>
      <c r="BE55" s="248">
        <f>IF(AND(U55&gt;6,OR(S55&gt;6,V55&gt;6)),1,0)</f>
        <v>0</v>
      </c>
      <c r="BF55" s="248">
        <f>IF(AND(OR(S55&gt;6,U55&gt;6),OR(S55&gt;6,V55&gt;6)),1,0)</f>
        <v>0</v>
      </c>
      <c r="BG55" s="248">
        <f>IF(AND(S55&gt;4,OR(S55&gt;6,U55&gt;6,V55&gt;6)),1,0)</f>
        <v>0</v>
      </c>
      <c r="BH55" s="248">
        <f>IF(AND(S55&gt;4,OR(S55&gt;6,T55&gt;6,U55&gt;6,V55&gt;6)),1,0)</f>
        <v>0</v>
      </c>
      <c r="BI55" s="243">
        <f>IF(AND(S55&gt;4,MAX(S55:W55)&gt;6),1,0)</f>
        <v>0</v>
      </c>
      <c r="BJ55" s="247">
        <f>IF(AND(OR(X55+AA55&gt;12,AND(X55&gt;6,AA55&gt;6)),AO55&gt;6,OR(AP55&gt;=AO55,AP55&gt;6)),1,0)</f>
        <v>0</v>
      </c>
      <c r="BK55" s="248">
        <f>IF(OR(AND(X55&gt;6,AB55&gt;6),X55+AA55&gt;12),1,0)</f>
        <v>0</v>
      </c>
      <c r="BL55" s="248">
        <f>IF(AND(X55&gt;6,Z55&gt;6,AA55&gt;6),1,0)</f>
        <v>0</v>
      </c>
      <c r="BM55" s="248">
        <f>IF(AND(Z55&gt;7,OR(X55&gt;6,AA55&gt;6)),1,0)</f>
        <v>0</v>
      </c>
      <c r="BN55" s="248">
        <f>IF(AND(Z55&gt;6,OR(X55&gt;6,AA55&gt;6)),1,0)</f>
        <v>0</v>
      </c>
      <c r="BO55" s="248">
        <f>IF(AND(OR(X55&gt;6,Z55&gt;6),OR(X55&gt;6,AA55&gt;6)),1,0)</f>
        <v>0</v>
      </c>
      <c r="BP55" s="248">
        <f>IF(AND(X55&gt;4,OR(X55&gt;6,Z55&gt;6,AA55&gt;6)),1,0)</f>
        <v>0</v>
      </c>
      <c r="BQ55" s="248">
        <f>IF(AND(X55&gt;4,OR(X55&gt;6,Y55&gt;6,Z55&gt;6,AA55&gt;6)),1,0)</f>
        <v>0</v>
      </c>
      <c r="BR55" s="243">
        <f>IF(AND(X55&gt;4,MAX(X55:AB55)&gt;6),1,0)</f>
        <v>0</v>
      </c>
      <c r="BS55" s="243">
        <f>IF(AVERAGE(AO55:AP55)&gt;9,1,0)+IF(AVERAGE(AO55:AP55)&gt;7,1,0)+IF(AO55&gt;7,1,0)+IF(AP55&gt;7,1,0)+IF(AQ55&gt;8,1,0)+IF(AQ55&gt;6,1,0)</f>
        <v>5</v>
      </c>
      <c r="BT55" s="249">
        <f>IF(OR(MAX(AG55,AH55,AL55,AN55)&gt;6,MAX(AI55,AJ55,AK55,AM55)&gt;7),2,IF(MAX(AG55:AN55)&gt;4,1,0))</f>
        <v>2</v>
      </c>
      <c r="BU55" s="242" t="str">
        <f>IF(AS55=1,"Yes","")</f>
        <v/>
      </c>
      <c r="BV55" s="241" t="str">
        <f>IF($B55="ML","There",IF(AND($X55&gt;=6,AVERAGE($Z55:$AA55)&gt;=6),"Likely",IF(OR($X55&gt;6,AND($X55=6,AVERAGE($Z55:$AA55)&gt;=3),AND($X55&gt;=5,AVERAGE($Z55:$AA55)&gt;=5),AVERAGE($X55,$Z55:$AA55)&gt;5),"Possible","Unlikely")))</f>
        <v>Unlikely</v>
      </c>
      <c r="BW55" s="242" t="str">
        <f>IF(OR(AND(S55&gt;=6,U55+V55&gt;=12),S55&gt;7),"Start",IF(AND(S55&gt;=5,U55+V55&gt;=8),"Bench","aack!"))</f>
        <v>aack!</v>
      </c>
      <c r="BX55" s="242" t="str">
        <f>IF(OR(AND(X55&gt;=6,Z55+AA55&gt;=12),X55&gt;7),"Start",IF(AND(X55&gt;=5,Z55+AA55&gt;=8),"Bench","aack!"))</f>
        <v>aack!</v>
      </c>
      <c r="BY55" s="242" t="str">
        <f>IF(S55&gt;5,"ML",IF(S55=5,"AAA",IF(S55=4,"AA",IF(S55=3,"A","SS-A"))))</f>
        <v>AA</v>
      </c>
      <c r="BZ55" s="242">
        <f>S55-X55</f>
        <v>0</v>
      </c>
      <c r="CA55" s="242">
        <f>T55-Y55</f>
        <v>0</v>
      </c>
      <c r="CB55" s="242">
        <f>U55-Z55</f>
        <v>0</v>
      </c>
      <c r="CC55" s="242">
        <f>V55-AA55</f>
        <v>0</v>
      </c>
      <c r="CD55" s="242">
        <f>W55-AB55</f>
        <v>0</v>
      </c>
      <c r="CE55" s="242">
        <f>SUM(BZ55:CD55)</f>
        <v>0</v>
      </c>
      <c r="CF55" s="242">
        <f>X55+Z55+AA55</f>
        <v>12</v>
      </c>
      <c r="CG55" s="242">
        <f>X55+Z55</f>
        <v>8</v>
      </c>
      <c r="CH55" s="242">
        <f>X55+AA55</f>
        <v>8</v>
      </c>
      <c r="CI55" s="242" t="str">
        <f>IF(L55&gt;24,"Now - Age",IF(S55&gt;6,"Now",IF(X55&lt;6,"With Dev",MIN(X55-S55,7-S55))))</f>
        <v>Now - Age</v>
      </c>
      <c r="CJ55" s="257" t="str">
        <f>IF(AG55&lt;&gt;"-","X","")</f>
        <v/>
      </c>
      <c r="CK55" s="257" t="str">
        <f>IF(AND(AH55&lt;&gt;"-",AH55&gt;5),"X","")</f>
        <v/>
      </c>
      <c r="CL55" s="257" t="str">
        <f>IF(AND(AI55&lt;&gt;"-",AI55&gt;5),"X","")</f>
        <v/>
      </c>
      <c r="CM55" s="257" t="str">
        <f>IF(AND(AJ55&lt;&gt;"-",AJ55&gt;4,AC55&gt;6),"X","")</f>
        <v/>
      </c>
      <c r="CN55" s="257" t="str">
        <f>IF(AND(AK55&lt;&gt;"-",AK55&gt;5,AC55&gt;5),"X","")</f>
        <v/>
      </c>
      <c r="CO55" s="257" t="str">
        <f>IF(AND(AL55&lt;&gt;"-",AL55&gt;3),"X","")</f>
        <v>X</v>
      </c>
      <c r="CP55" s="257" t="str">
        <f>IF(AND(AM55&lt;&gt;"-",AM55&gt;6),"X","")</f>
        <v/>
      </c>
      <c r="CQ55" s="257" t="str">
        <f>IF(AND(AN55&lt;&gt;"-",AN55&gt;5,AD55&gt;6),"X","")</f>
        <v/>
      </c>
      <c r="CR55" s="257" t="str">
        <f>IF(COUNTBLANK(CJ55:CQ55)=8,"X","")</f>
        <v/>
      </c>
    </row>
    <row r="56" spans="1:96" s="306" customFormat="1" x14ac:dyDescent="0.25">
      <c r="A56" s="240" t="str">
        <f>H56&amp;" "&amp;I56</f>
        <v>Jerry Waller</v>
      </c>
      <c r="B56" s="240" t="str">
        <f>IF(ISERROR(VLOOKUP(A56,AMA!$C$3:$C$24,1,FALSE)),IF(ISERROR(VLOOKUP(A56,'END-AAA'!$C$6:$C$33,1,FALSE)),IF(ISERROR(VLOOKUP(A56,'DB-AA'!$C$6:$C$33,1,FALSE)),IF(ISERROR(VLOOKUP(A56,'UTR-A'!$C$6:$C$33,1,FALSE)),IF(ISERROR(VLOOKUP(A56,'FAI-S A'!$C$6:$C$33,1,FALSE)),"","S A"),"A"),"AA"),"AAA"),"ML")</f>
        <v/>
      </c>
      <c r="C56" s="241"/>
      <c r="D56" s="242" t="str">
        <f>IF(BL56=1,3,IF(BM56=1,4,IF(BJ56=1,1,IF(BN56=1,5,IF(BK56=1,2,IF(BO56=1,6,IF(BP56=1,7,IF(BQ56=1,8,IF(BR56=1,9,"-")))))))))</f>
        <v>-</v>
      </c>
      <c r="E56" s="242" t="str">
        <f>IF(BC56=1,3,IF(BD56=1,4,IF(BA56=1,1,IF(BE56=1,5,IF(BB56=1,2,IF(BF56=1,6,IF(BG56=1,7,IF(BH56=1,8,IF(BI56=1,9,"-")))))))))</f>
        <v>-</v>
      </c>
      <c r="F56" s="242" t="str">
        <f>IF(OR(OR(Q56="Very High",Q56="High"),AND(OR(Q56="Very High",Q56="High",Q56="Normal"),OR(R56="Very High",R56="High"))),"K","T")</f>
        <v>T</v>
      </c>
      <c r="G56" s="242" t="s">
        <v>71</v>
      </c>
      <c r="H56" s="242" t="s">
        <v>884</v>
      </c>
      <c r="I56" s="242" t="s">
        <v>1187</v>
      </c>
      <c r="J56" s="242" t="s">
        <v>814</v>
      </c>
      <c r="K56" s="242" t="s">
        <v>187</v>
      </c>
      <c r="L56" s="242">
        <v>23</v>
      </c>
      <c r="M56" s="242" t="s">
        <v>82</v>
      </c>
      <c r="N56" s="242" t="s">
        <v>83</v>
      </c>
      <c r="O56" s="242" t="s">
        <v>803</v>
      </c>
      <c r="P56" s="243" t="s">
        <v>773</v>
      </c>
      <c r="Q56" s="242" t="s">
        <v>200</v>
      </c>
      <c r="R56" s="243" t="s">
        <v>200</v>
      </c>
      <c r="S56" s="242">
        <v>3</v>
      </c>
      <c r="T56" s="242">
        <v>4</v>
      </c>
      <c r="U56" s="242">
        <v>4</v>
      </c>
      <c r="V56" s="242">
        <v>6</v>
      </c>
      <c r="W56" s="243">
        <v>2</v>
      </c>
      <c r="X56" s="242">
        <v>4</v>
      </c>
      <c r="Y56" s="242">
        <v>4</v>
      </c>
      <c r="Z56" s="242">
        <v>4</v>
      </c>
      <c r="AA56" s="242">
        <v>6</v>
      </c>
      <c r="AB56" s="243">
        <v>4</v>
      </c>
      <c r="AC56" s="242">
        <v>4</v>
      </c>
      <c r="AD56" s="242">
        <v>3</v>
      </c>
      <c r="AE56" s="242">
        <v>5</v>
      </c>
      <c r="AF56" s="242" t="s">
        <v>32</v>
      </c>
      <c r="AG56" s="242" t="s">
        <v>32</v>
      </c>
      <c r="AH56" s="242" t="s">
        <v>32</v>
      </c>
      <c r="AI56" s="242" t="s">
        <v>32</v>
      </c>
      <c r="AJ56" s="242" t="s">
        <v>32</v>
      </c>
      <c r="AK56" s="242" t="s">
        <v>32</v>
      </c>
      <c r="AL56" s="242" t="s">
        <v>32</v>
      </c>
      <c r="AM56" s="242" t="s">
        <v>32</v>
      </c>
      <c r="AN56" s="243" t="s">
        <v>32</v>
      </c>
      <c r="AO56" s="242">
        <v>1</v>
      </c>
      <c r="AP56" s="242">
        <v>4</v>
      </c>
      <c r="AQ56" s="243">
        <v>3</v>
      </c>
      <c r="AR56" s="244" t="s">
        <v>32</v>
      </c>
      <c r="AS56" s="243" t="s">
        <v>33</v>
      </c>
      <c r="AT56" s="248" t="s">
        <v>199</v>
      </c>
      <c r="AU56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2.833333333333333</v>
      </c>
      <c r="AV56" s="246" t="str">
        <f>IF(AU56&gt;9,"SuperStar",IF(AU56&gt;8,"Star",IF(AU56&gt;6.5,"GoodReg",IF(AU56&gt;5,"Reg",IF(AU56&gt;4,"Bench","Minors")))))</f>
        <v>Minors</v>
      </c>
      <c r="AW56" s="245">
        <f>AVERAGE(X56,Z56,AA56)+IF(OR(X56&gt;7,AND(X56&gt;5,AA56&gt;5)),0.5,0)+IF(Z56&gt;7,0.25,0)+IF(X56&lt;6,-0.5*(6-X56),0)</f>
        <v>3.666666666666667</v>
      </c>
      <c r="AX56" s="245" t="str">
        <f>IF(AW56&gt;9,"SuperStar",IF(AW56&gt;8,"Star",IF(AW56&gt;6.5,"GoodReg",IF(AW56&gt;5,"Reg",IF(AW56&gt;4,"Bench","Minors")))))</f>
        <v>Minors</v>
      </c>
      <c r="AY56" s="246">
        <f>MIN(AU56+(MAX(0,25-L56))^1.5,AW56)</f>
        <v>3.666666666666667</v>
      </c>
      <c r="AZ56" s="246" t="str">
        <f>IF(AY56&gt;9,"SuperStar",IF(AY56&gt;8,"Star",IF(AY56&gt;6.5,"GoodReg",IF(AY56&gt;5,"Reg",IF(AY56&gt;4,"Bench","Minors")))))</f>
        <v>Minors</v>
      </c>
      <c r="BA56" s="247">
        <f>IF(AND(OR(S56+V56&gt;12,AND(S56&gt;6,V56&gt;6)),AO56&gt;6,OR(AP56&gt;=AO56,AP56&gt;6)),1,0)</f>
        <v>0</v>
      </c>
      <c r="BB56" s="248">
        <f>IF(OR(AND(S56&gt;6,W56&gt;6),S56+V56&gt;12),1,0)</f>
        <v>0</v>
      </c>
      <c r="BC56" s="248">
        <f>IF(AND(S56&gt;6,U56&gt;6,V56&gt;6),1,0)</f>
        <v>0</v>
      </c>
      <c r="BD56" s="248">
        <f>IF(AND(U56&gt;7,OR(S56&gt;6,V56&gt;6)),1,0)</f>
        <v>0</v>
      </c>
      <c r="BE56" s="248">
        <f>IF(AND(U56&gt;6,OR(S56&gt;6,V56&gt;6)),1,0)</f>
        <v>0</v>
      </c>
      <c r="BF56" s="248">
        <f>IF(AND(OR(S56&gt;6,U56&gt;6),OR(S56&gt;6,V56&gt;6)),1,0)</f>
        <v>0</v>
      </c>
      <c r="BG56" s="248">
        <f>IF(AND(S56&gt;4,OR(S56&gt;6,U56&gt;6,V56&gt;6)),1,0)</f>
        <v>0</v>
      </c>
      <c r="BH56" s="248">
        <f>IF(AND(S56&gt;4,OR(S56&gt;6,T56&gt;6,U56&gt;6,V56&gt;6)),1,0)</f>
        <v>0</v>
      </c>
      <c r="BI56" s="243">
        <f>IF(AND(S56&gt;4,MAX(S56:W56)&gt;6),1,0)</f>
        <v>0</v>
      </c>
      <c r="BJ56" s="247">
        <f>IF(AND(OR(X56+AA56&gt;12,AND(X56&gt;6,AA56&gt;6)),AO56&gt;6,OR(AP56&gt;=AO56,AP56&gt;6)),1,0)</f>
        <v>0</v>
      </c>
      <c r="BK56" s="248">
        <f>IF(OR(AND(X56&gt;6,AB56&gt;6),X56+AA56&gt;12),1,0)</f>
        <v>0</v>
      </c>
      <c r="BL56" s="248">
        <f>IF(AND(X56&gt;6,Z56&gt;6,AA56&gt;6),1,0)</f>
        <v>0</v>
      </c>
      <c r="BM56" s="248">
        <f>IF(AND(Z56&gt;7,OR(X56&gt;6,AA56&gt;6)),1,0)</f>
        <v>0</v>
      </c>
      <c r="BN56" s="248">
        <f>IF(AND(Z56&gt;6,OR(X56&gt;6,AA56&gt;6)),1,0)</f>
        <v>0</v>
      </c>
      <c r="BO56" s="248">
        <f>IF(AND(OR(X56&gt;6,Z56&gt;6),OR(X56&gt;6,AA56&gt;6)),1,0)</f>
        <v>0</v>
      </c>
      <c r="BP56" s="248">
        <f>IF(AND(X56&gt;4,OR(X56&gt;6,Z56&gt;6,AA56&gt;6)),1,0)</f>
        <v>0</v>
      </c>
      <c r="BQ56" s="248">
        <f>IF(AND(X56&gt;4,OR(X56&gt;6,Y56&gt;6,Z56&gt;6,AA56&gt;6)),1,0)</f>
        <v>0</v>
      </c>
      <c r="BR56" s="243">
        <f>IF(AND(X56&gt;4,MAX(X56:AB56)&gt;6),1,0)</f>
        <v>0</v>
      </c>
      <c r="BS56" s="243">
        <f>IF(AVERAGE(AO56:AP56)&gt;9,1,0)+IF(AVERAGE(AO56:AP56)&gt;7,1,0)+IF(AO56&gt;7,1,0)+IF(AP56&gt;7,1,0)+IF(AQ56&gt;8,1,0)+IF(AQ56&gt;6,1,0)</f>
        <v>0</v>
      </c>
      <c r="BT56" s="249">
        <f>IF(OR(MAX(AG56,AH56,AL56,AN56)&gt;6,MAX(AI56,AJ56,AK56,AM56)&gt;7),2,IF(MAX(AG56:AN56)&gt;4,1,0))</f>
        <v>0</v>
      </c>
      <c r="BU56" s="242" t="str">
        <f>IF(AS56=1,"Yes","")</f>
        <v/>
      </c>
      <c r="BV56" s="241" t="str">
        <f>IF($B56="ML","There",IF(AND($X56&gt;=6,AVERAGE($Z56:$AA56)&gt;=6),"Likely",IF(OR($X56&gt;6,AND($X56=6,AVERAGE($Z56:$AA56)&gt;=3),AND($X56&gt;=5,AVERAGE($Z56:$AA56)&gt;=5),AVERAGE($X56,$Z56:$AA56)&gt;5),"Possible","Unlikely")))</f>
        <v>Unlikely</v>
      </c>
      <c r="BW56" s="242" t="str">
        <f>IF(OR(AND(S56&gt;=6,U56+V56&gt;=12),S56&gt;7),"Start",IF(AND(S56&gt;=5,U56+V56&gt;=8),"Bench","aack!"))</f>
        <v>aack!</v>
      </c>
      <c r="BX56" s="242" t="str">
        <f>IF(OR(AND(X56&gt;=6,Z56+AA56&gt;=12),X56&gt;7),"Start",IF(AND(X56&gt;=5,Z56+AA56&gt;=8),"Bench","aack!"))</f>
        <v>aack!</v>
      </c>
      <c r="BY56" s="242" t="str">
        <f>IF(S56&gt;5,"ML",IF(S56=5,"AAA",IF(S56=4,"AA",IF(S56=3,"A","SS-A"))))</f>
        <v>A</v>
      </c>
      <c r="BZ56" s="242">
        <f>S56-X56</f>
        <v>-1</v>
      </c>
      <c r="CA56" s="242">
        <f>T56-Y56</f>
        <v>0</v>
      </c>
      <c r="CB56" s="242">
        <f>U56-Z56</f>
        <v>0</v>
      </c>
      <c r="CC56" s="242">
        <f>V56-AA56</f>
        <v>0</v>
      </c>
      <c r="CD56" s="242">
        <f>W56-AB56</f>
        <v>-2</v>
      </c>
      <c r="CE56" s="242">
        <f>SUM(BZ56:CD56)</f>
        <v>-3</v>
      </c>
      <c r="CF56" s="242">
        <f>X56+Z56+AA56</f>
        <v>14</v>
      </c>
      <c r="CG56" s="242">
        <f>X56+Z56</f>
        <v>8</v>
      </c>
      <c r="CH56" s="242">
        <f>X56+AA56</f>
        <v>10</v>
      </c>
      <c r="CI56" s="242" t="str">
        <f>IF(L56&gt;24,"Now - Age",IF(S56&gt;6,"Now",IF(X56&lt;6,"With Dev",MIN(X56-S56,7-S56))))</f>
        <v>With Dev</v>
      </c>
      <c r="CJ56" s="257" t="str">
        <f>IF(AG56&lt;&gt;"-","X","")</f>
        <v/>
      </c>
      <c r="CK56" s="257" t="str">
        <f>IF(AND(AH56&lt;&gt;"-",AH56&gt;5),"X","")</f>
        <v/>
      </c>
      <c r="CL56" s="257" t="str">
        <f>IF(AND(AI56&lt;&gt;"-",AI56&gt;5),"X","")</f>
        <v/>
      </c>
      <c r="CM56" s="257" t="str">
        <f>IF(AND(AJ56&lt;&gt;"-",AJ56&gt;4,AC56&gt;6),"X","")</f>
        <v/>
      </c>
      <c r="CN56" s="257" t="str">
        <f>IF(AND(AK56&lt;&gt;"-",AK56&gt;5,AC56&gt;5),"X","")</f>
        <v/>
      </c>
      <c r="CO56" s="257" t="str">
        <f>IF(AND(AL56&lt;&gt;"-",AL56&gt;3),"X","")</f>
        <v/>
      </c>
      <c r="CP56" s="257" t="str">
        <f>IF(AND(AM56&lt;&gt;"-",AM56&gt;6),"X","")</f>
        <v/>
      </c>
      <c r="CQ56" s="257" t="str">
        <f>IF(AND(AN56&lt;&gt;"-",AN56&gt;5,AD56&gt;6),"X","")</f>
        <v/>
      </c>
      <c r="CR56" s="257" t="str">
        <f>IF(COUNTBLANK(CJ56:CQ56)=8,"X","")</f>
        <v>X</v>
      </c>
    </row>
    <row r="57" spans="1:96" s="306" customFormat="1" x14ac:dyDescent="0.25">
      <c r="A57" s="240" t="str">
        <f>H57&amp;" "&amp;I57</f>
        <v>Benigno Canseco</v>
      </c>
      <c r="B57" s="240" t="str">
        <f>IF(ISERROR(VLOOKUP(A57,AMA!$C$3:$C$24,1,FALSE)),IF(ISERROR(VLOOKUP(A57,'END-AAA'!$C$6:$C$33,1,FALSE)),IF(ISERROR(VLOOKUP(A57,'DB-AA'!$C$6:$C$33,1,FALSE)),IF(ISERROR(VLOOKUP(A57,'UTR-A'!$C$6:$C$33,1,FALSE)),IF(ISERROR(VLOOKUP(A57,'FAI-S A'!$C$6:$C$33,1,FALSE)),"","S A"),"A"),"AA"),"AAA"),"ML")</f>
        <v/>
      </c>
      <c r="C57" s="241"/>
      <c r="D57" s="242">
        <f>IF(BL57=1,3,IF(BM57=1,4,IF(BJ57=1,1,IF(BN57=1,5,IF(BK57=1,2,IF(BO57=1,6,IF(BP57=1,7,IF(BQ57=1,8,IF(BR57=1,9,"-")))))))))</f>
        <v>6</v>
      </c>
      <c r="E57" s="242" t="str">
        <f>IF(BC57=1,3,IF(BD57=1,4,IF(BA57=1,1,IF(BE57=1,5,IF(BB57=1,2,IF(BF57=1,6,IF(BG57=1,7,IF(BH57=1,8,IF(BI57=1,9,"-")))))))))</f>
        <v>-</v>
      </c>
      <c r="F57" s="242" t="str">
        <f>IF(OR(OR(Q57="Very High",Q57="High"),AND(OR(Q57="Very High",Q57="High",Q57="Normal"),OR(R57="Very High",R57="High"))),"K","T")</f>
        <v>K</v>
      </c>
      <c r="G57" s="242" t="s">
        <v>74</v>
      </c>
      <c r="H57" s="242" t="s">
        <v>835</v>
      </c>
      <c r="I57" s="242" t="s">
        <v>836</v>
      </c>
      <c r="J57" s="242" t="s">
        <v>802</v>
      </c>
      <c r="K57" s="242" t="s">
        <v>277</v>
      </c>
      <c r="L57" s="242">
        <v>19</v>
      </c>
      <c r="M57" s="242" t="s">
        <v>83</v>
      </c>
      <c r="N57" s="242" t="s">
        <v>83</v>
      </c>
      <c r="O57" s="242" t="s">
        <v>808</v>
      </c>
      <c r="P57" s="243" t="s">
        <v>764</v>
      </c>
      <c r="Q57" s="242" t="s">
        <v>200</v>
      </c>
      <c r="R57" s="243" t="s">
        <v>199</v>
      </c>
      <c r="S57" s="242">
        <v>4</v>
      </c>
      <c r="T57" s="242">
        <v>7</v>
      </c>
      <c r="U57" s="242">
        <v>4</v>
      </c>
      <c r="V57" s="242">
        <v>3</v>
      </c>
      <c r="W57" s="243">
        <v>4</v>
      </c>
      <c r="X57" s="242">
        <v>7</v>
      </c>
      <c r="Y57" s="242">
        <v>8</v>
      </c>
      <c r="Z57" s="242">
        <v>6</v>
      </c>
      <c r="AA57" s="242">
        <v>5</v>
      </c>
      <c r="AB57" s="243">
        <v>6</v>
      </c>
      <c r="AC57" s="242">
        <v>4</v>
      </c>
      <c r="AD57" s="242">
        <v>3</v>
      </c>
      <c r="AE57" s="242">
        <v>1</v>
      </c>
      <c r="AF57" s="242" t="s">
        <v>32</v>
      </c>
      <c r="AG57" s="242" t="s">
        <v>32</v>
      </c>
      <c r="AH57" s="242" t="s">
        <v>32</v>
      </c>
      <c r="AI57" s="242">
        <v>4</v>
      </c>
      <c r="AJ57" s="242" t="s">
        <v>32</v>
      </c>
      <c r="AK57" s="242">
        <v>2</v>
      </c>
      <c r="AL57" s="242" t="s">
        <v>32</v>
      </c>
      <c r="AM57" s="242" t="s">
        <v>32</v>
      </c>
      <c r="AN57" s="243" t="s">
        <v>32</v>
      </c>
      <c r="AO57" s="242">
        <v>9</v>
      </c>
      <c r="AP57" s="242">
        <v>8</v>
      </c>
      <c r="AQ57" s="243">
        <v>7</v>
      </c>
      <c r="AR57" s="244" t="s">
        <v>32</v>
      </c>
      <c r="AS57" s="243">
        <v>0</v>
      </c>
      <c r="AT57" s="248" t="s">
        <v>779</v>
      </c>
      <c r="AU57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2.6666666666666665</v>
      </c>
      <c r="AV57" s="246" t="str">
        <f>IF(AU57&gt;9,"SuperStar",IF(AU57&gt;8,"Star",IF(AU57&gt;6.5,"GoodReg",IF(AU57&gt;5,"Reg",IF(AU57&gt;4,"Bench","Minors")))))</f>
        <v>Minors</v>
      </c>
      <c r="AW57" s="245">
        <f>AVERAGE(X57,Z57,AA57)+IF(OR(X57&gt;7,AND(X57&gt;5,AA57&gt;5)),0.5,0)+IF(Z57&gt;7,0.25,0)+IF(X57&lt;6,-0.5*(6-X57),0)</f>
        <v>6</v>
      </c>
      <c r="AX57" s="245" t="str">
        <f>IF(AW57&gt;9,"SuperStar",IF(AW57&gt;8,"Star",IF(AW57&gt;6.5,"GoodReg",IF(AW57&gt;5,"Reg",IF(AW57&gt;4,"Bench","Minors")))))</f>
        <v>Reg</v>
      </c>
      <c r="AY57" s="246">
        <f>MIN(AU57+(MAX(0,25-L57))^1.5,AW57)</f>
        <v>6</v>
      </c>
      <c r="AZ57" s="246" t="str">
        <f>IF(AY57&gt;9,"SuperStar",IF(AY57&gt;8,"Star",IF(AY57&gt;6.5,"GoodReg",IF(AY57&gt;5,"Reg",IF(AY57&gt;4,"Bench","Minors")))))</f>
        <v>Reg</v>
      </c>
      <c r="BA57" s="247">
        <f>IF(AND(OR(S57+V57&gt;12,AND(S57&gt;6,V57&gt;6)),AO57&gt;6,OR(AP57&gt;=AO57,AP57&gt;6)),1,0)</f>
        <v>0</v>
      </c>
      <c r="BB57" s="248">
        <f>IF(OR(AND(S57&gt;6,W57&gt;6),S57+V57&gt;12),1,0)</f>
        <v>0</v>
      </c>
      <c r="BC57" s="248">
        <f>IF(AND(S57&gt;6,U57&gt;6,V57&gt;6),1,0)</f>
        <v>0</v>
      </c>
      <c r="BD57" s="248">
        <f>IF(AND(U57&gt;7,OR(S57&gt;6,V57&gt;6)),1,0)</f>
        <v>0</v>
      </c>
      <c r="BE57" s="248">
        <f>IF(AND(U57&gt;6,OR(S57&gt;6,V57&gt;6)),1,0)</f>
        <v>0</v>
      </c>
      <c r="BF57" s="248">
        <f>IF(AND(OR(S57&gt;6,U57&gt;6),OR(S57&gt;6,V57&gt;6)),1,0)</f>
        <v>0</v>
      </c>
      <c r="BG57" s="248">
        <f>IF(AND(S57&gt;4,OR(S57&gt;6,U57&gt;6,V57&gt;6)),1,0)</f>
        <v>0</v>
      </c>
      <c r="BH57" s="248">
        <f>IF(AND(S57&gt;4,OR(S57&gt;6,T57&gt;6,U57&gt;6,V57&gt;6)),1,0)</f>
        <v>0</v>
      </c>
      <c r="BI57" s="243">
        <f>IF(AND(S57&gt;4,MAX(S57:W57)&gt;6),1,0)</f>
        <v>0</v>
      </c>
      <c r="BJ57" s="247">
        <f>IF(AND(OR(X57+AA57&gt;12,AND(X57&gt;6,AA57&gt;6)),AO57&gt;6,OR(AP57&gt;=AO57,AP57&gt;6)),1,0)</f>
        <v>0</v>
      </c>
      <c r="BK57" s="248">
        <f>IF(OR(AND(X57&gt;6,AB57&gt;6),X57+AA57&gt;12),1,0)</f>
        <v>0</v>
      </c>
      <c r="BL57" s="248">
        <f>IF(AND(X57&gt;6,Z57&gt;6,AA57&gt;6),1,0)</f>
        <v>0</v>
      </c>
      <c r="BM57" s="248">
        <f>IF(AND(Z57&gt;7,OR(X57&gt;6,AA57&gt;6)),1,0)</f>
        <v>0</v>
      </c>
      <c r="BN57" s="248">
        <f>IF(AND(Z57&gt;6,OR(X57&gt;6,AA57&gt;6)),1,0)</f>
        <v>0</v>
      </c>
      <c r="BO57" s="248">
        <f>IF(AND(OR(X57&gt;6,Z57&gt;6),OR(X57&gt;6,AA57&gt;6)),1,0)</f>
        <v>1</v>
      </c>
      <c r="BP57" s="248">
        <f>IF(AND(X57&gt;4,OR(X57&gt;6,Z57&gt;6,AA57&gt;6)),1,0)</f>
        <v>1</v>
      </c>
      <c r="BQ57" s="248">
        <f>IF(AND(X57&gt;4,OR(X57&gt;6,Y57&gt;6,Z57&gt;6,AA57&gt;6)),1,0)</f>
        <v>1</v>
      </c>
      <c r="BR57" s="243">
        <f>IF(AND(X57&gt;4,MAX(X57:AB57)&gt;6),1,0)</f>
        <v>1</v>
      </c>
      <c r="BS57" s="243">
        <f>IF(AVERAGE(AO57:AP57)&gt;9,1,0)+IF(AVERAGE(AO57:AP57)&gt;7,1,0)+IF(AO57&gt;7,1,0)+IF(AP57&gt;7,1,0)+IF(AQ57&gt;8,1,0)+IF(AQ57&gt;6,1,0)</f>
        <v>4</v>
      </c>
      <c r="BT57" s="249">
        <f>IF(OR(MAX(AG57,AH57,AL57,AN57)&gt;6,MAX(AI57,AJ57,AK57,AM57)&gt;7),2,IF(MAX(AG57:AN57)&gt;4,1,0))</f>
        <v>0</v>
      </c>
      <c r="BU57" s="242" t="str">
        <f>IF(AS57=1,"Yes","")</f>
        <v/>
      </c>
      <c r="BV57" s="241" t="str">
        <f>IF($B57="ML","There",IF(AND($X57&gt;=6,AVERAGE($Z57:$AA57)&gt;=6),"Likely",IF(OR($X57&gt;6,AND($X57=6,AVERAGE($Z57:$AA57)&gt;=3),AND($X57&gt;=5,AVERAGE($Z57:$AA57)&gt;=5),AVERAGE($X57,$Z57:$AA57)&gt;5),"Possible","Unlikely")))</f>
        <v>Possible</v>
      </c>
      <c r="BW57" s="242" t="str">
        <f>IF(OR(AND(S57&gt;=6,U57+V57&gt;=12),S57&gt;7),"Start",IF(AND(S57&gt;=5,U57+V57&gt;=8),"Bench","aack!"))</f>
        <v>aack!</v>
      </c>
      <c r="BX57" s="242" t="str">
        <f>IF(OR(AND(X57&gt;=6,Z57+AA57&gt;=12),X57&gt;7),"Start",IF(AND(X57&gt;=5,Z57+AA57&gt;=8),"Bench","aack!"))</f>
        <v>Bench</v>
      </c>
      <c r="BY57" s="242" t="str">
        <f>IF(S57&gt;5,"ML",IF(S57=5,"AAA",IF(S57=4,"AA",IF(S57=3,"A","SS-A"))))</f>
        <v>AA</v>
      </c>
      <c r="BZ57" s="242">
        <f>S57-X57</f>
        <v>-3</v>
      </c>
      <c r="CA57" s="242">
        <f>T57-Y57</f>
        <v>-1</v>
      </c>
      <c r="CB57" s="242">
        <f>U57-Z57</f>
        <v>-2</v>
      </c>
      <c r="CC57" s="242">
        <f>V57-AA57</f>
        <v>-2</v>
      </c>
      <c r="CD57" s="242">
        <f>W57-AB57</f>
        <v>-2</v>
      </c>
      <c r="CE57" s="242">
        <f>SUM(BZ57:CD57)</f>
        <v>-10</v>
      </c>
      <c r="CF57" s="242">
        <f>X57+Z57+AA57</f>
        <v>18</v>
      </c>
      <c r="CG57" s="242">
        <f>X57+Z57</f>
        <v>13</v>
      </c>
      <c r="CH57" s="242">
        <f>X57+AA57</f>
        <v>12</v>
      </c>
      <c r="CI57" s="242">
        <f>IF(L57&gt;24,"Now - Age",IF(S57&gt;6,"Now",IF(X57&lt;6,"With Dev",MIN(X57-S57,7-S57))))</f>
        <v>3</v>
      </c>
      <c r="CJ57" s="257" t="str">
        <f>IF(AG57&lt;&gt;"-","X","")</f>
        <v/>
      </c>
      <c r="CK57" s="257" t="str">
        <f>IF(AND(AH57&lt;&gt;"-",AH57&gt;5),"X","")</f>
        <v/>
      </c>
      <c r="CL57" s="257" t="str">
        <f>IF(AND(AI57&lt;&gt;"-",AI57&gt;5),"X","")</f>
        <v/>
      </c>
      <c r="CM57" s="257" t="str">
        <f>IF(AND(AJ57&lt;&gt;"-",AJ57&gt;4,AC57&gt;6),"X","")</f>
        <v/>
      </c>
      <c r="CN57" s="257" t="str">
        <f>IF(AND(AK57&lt;&gt;"-",AK57&gt;5,AC57&gt;5),"X","")</f>
        <v/>
      </c>
      <c r="CO57" s="257" t="str">
        <f>IF(AND(AL57&lt;&gt;"-",AL57&gt;3),"X","")</f>
        <v/>
      </c>
      <c r="CP57" s="257" t="str">
        <f>IF(AND(AM57&lt;&gt;"-",AM57&gt;6),"X","")</f>
        <v/>
      </c>
      <c r="CQ57" s="257" t="str">
        <f>IF(AND(AN57&lt;&gt;"-",AN57&gt;5,AD57&gt;6),"X","")</f>
        <v/>
      </c>
      <c r="CR57" s="257" t="str">
        <f>IF(COUNTBLANK(CJ57:CQ57)=8,"X","")</f>
        <v>X</v>
      </c>
    </row>
    <row r="58" spans="1:96" s="306" customFormat="1" x14ac:dyDescent="0.25">
      <c r="A58" s="240" t="str">
        <f>H58&amp;" "&amp;I58</f>
        <v>Eric Constable</v>
      </c>
      <c r="B58" s="240" t="str">
        <f>IF(ISERROR(VLOOKUP(A58,AMA!$C$3:$C$24,1,FALSE)),IF(ISERROR(VLOOKUP(A58,'END-AAA'!$C$6:$C$33,1,FALSE)),IF(ISERROR(VLOOKUP(A58,'DB-AA'!$C$6:$C$33,1,FALSE)),IF(ISERROR(VLOOKUP(A58,'UTR-A'!$C$6:$C$33,1,FALSE)),IF(ISERROR(VLOOKUP(A58,'FAI-S A'!$C$6:$C$33,1,FALSE)),"","S A"),"A"),"AA"),"AAA"),"ML")</f>
        <v/>
      </c>
      <c r="C58" s="241"/>
      <c r="D58" s="242" t="str">
        <f>IF(BL58=1,3,IF(BM58=1,4,IF(BJ58=1,1,IF(BN58=1,5,IF(BK58=1,2,IF(BO58=1,6,IF(BP58=1,7,IF(BQ58=1,8,IF(BR58=1,9,"-")))))))))</f>
        <v>-</v>
      </c>
      <c r="E58" s="242" t="str">
        <f>IF(BC58=1,3,IF(BD58=1,4,IF(BA58=1,1,IF(BE58=1,5,IF(BB58=1,2,IF(BF58=1,6,IF(BG58=1,7,IF(BH58=1,8,IF(BI58=1,9,"-")))))))))</f>
        <v>-</v>
      </c>
      <c r="F58" s="242" t="str">
        <f>IF(OR(OR(Q58="Very High",Q58="High"),AND(OR(Q58="Very High",Q58="High",Q58="Normal"),OR(R58="Very High",R58="High"))),"K","T")</f>
        <v>K</v>
      </c>
      <c r="G58" s="242" t="s">
        <v>78</v>
      </c>
      <c r="H58" s="242" t="s">
        <v>1133</v>
      </c>
      <c r="I58" s="242" t="s">
        <v>1134</v>
      </c>
      <c r="J58" s="242" t="s">
        <v>783</v>
      </c>
      <c r="K58" s="242" t="s">
        <v>185</v>
      </c>
      <c r="L58" s="242">
        <v>24</v>
      </c>
      <c r="M58" s="242" t="s">
        <v>83</v>
      </c>
      <c r="N58" s="242" t="s">
        <v>83</v>
      </c>
      <c r="O58" s="242" t="s">
        <v>773</v>
      </c>
      <c r="P58" s="243" t="s">
        <v>773</v>
      </c>
      <c r="Q58" s="242" t="s">
        <v>199</v>
      </c>
      <c r="R58" s="243" t="s">
        <v>199</v>
      </c>
      <c r="S58" s="242">
        <v>4</v>
      </c>
      <c r="T58" s="242">
        <v>5</v>
      </c>
      <c r="U58" s="242">
        <v>3</v>
      </c>
      <c r="V58" s="242">
        <v>4</v>
      </c>
      <c r="W58" s="243">
        <v>6</v>
      </c>
      <c r="X58" s="242">
        <v>4</v>
      </c>
      <c r="Y58" s="242">
        <v>5</v>
      </c>
      <c r="Z58" s="242">
        <v>4</v>
      </c>
      <c r="AA58" s="242">
        <v>5</v>
      </c>
      <c r="AB58" s="243">
        <v>6</v>
      </c>
      <c r="AC58" s="242">
        <v>7</v>
      </c>
      <c r="AD58" s="242">
        <v>10</v>
      </c>
      <c r="AE58" s="242">
        <v>1</v>
      </c>
      <c r="AF58" s="242" t="s">
        <v>32</v>
      </c>
      <c r="AG58" s="242" t="s">
        <v>32</v>
      </c>
      <c r="AH58" s="242" t="s">
        <v>32</v>
      </c>
      <c r="AI58" s="242" t="s">
        <v>32</v>
      </c>
      <c r="AJ58" s="242" t="s">
        <v>32</v>
      </c>
      <c r="AK58" s="242" t="s">
        <v>32</v>
      </c>
      <c r="AL58" s="242">
        <v>10</v>
      </c>
      <c r="AM58" s="242">
        <v>9</v>
      </c>
      <c r="AN58" s="243">
        <v>2</v>
      </c>
      <c r="AO58" s="242">
        <v>6</v>
      </c>
      <c r="AP58" s="242">
        <v>4</v>
      </c>
      <c r="AQ58" s="243">
        <v>1</v>
      </c>
      <c r="AR58" s="244" t="s">
        <v>32</v>
      </c>
      <c r="AS58" s="243" t="s">
        <v>33</v>
      </c>
      <c r="AT58" s="248" t="s">
        <v>199</v>
      </c>
      <c r="AU58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2.6666666666666665</v>
      </c>
      <c r="AV58" s="246" t="str">
        <f>IF(AU58&gt;9,"SuperStar",IF(AU58&gt;8,"Star",IF(AU58&gt;6.5,"GoodReg",IF(AU58&gt;5,"Reg",IF(AU58&gt;4,"Bench","Minors")))))</f>
        <v>Minors</v>
      </c>
      <c r="AW58" s="245">
        <f>AVERAGE(X58,Z58,AA58)+IF(OR(X58&gt;7,AND(X58&gt;5,AA58&gt;5)),0.5,0)+IF(Z58&gt;7,0.25,0)+IF(X58&lt;6,-0.5*(6-X58),0)</f>
        <v>3.333333333333333</v>
      </c>
      <c r="AX58" s="245" t="str">
        <f>IF(AW58&gt;9,"SuperStar",IF(AW58&gt;8,"Star",IF(AW58&gt;6.5,"GoodReg",IF(AW58&gt;5,"Reg",IF(AW58&gt;4,"Bench","Minors")))))</f>
        <v>Minors</v>
      </c>
      <c r="AY58" s="246">
        <f>MIN(AU58+(MAX(0,25-L58))^1.5,AW58)</f>
        <v>3.333333333333333</v>
      </c>
      <c r="AZ58" s="246" t="str">
        <f>IF(AY58&gt;9,"SuperStar",IF(AY58&gt;8,"Star",IF(AY58&gt;6.5,"GoodReg",IF(AY58&gt;5,"Reg",IF(AY58&gt;4,"Bench","Minors")))))</f>
        <v>Minors</v>
      </c>
      <c r="BA58" s="247">
        <f>IF(AND(OR(S58+V58&gt;12,AND(S58&gt;6,V58&gt;6)),AO58&gt;6,OR(AP58&gt;=AO58,AP58&gt;6)),1,0)</f>
        <v>0</v>
      </c>
      <c r="BB58" s="248">
        <f>IF(OR(AND(S58&gt;6,W58&gt;6),S58+V58&gt;12),1,0)</f>
        <v>0</v>
      </c>
      <c r="BC58" s="248">
        <f>IF(AND(S58&gt;6,U58&gt;6,V58&gt;6),1,0)</f>
        <v>0</v>
      </c>
      <c r="BD58" s="248">
        <f>IF(AND(U58&gt;7,OR(S58&gt;6,V58&gt;6)),1,0)</f>
        <v>0</v>
      </c>
      <c r="BE58" s="248">
        <f>IF(AND(U58&gt;6,OR(S58&gt;6,V58&gt;6)),1,0)</f>
        <v>0</v>
      </c>
      <c r="BF58" s="248">
        <f>IF(AND(OR(S58&gt;6,U58&gt;6),OR(S58&gt;6,V58&gt;6)),1,0)</f>
        <v>0</v>
      </c>
      <c r="BG58" s="248">
        <f>IF(AND(S58&gt;4,OR(S58&gt;6,U58&gt;6,V58&gt;6)),1,0)</f>
        <v>0</v>
      </c>
      <c r="BH58" s="248">
        <f>IF(AND(S58&gt;4,OR(S58&gt;6,T58&gt;6,U58&gt;6,V58&gt;6)),1,0)</f>
        <v>0</v>
      </c>
      <c r="BI58" s="243">
        <f>IF(AND(S58&gt;4,MAX(S58:W58)&gt;6),1,0)</f>
        <v>0</v>
      </c>
      <c r="BJ58" s="247">
        <f>IF(AND(OR(X58+AA58&gt;12,AND(X58&gt;6,AA58&gt;6)),AO58&gt;6,OR(AP58&gt;=AO58,AP58&gt;6)),1,0)</f>
        <v>0</v>
      </c>
      <c r="BK58" s="248">
        <f>IF(OR(AND(X58&gt;6,AB58&gt;6),X58+AA58&gt;12),1,0)</f>
        <v>0</v>
      </c>
      <c r="BL58" s="248">
        <f>IF(AND(X58&gt;6,Z58&gt;6,AA58&gt;6),1,0)</f>
        <v>0</v>
      </c>
      <c r="BM58" s="248">
        <f>IF(AND(Z58&gt;7,OR(X58&gt;6,AA58&gt;6)),1,0)</f>
        <v>0</v>
      </c>
      <c r="BN58" s="248">
        <f>IF(AND(Z58&gt;6,OR(X58&gt;6,AA58&gt;6)),1,0)</f>
        <v>0</v>
      </c>
      <c r="BO58" s="248">
        <f>IF(AND(OR(X58&gt;6,Z58&gt;6),OR(X58&gt;6,AA58&gt;6)),1,0)</f>
        <v>0</v>
      </c>
      <c r="BP58" s="248">
        <f>IF(AND(X58&gt;4,OR(X58&gt;6,Z58&gt;6,AA58&gt;6)),1,0)</f>
        <v>0</v>
      </c>
      <c r="BQ58" s="248">
        <f>IF(AND(X58&gt;4,OR(X58&gt;6,Y58&gt;6,Z58&gt;6,AA58&gt;6)),1,0)</f>
        <v>0</v>
      </c>
      <c r="BR58" s="243">
        <f>IF(AND(X58&gt;4,MAX(X58:AB58)&gt;6),1,0)</f>
        <v>0</v>
      </c>
      <c r="BS58" s="243">
        <f>IF(AVERAGE(AO58:AP58)&gt;9,1,0)+IF(AVERAGE(AO58:AP58)&gt;7,1,0)+IF(AO58&gt;7,1,0)+IF(AP58&gt;7,1,0)+IF(AQ58&gt;8,1,0)+IF(AQ58&gt;6,1,0)</f>
        <v>0</v>
      </c>
      <c r="BT58" s="249">
        <f>IF(OR(MAX(AG58,AH58,AL58,AN58)&gt;6,MAX(AI58,AJ58,AK58,AM58)&gt;7),2,IF(MAX(AG58:AN58)&gt;4,1,0))</f>
        <v>2</v>
      </c>
      <c r="BU58" s="242" t="str">
        <f>IF(AS58=1,"Yes","")</f>
        <v/>
      </c>
      <c r="BV58" s="241" t="str">
        <f>IF($B58="ML","There",IF(AND($X58&gt;=6,AVERAGE($Z58:$AA58)&gt;=6),"Likely",IF(OR($X58&gt;6,AND($X58=6,AVERAGE($Z58:$AA58)&gt;=3),AND($X58&gt;=5,AVERAGE($Z58:$AA58)&gt;=5),AVERAGE($X58,$Z58:$AA58)&gt;5),"Possible","Unlikely")))</f>
        <v>Unlikely</v>
      </c>
      <c r="BW58" s="242" t="str">
        <f>IF(OR(AND(S58&gt;=6,U58+V58&gt;=12),S58&gt;7),"Start",IF(AND(S58&gt;=5,U58+V58&gt;=8),"Bench","aack!"))</f>
        <v>aack!</v>
      </c>
      <c r="BX58" s="242" t="str">
        <f>IF(OR(AND(X58&gt;=6,Z58+AA58&gt;=12),X58&gt;7),"Start",IF(AND(X58&gt;=5,Z58+AA58&gt;=8),"Bench","aack!"))</f>
        <v>aack!</v>
      </c>
      <c r="BY58" s="242" t="str">
        <f>IF(S58&gt;5,"ML",IF(S58=5,"AAA",IF(S58=4,"AA",IF(S58=3,"A","SS-A"))))</f>
        <v>AA</v>
      </c>
      <c r="BZ58" s="242">
        <f>S58-X58</f>
        <v>0</v>
      </c>
      <c r="CA58" s="242">
        <f>T58-Y58</f>
        <v>0</v>
      </c>
      <c r="CB58" s="242">
        <f>U58-Z58</f>
        <v>-1</v>
      </c>
      <c r="CC58" s="242">
        <f>V58-AA58</f>
        <v>-1</v>
      </c>
      <c r="CD58" s="242">
        <f>W58-AB58</f>
        <v>0</v>
      </c>
      <c r="CE58" s="242">
        <f>SUM(BZ58:CD58)</f>
        <v>-2</v>
      </c>
      <c r="CF58" s="242">
        <f>X58+Z58+AA58</f>
        <v>13</v>
      </c>
      <c r="CG58" s="242">
        <f>X58+Z58</f>
        <v>8</v>
      </c>
      <c r="CH58" s="242">
        <f>X58+AA58</f>
        <v>9</v>
      </c>
      <c r="CI58" s="242" t="str">
        <f>IF(L58&gt;24,"Now - Age",IF(S58&gt;6,"Now",IF(X58&lt;6,"With Dev",MIN(X58-S58,7-S58))))</f>
        <v>With Dev</v>
      </c>
      <c r="CJ58" s="257" t="str">
        <f>IF(AG58&lt;&gt;"-","X","")</f>
        <v/>
      </c>
      <c r="CK58" s="257" t="str">
        <f>IF(AND(AH58&lt;&gt;"-",AH58&gt;5),"X","")</f>
        <v/>
      </c>
      <c r="CL58" s="257" t="str">
        <f>IF(AND(AI58&lt;&gt;"-",AI58&gt;5),"X","")</f>
        <v/>
      </c>
      <c r="CM58" s="257" t="str">
        <f>IF(AND(AJ58&lt;&gt;"-",AJ58&gt;4,AC58&gt;6),"X","")</f>
        <v/>
      </c>
      <c r="CN58" s="257" t="str">
        <f>IF(AND(AK58&lt;&gt;"-",AK58&gt;5,AC58&gt;5),"X","")</f>
        <v/>
      </c>
      <c r="CO58" s="257" t="str">
        <f>IF(AND(AL58&lt;&gt;"-",AL58&gt;3),"X","")</f>
        <v>X</v>
      </c>
      <c r="CP58" s="257" t="str">
        <f>IF(AND(AM58&lt;&gt;"-",AM58&gt;6),"X","")</f>
        <v>X</v>
      </c>
      <c r="CQ58" s="257" t="str">
        <f>IF(AND(AN58&lt;&gt;"-",AN58&gt;5,AD58&gt;6),"X","")</f>
        <v/>
      </c>
      <c r="CR58" s="257" t="str">
        <f>IF(COUNTBLANK(CJ58:CQ58)=8,"X","")</f>
        <v/>
      </c>
    </row>
    <row r="59" spans="1:96" s="306" customFormat="1" x14ac:dyDescent="0.25">
      <c r="A59" s="240" t="str">
        <f>H59&amp;" "&amp;I59</f>
        <v>Willie McCoy</v>
      </c>
      <c r="B59" s="240" t="str">
        <f>IF(ISERROR(VLOOKUP(A59,AMA!$C$3:$C$24,1,FALSE)),IF(ISERROR(VLOOKUP(A59,'END-AAA'!$C$6:$C$33,1,FALSE)),IF(ISERROR(VLOOKUP(A59,'DB-AA'!$C$6:$C$33,1,FALSE)),IF(ISERROR(VLOOKUP(A59,'UTR-A'!$C$6:$C$33,1,FALSE)),IF(ISERROR(VLOOKUP(A59,'FAI-S A'!$C$6:$C$33,1,FALSE)),"","S A"),"A"),"AA"),"AAA"),"ML")</f>
        <v/>
      </c>
      <c r="C59" s="241"/>
      <c r="D59" s="242" t="str">
        <f>IF(BL59=1,3,IF(BM59=1,4,IF(BJ59=1,1,IF(BN59=1,5,IF(BK59=1,2,IF(BO59=1,6,IF(BP59=1,7,IF(BQ59=1,8,IF(BR59=1,9,"-")))))))))</f>
        <v>-</v>
      </c>
      <c r="E59" s="242" t="str">
        <f>IF(BC59=1,3,IF(BD59=1,4,IF(BA59=1,1,IF(BE59=1,5,IF(BB59=1,2,IF(BF59=1,6,IF(BG59=1,7,IF(BH59=1,8,IF(BI59=1,9,"-")))))))))</f>
        <v>-</v>
      </c>
      <c r="F59" s="242" t="str">
        <f>IF(OR(OR(Q59="Very High",Q59="High"),AND(OR(Q59="Very High",Q59="High",Q59="Normal"),OR(R59="Very High",R59="High"))),"K","T")</f>
        <v>K</v>
      </c>
      <c r="G59" s="242" t="s">
        <v>71</v>
      </c>
      <c r="H59" s="242" t="s">
        <v>1185</v>
      </c>
      <c r="I59" s="242" t="s">
        <v>1186</v>
      </c>
      <c r="J59" s="242" t="s">
        <v>814</v>
      </c>
      <c r="K59" s="242" t="s">
        <v>187</v>
      </c>
      <c r="L59" s="242">
        <v>23</v>
      </c>
      <c r="M59" s="242" t="s">
        <v>82</v>
      </c>
      <c r="N59" s="242" t="s">
        <v>83</v>
      </c>
      <c r="O59" s="242" t="s">
        <v>808</v>
      </c>
      <c r="P59" s="243" t="s">
        <v>773</v>
      </c>
      <c r="Q59" s="242" t="s">
        <v>199</v>
      </c>
      <c r="R59" s="243" t="s">
        <v>200</v>
      </c>
      <c r="S59" s="242">
        <v>4</v>
      </c>
      <c r="T59" s="242">
        <v>5</v>
      </c>
      <c r="U59" s="242">
        <v>3</v>
      </c>
      <c r="V59" s="242">
        <v>4</v>
      </c>
      <c r="W59" s="243">
        <v>5</v>
      </c>
      <c r="X59" s="242">
        <v>4</v>
      </c>
      <c r="Y59" s="242">
        <v>5</v>
      </c>
      <c r="Z59" s="242">
        <v>3</v>
      </c>
      <c r="AA59" s="242">
        <v>4</v>
      </c>
      <c r="AB59" s="243">
        <v>6</v>
      </c>
      <c r="AC59" s="242">
        <v>4</v>
      </c>
      <c r="AD59" s="242">
        <v>3</v>
      </c>
      <c r="AE59" s="242">
        <v>6</v>
      </c>
      <c r="AF59" s="242">
        <v>2</v>
      </c>
      <c r="AG59" s="242">
        <v>2</v>
      </c>
      <c r="AH59" s="242" t="s">
        <v>32</v>
      </c>
      <c r="AI59" s="242" t="s">
        <v>32</v>
      </c>
      <c r="AJ59" s="242" t="s">
        <v>32</v>
      </c>
      <c r="AK59" s="242" t="s">
        <v>32</v>
      </c>
      <c r="AL59" s="242" t="s">
        <v>32</v>
      </c>
      <c r="AM59" s="242" t="s">
        <v>32</v>
      </c>
      <c r="AN59" s="243" t="s">
        <v>32</v>
      </c>
      <c r="AO59" s="242">
        <v>3</v>
      </c>
      <c r="AP59" s="242">
        <v>5</v>
      </c>
      <c r="AQ59" s="243">
        <v>1</v>
      </c>
      <c r="AR59" s="244" t="s">
        <v>32</v>
      </c>
      <c r="AS59" s="243" t="s">
        <v>33</v>
      </c>
      <c r="AT59" s="248" t="s">
        <v>199</v>
      </c>
      <c r="AU59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2.6666666666666665</v>
      </c>
      <c r="AV59" s="246" t="str">
        <f>IF(AU59&gt;9,"SuperStar",IF(AU59&gt;8,"Star",IF(AU59&gt;6.5,"GoodReg",IF(AU59&gt;5,"Reg",IF(AU59&gt;4,"Bench","Minors")))))</f>
        <v>Minors</v>
      </c>
      <c r="AW59" s="245">
        <f>AVERAGE(X59,Z59,AA59)+IF(OR(X59&gt;7,AND(X59&gt;5,AA59&gt;5)),0.5,0)+IF(Z59&gt;7,0.25,0)+IF(X59&lt;6,-0.5*(6-X59),0)</f>
        <v>2.6666666666666665</v>
      </c>
      <c r="AX59" s="245" t="str">
        <f>IF(AW59&gt;9,"SuperStar",IF(AW59&gt;8,"Star",IF(AW59&gt;6.5,"GoodReg",IF(AW59&gt;5,"Reg",IF(AW59&gt;4,"Bench","Minors")))))</f>
        <v>Minors</v>
      </c>
      <c r="AY59" s="246">
        <f>MIN(AU59+(MAX(0,25-L59))^1.5,AW59)</f>
        <v>2.6666666666666665</v>
      </c>
      <c r="AZ59" s="246" t="str">
        <f>IF(AY59&gt;9,"SuperStar",IF(AY59&gt;8,"Star",IF(AY59&gt;6.5,"GoodReg",IF(AY59&gt;5,"Reg",IF(AY59&gt;4,"Bench","Minors")))))</f>
        <v>Minors</v>
      </c>
      <c r="BA59" s="247">
        <f>IF(AND(OR(S59+V59&gt;12,AND(S59&gt;6,V59&gt;6)),AO59&gt;6,OR(AP59&gt;=AO59,AP59&gt;6)),1,0)</f>
        <v>0</v>
      </c>
      <c r="BB59" s="248">
        <f>IF(OR(AND(S59&gt;6,W59&gt;6),S59+V59&gt;12),1,0)</f>
        <v>0</v>
      </c>
      <c r="BC59" s="248">
        <f>IF(AND(S59&gt;6,U59&gt;6,V59&gt;6),1,0)</f>
        <v>0</v>
      </c>
      <c r="BD59" s="248">
        <f>IF(AND(U59&gt;7,OR(S59&gt;6,V59&gt;6)),1,0)</f>
        <v>0</v>
      </c>
      <c r="BE59" s="248">
        <f>IF(AND(U59&gt;6,OR(S59&gt;6,V59&gt;6)),1,0)</f>
        <v>0</v>
      </c>
      <c r="BF59" s="248">
        <f>IF(AND(OR(S59&gt;6,U59&gt;6),OR(S59&gt;6,V59&gt;6)),1,0)</f>
        <v>0</v>
      </c>
      <c r="BG59" s="248">
        <f>IF(AND(S59&gt;4,OR(S59&gt;6,U59&gt;6,V59&gt;6)),1,0)</f>
        <v>0</v>
      </c>
      <c r="BH59" s="248">
        <f>IF(AND(S59&gt;4,OR(S59&gt;6,T59&gt;6,U59&gt;6,V59&gt;6)),1,0)</f>
        <v>0</v>
      </c>
      <c r="BI59" s="243">
        <f>IF(AND(S59&gt;4,MAX(S59:W59)&gt;6),1,0)</f>
        <v>0</v>
      </c>
      <c r="BJ59" s="247">
        <f>IF(AND(OR(X59+AA59&gt;12,AND(X59&gt;6,AA59&gt;6)),AO59&gt;6,OR(AP59&gt;=AO59,AP59&gt;6)),1,0)</f>
        <v>0</v>
      </c>
      <c r="BK59" s="248">
        <f>IF(OR(AND(X59&gt;6,AB59&gt;6),X59+AA59&gt;12),1,0)</f>
        <v>0</v>
      </c>
      <c r="BL59" s="248">
        <f>IF(AND(X59&gt;6,Z59&gt;6,AA59&gt;6),1,0)</f>
        <v>0</v>
      </c>
      <c r="BM59" s="248">
        <f>IF(AND(Z59&gt;7,OR(X59&gt;6,AA59&gt;6)),1,0)</f>
        <v>0</v>
      </c>
      <c r="BN59" s="248">
        <f>IF(AND(Z59&gt;6,OR(X59&gt;6,AA59&gt;6)),1,0)</f>
        <v>0</v>
      </c>
      <c r="BO59" s="248">
        <f>IF(AND(OR(X59&gt;6,Z59&gt;6),OR(X59&gt;6,AA59&gt;6)),1,0)</f>
        <v>0</v>
      </c>
      <c r="BP59" s="248">
        <f>IF(AND(X59&gt;4,OR(X59&gt;6,Z59&gt;6,AA59&gt;6)),1,0)</f>
        <v>0</v>
      </c>
      <c r="BQ59" s="248">
        <f>IF(AND(X59&gt;4,OR(X59&gt;6,Y59&gt;6,Z59&gt;6,AA59&gt;6)),1,0)</f>
        <v>0</v>
      </c>
      <c r="BR59" s="243">
        <f>IF(AND(X59&gt;4,MAX(X59:AB59)&gt;6),1,0)</f>
        <v>0</v>
      </c>
      <c r="BS59" s="243">
        <f>IF(AVERAGE(AO59:AP59)&gt;9,1,0)+IF(AVERAGE(AO59:AP59)&gt;7,1,0)+IF(AO59&gt;7,1,0)+IF(AP59&gt;7,1,0)+IF(AQ59&gt;8,1,0)+IF(AQ59&gt;6,1,0)</f>
        <v>0</v>
      </c>
      <c r="BT59" s="249">
        <f>IF(OR(MAX(AG59,AH59,AL59,AN59)&gt;6,MAX(AI59,AJ59,AK59,AM59)&gt;7),2,IF(MAX(AG59:AN59)&gt;4,1,0))</f>
        <v>0</v>
      </c>
      <c r="BU59" s="242" t="str">
        <f>IF(AS59=1,"Yes","")</f>
        <v/>
      </c>
      <c r="BV59" s="241" t="str">
        <f>IF($B59="ML","There",IF(AND($X59&gt;=6,AVERAGE($Z59:$AA59)&gt;=6),"Likely",IF(OR($X59&gt;6,AND($X59=6,AVERAGE($Z59:$AA59)&gt;=3),AND($X59&gt;=5,AVERAGE($Z59:$AA59)&gt;=5),AVERAGE($X59,$Z59:$AA59)&gt;5),"Possible","Unlikely")))</f>
        <v>Unlikely</v>
      </c>
      <c r="BW59" s="242" t="str">
        <f>IF(OR(AND(S59&gt;=6,U59+V59&gt;=12),S59&gt;7),"Start",IF(AND(S59&gt;=5,U59+V59&gt;=8),"Bench","aack!"))</f>
        <v>aack!</v>
      </c>
      <c r="BX59" s="242" t="str">
        <f>IF(OR(AND(X59&gt;=6,Z59+AA59&gt;=12),X59&gt;7),"Start",IF(AND(X59&gt;=5,Z59+AA59&gt;=8),"Bench","aack!"))</f>
        <v>aack!</v>
      </c>
      <c r="BY59" s="242" t="str">
        <f>IF(S59&gt;5,"ML",IF(S59=5,"AAA",IF(S59=4,"AA",IF(S59=3,"A","SS-A"))))</f>
        <v>AA</v>
      </c>
      <c r="BZ59" s="242">
        <f>S59-X59</f>
        <v>0</v>
      </c>
      <c r="CA59" s="242">
        <f>T59-Y59</f>
        <v>0</v>
      </c>
      <c r="CB59" s="242">
        <f>U59-Z59</f>
        <v>0</v>
      </c>
      <c r="CC59" s="242">
        <f>V59-AA59</f>
        <v>0</v>
      </c>
      <c r="CD59" s="242">
        <f>W59-AB59</f>
        <v>-1</v>
      </c>
      <c r="CE59" s="242">
        <f>SUM(BZ59:CD59)</f>
        <v>-1</v>
      </c>
      <c r="CF59" s="242">
        <f>X59+Z59+AA59</f>
        <v>11</v>
      </c>
      <c r="CG59" s="242">
        <f>X59+Z59</f>
        <v>7</v>
      </c>
      <c r="CH59" s="242">
        <f>X59+AA59</f>
        <v>8</v>
      </c>
      <c r="CI59" s="242" t="str">
        <f>IF(L59&gt;24,"Now - Age",IF(S59&gt;6,"Now",IF(X59&lt;6,"With Dev",MIN(X59-S59,7-S59))))</f>
        <v>With Dev</v>
      </c>
      <c r="CJ59" s="257" t="str">
        <f>IF(AG59&lt;&gt;"-","X","")</f>
        <v>X</v>
      </c>
      <c r="CK59" s="257" t="str">
        <f>IF(AND(AH59&lt;&gt;"-",AH59&gt;5),"X","")</f>
        <v/>
      </c>
      <c r="CL59" s="257" t="str">
        <f>IF(AND(AI59&lt;&gt;"-",AI59&gt;5),"X","")</f>
        <v/>
      </c>
      <c r="CM59" s="257" t="str">
        <f>IF(AND(AJ59&lt;&gt;"-",AJ59&gt;4,AC59&gt;6),"X","")</f>
        <v/>
      </c>
      <c r="CN59" s="257" t="str">
        <f>IF(AND(AK59&lt;&gt;"-",AK59&gt;5,AC59&gt;5),"X","")</f>
        <v/>
      </c>
      <c r="CO59" s="257" t="str">
        <f>IF(AND(AL59&lt;&gt;"-",AL59&gt;3),"X","")</f>
        <v/>
      </c>
      <c r="CP59" s="257" t="str">
        <f>IF(AND(AM59&lt;&gt;"-",AM59&gt;6),"X","")</f>
        <v/>
      </c>
      <c r="CQ59" s="257" t="str">
        <f>IF(AND(AN59&lt;&gt;"-",AN59&gt;5,AD59&gt;6),"X","")</f>
        <v/>
      </c>
      <c r="CR59" s="257" t="str">
        <f>IF(COUNTBLANK(CJ59:CQ59)=8,"X","")</f>
        <v/>
      </c>
    </row>
    <row r="60" spans="1:96" s="306" customFormat="1" x14ac:dyDescent="0.25">
      <c r="A60" s="240" t="str">
        <f>H60&amp;" "&amp;I60</f>
        <v>Claudio Morales</v>
      </c>
      <c r="B60" s="240" t="str">
        <f>IF(ISERROR(VLOOKUP(A60,AMA!$C$3:$C$24,1,FALSE)),IF(ISERROR(VLOOKUP(A60,'END-AAA'!$C$6:$C$33,1,FALSE)),IF(ISERROR(VLOOKUP(A60,'DB-AA'!$C$6:$C$33,1,FALSE)),IF(ISERROR(VLOOKUP(A60,'UTR-A'!$C$6:$C$33,1,FALSE)),IF(ISERROR(VLOOKUP(A60,'FAI-S A'!$C$6:$C$33,1,FALSE)),"","S A"),"A"),"AA"),"AAA"),"ML")</f>
        <v/>
      </c>
      <c r="C60" s="241"/>
      <c r="D60" s="242" t="str">
        <f>IF(BL60=1,3,IF(BM60=1,4,IF(BJ60=1,1,IF(BN60=1,5,IF(BK60=1,2,IF(BO60=1,6,IF(BP60=1,7,IF(BQ60=1,8,IF(BR60=1,9,"-")))))))))</f>
        <v>-</v>
      </c>
      <c r="E60" s="242" t="str">
        <f>IF(BC60=1,3,IF(BD60=1,4,IF(BA60=1,1,IF(BE60=1,5,IF(BB60=1,2,IF(BF60=1,6,IF(BG60=1,7,IF(BH60=1,8,IF(BI60=1,9,"-")))))))))</f>
        <v>-</v>
      </c>
      <c r="F60" s="242" t="str">
        <f>IF(OR(OR(Q60="Very High",Q60="High"),AND(OR(Q60="Very High",Q60="High",Q60="Normal"),OR(R60="Very High",R60="High"))),"K","T")</f>
        <v>T</v>
      </c>
      <c r="G60" s="242" t="s">
        <v>79</v>
      </c>
      <c r="H60" s="242" t="s">
        <v>435</v>
      </c>
      <c r="I60" s="242" t="s">
        <v>855</v>
      </c>
      <c r="J60" s="242" t="s">
        <v>802</v>
      </c>
      <c r="K60" s="242" t="s">
        <v>277</v>
      </c>
      <c r="L60" s="242">
        <v>22</v>
      </c>
      <c r="M60" s="242" t="s">
        <v>82</v>
      </c>
      <c r="N60" s="242" t="s">
        <v>82</v>
      </c>
      <c r="O60" s="242" t="s">
        <v>803</v>
      </c>
      <c r="P60" s="243" t="s">
        <v>773</v>
      </c>
      <c r="Q60" s="242" t="s">
        <v>201</v>
      </c>
      <c r="R60" s="243" t="s">
        <v>199</v>
      </c>
      <c r="S60" s="242">
        <v>3</v>
      </c>
      <c r="T60" s="242">
        <v>5</v>
      </c>
      <c r="U60" s="242">
        <v>4</v>
      </c>
      <c r="V60" s="242">
        <v>5</v>
      </c>
      <c r="W60" s="243">
        <v>2</v>
      </c>
      <c r="X60" s="242">
        <v>4</v>
      </c>
      <c r="Y60" s="242">
        <v>6</v>
      </c>
      <c r="Z60" s="242">
        <v>6</v>
      </c>
      <c r="AA60" s="242">
        <v>6</v>
      </c>
      <c r="AB60" s="243">
        <v>4</v>
      </c>
      <c r="AC60" s="242">
        <v>7</v>
      </c>
      <c r="AD60" s="242">
        <v>10</v>
      </c>
      <c r="AE60" s="242">
        <v>1</v>
      </c>
      <c r="AF60" s="242" t="s">
        <v>32</v>
      </c>
      <c r="AG60" s="242" t="s">
        <v>32</v>
      </c>
      <c r="AH60" s="242" t="s">
        <v>32</v>
      </c>
      <c r="AI60" s="242" t="s">
        <v>32</v>
      </c>
      <c r="AJ60" s="242" t="s">
        <v>32</v>
      </c>
      <c r="AK60" s="242" t="s">
        <v>32</v>
      </c>
      <c r="AL60" s="242">
        <v>3</v>
      </c>
      <c r="AM60" s="242" t="s">
        <v>32</v>
      </c>
      <c r="AN60" s="243">
        <v>4</v>
      </c>
      <c r="AO60" s="242">
        <v>1</v>
      </c>
      <c r="AP60" s="242">
        <v>5</v>
      </c>
      <c r="AQ60" s="243">
        <v>5</v>
      </c>
      <c r="AR60" s="244" t="s">
        <v>32</v>
      </c>
      <c r="AS60" s="243">
        <v>0</v>
      </c>
      <c r="AT60" s="248" t="s">
        <v>779</v>
      </c>
      <c r="AU60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2.5</v>
      </c>
      <c r="AV60" s="246" t="str">
        <f>IF(AU60&gt;9,"SuperStar",IF(AU60&gt;8,"Star",IF(AU60&gt;6.5,"GoodReg",IF(AU60&gt;5,"Reg",IF(AU60&gt;4,"Bench","Minors")))))</f>
        <v>Minors</v>
      </c>
      <c r="AW60" s="245">
        <f>AVERAGE(X60,Z60,AA60)+IF(OR(X60&gt;7,AND(X60&gt;5,AA60&gt;5)),0.5,0)+IF(Z60&gt;7,0.25,0)+IF(X60&lt;6,-0.5*(6-X60),0)</f>
        <v>4.333333333333333</v>
      </c>
      <c r="AX60" s="245" t="str">
        <f>IF(AW60&gt;9,"SuperStar",IF(AW60&gt;8,"Star",IF(AW60&gt;6.5,"GoodReg",IF(AW60&gt;5,"Reg",IF(AW60&gt;4,"Bench","Minors")))))</f>
        <v>Bench</v>
      </c>
      <c r="AY60" s="246">
        <f>MIN(AU60+(MAX(0,25-L60))^1.5,AW60)</f>
        <v>4.333333333333333</v>
      </c>
      <c r="AZ60" s="246" t="str">
        <f>IF(AY60&gt;9,"SuperStar",IF(AY60&gt;8,"Star",IF(AY60&gt;6.5,"GoodReg",IF(AY60&gt;5,"Reg",IF(AY60&gt;4,"Bench","Minors")))))</f>
        <v>Bench</v>
      </c>
      <c r="BA60" s="247">
        <f>IF(AND(OR(S60+V60&gt;12,AND(S60&gt;6,V60&gt;6)),AO60&gt;6,OR(AP60&gt;=AO60,AP60&gt;6)),1,0)</f>
        <v>0</v>
      </c>
      <c r="BB60" s="248">
        <f>IF(OR(AND(S60&gt;6,W60&gt;6),S60+V60&gt;12),1,0)</f>
        <v>0</v>
      </c>
      <c r="BC60" s="248">
        <f>IF(AND(S60&gt;6,U60&gt;6,V60&gt;6),1,0)</f>
        <v>0</v>
      </c>
      <c r="BD60" s="248">
        <f>IF(AND(U60&gt;7,OR(S60&gt;6,V60&gt;6)),1,0)</f>
        <v>0</v>
      </c>
      <c r="BE60" s="248">
        <f>IF(AND(U60&gt;6,OR(S60&gt;6,V60&gt;6)),1,0)</f>
        <v>0</v>
      </c>
      <c r="BF60" s="248">
        <f>IF(AND(OR(S60&gt;6,U60&gt;6),OR(S60&gt;6,V60&gt;6)),1,0)</f>
        <v>0</v>
      </c>
      <c r="BG60" s="248">
        <f>IF(AND(S60&gt;4,OR(S60&gt;6,U60&gt;6,V60&gt;6)),1,0)</f>
        <v>0</v>
      </c>
      <c r="BH60" s="248">
        <f>IF(AND(S60&gt;4,OR(S60&gt;6,T60&gt;6,U60&gt;6,V60&gt;6)),1,0)</f>
        <v>0</v>
      </c>
      <c r="BI60" s="243">
        <f>IF(AND(S60&gt;4,MAX(S60:W60)&gt;6),1,0)</f>
        <v>0</v>
      </c>
      <c r="BJ60" s="247">
        <f>IF(AND(OR(X60+AA60&gt;12,AND(X60&gt;6,AA60&gt;6)),AO60&gt;6,OR(AP60&gt;=AO60,AP60&gt;6)),1,0)</f>
        <v>0</v>
      </c>
      <c r="BK60" s="248">
        <f>IF(OR(AND(X60&gt;6,AB60&gt;6),X60+AA60&gt;12),1,0)</f>
        <v>0</v>
      </c>
      <c r="BL60" s="248">
        <f>IF(AND(X60&gt;6,Z60&gt;6,AA60&gt;6),1,0)</f>
        <v>0</v>
      </c>
      <c r="BM60" s="248">
        <f>IF(AND(Z60&gt;7,OR(X60&gt;6,AA60&gt;6)),1,0)</f>
        <v>0</v>
      </c>
      <c r="BN60" s="248">
        <f>IF(AND(Z60&gt;6,OR(X60&gt;6,AA60&gt;6)),1,0)</f>
        <v>0</v>
      </c>
      <c r="BO60" s="248">
        <f>IF(AND(OR(X60&gt;6,Z60&gt;6),OR(X60&gt;6,AA60&gt;6)),1,0)</f>
        <v>0</v>
      </c>
      <c r="BP60" s="248">
        <f>IF(AND(X60&gt;4,OR(X60&gt;6,Z60&gt;6,AA60&gt;6)),1,0)</f>
        <v>0</v>
      </c>
      <c r="BQ60" s="248">
        <f>IF(AND(X60&gt;4,OR(X60&gt;6,Y60&gt;6,Z60&gt;6,AA60&gt;6)),1,0)</f>
        <v>0</v>
      </c>
      <c r="BR60" s="243">
        <f>IF(AND(X60&gt;4,MAX(X60:AB60)&gt;6),1,0)</f>
        <v>0</v>
      </c>
      <c r="BS60" s="243">
        <f>IF(AVERAGE(AO60:AP60)&gt;9,1,0)+IF(AVERAGE(AO60:AP60)&gt;7,1,0)+IF(AO60&gt;7,1,0)+IF(AP60&gt;7,1,0)+IF(AQ60&gt;8,1,0)+IF(AQ60&gt;6,1,0)</f>
        <v>0</v>
      </c>
      <c r="BT60" s="249">
        <f>IF(OR(MAX(AG60,AH60,AL60,AN60)&gt;6,MAX(AI60,AJ60,AK60,AM60)&gt;7),2,IF(MAX(AG60:AN60)&gt;4,1,0))</f>
        <v>0</v>
      </c>
      <c r="BU60" s="242" t="str">
        <f>IF(AS60=1,"Yes","")</f>
        <v/>
      </c>
      <c r="BV60" s="241" t="str">
        <f>IF($B60="ML","There",IF(AND($X60&gt;=6,AVERAGE($Z60:$AA60)&gt;=6),"Likely",IF(OR($X60&gt;6,AND($X60=6,AVERAGE($Z60:$AA60)&gt;=3),AND($X60&gt;=5,AVERAGE($Z60:$AA60)&gt;=5),AVERAGE($X60,$Z60:$AA60)&gt;5),"Possible","Unlikely")))</f>
        <v>Possible</v>
      </c>
      <c r="BW60" s="242" t="str">
        <f>IF(OR(AND(S60&gt;=6,U60+V60&gt;=12),S60&gt;7),"Start",IF(AND(S60&gt;=5,U60+V60&gt;=8),"Bench","aack!"))</f>
        <v>aack!</v>
      </c>
      <c r="BX60" s="242" t="str">
        <f>IF(OR(AND(X60&gt;=6,Z60+AA60&gt;=12),X60&gt;7),"Start",IF(AND(X60&gt;=5,Z60+AA60&gt;=8),"Bench","aack!"))</f>
        <v>aack!</v>
      </c>
      <c r="BY60" s="242" t="str">
        <f>IF(S60&gt;5,"ML",IF(S60=5,"AAA",IF(S60=4,"AA",IF(S60=3,"A","SS-A"))))</f>
        <v>A</v>
      </c>
      <c r="BZ60" s="242">
        <f>S60-X60</f>
        <v>-1</v>
      </c>
      <c r="CA60" s="242">
        <f>T60-Y60</f>
        <v>-1</v>
      </c>
      <c r="CB60" s="242">
        <f>U60-Z60</f>
        <v>-2</v>
      </c>
      <c r="CC60" s="242">
        <f>V60-AA60</f>
        <v>-1</v>
      </c>
      <c r="CD60" s="242">
        <f>W60-AB60</f>
        <v>-2</v>
      </c>
      <c r="CE60" s="242">
        <f>SUM(BZ60:CD60)</f>
        <v>-7</v>
      </c>
      <c r="CF60" s="242">
        <f>X60+Z60+AA60</f>
        <v>16</v>
      </c>
      <c r="CG60" s="242">
        <f>X60+Z60</f>
        <v>10</v>
      </c>
      <c r="CH60" s="242">
        <f>X60+AA60</f>
        <v>10</v>
      </c>
      <c r="CI60" s="242" t="str">
        <f>IF(L60&gt;24,"Now - Age",IF(S60&gt;6,"Now",IF(X60&lt;6,"With Dev",MIN(X60-S60,7-S60))))</f>
        <v>With Dev</v>
      </c>
      <c r="CJ60" s="257" t="str">
        <f>IF(AG60&lt;&gt;"-","X","")</f>
        <v/>
      </c>
      <c r="CK60" s="257" t="str">
        <f>IF(AND(AH60&lt;&gt;"-",AH60&gt;5),"X","")</f>
        <v/>
      </c>
      <c r="CL60" s="257" t="str">
        <f>IF(AND(AI60&lt;&gt;"-",AI60&gt;5),"X","")</f>
        <v/>
      </c>
      <c r="CM60" s="257" t="str">
        <f>IF(AND(AJ60&lt;&gt;"-",AJ60&gt;4,AC60&gt;6),"X","")</f>
        <v/>
      </c>
      <c r="CN60" s="257" t="str">
        <f>IF(AND(AK60&lt;&gt;"-",AK60&gt;5,AC60&gt;5),"X","")</f>
        <v/>
      </c>
      <c r="CO60" s="257" t="str">
        <f>IF(AND(AL60&lt;&gt;"-",AL60&gt;3),"X","")</f>
        <v/>
      </c>
      <c r="CP60" s="257" t="str">
        <f>IF(AND(AM60&lt;&gt;"-",AM60&gt;6),"X","")</f>
        <v/>
      </c>
      <c r="CQ60" s="257" t="str">
        <f>IF(AND(AN60&lt;&gt;"-",AN60&gt;5,AD60&gt;6),"X","")</f>
        <v/>
      </c>
      <c r="CR60" s="257" t="str">
        <f>IF(COUNTBLANK(CJ60:CQ60)=8,"X","")</f>
        <v>X</v>
      </c>
    </row>
    <row r="61" spans="1:96" s="306" customFormat="1" x14ac:dyDescent="0.25">
      <c r="A61" s="240" t="str">
        <f>H61&amp;" "&amp;I61</f>
        <v>Pedro Martínez</v>
      </c>
      <c r="B61" s="240" t="str">
        <f>IF(ISERROR(VLOOKUP(A61,AMA!$C$3:$C$24,1,FALSE)),IF(ISERROR(VLOOKUP(A61,'END-AAA'!$C$6:$C$33,1,FALSE)),IF(ISERROR(VLOOKUP(A61,'DB-AA'!$C$6:$C$33,1,FALSE)),IF(ISERROR(VLOOKUP(A61,'UTR-A'!$C$6:$C$33,1,FALSE)),IF(ISERROR(VLOOKUP(A61,'FAI-S A'!$C$6:$C$33,1,FALSE)),"","S A"),"A"),"AA"),"AAA"),"ML")</f>
        <v/>
      </c>
      <c r="C61" s="241"/>
      <c r="D61" s="242" t="str">
        <f>IF(BL61=1,3,IF(BM61=1,4,IF(BJ61=1,1,IF(BN61=1,5,IF(BK61=1,2,IF(BO61=1,6,IF(BP61=1,7,IF(BQ61=1,8,IF(BR61=1,9,"-")))))))))</f>
        <v>-</v>
      </c>
      <c r="E61" s="242" t="str">
        <f>IF(BC61=1,3,IF(BD61=1,4,IF(BA61=1,1,IF(BE61=1,5,IF(BB61=1,2,IF(BF61=1,6,IF(BG61=1,7,IF(BH61=1,8,IF(BI61=1,9,"-")))))))))</f>
        <v>-</v>
      </c>
      <c r="F61" s="242" t="str">
        <f>IF(OR(OR(Q61="Very High",Q61="High"),AND(OR(Q61="Very High",Q61="High",Q61="Normal"),OR(R61="Very High",R61="High"))),"K","T")</f>
        <v>T</v>
      </c>
      <c r="G61" s="242" t="s">
        <v>79</v>
      </c>
      <c r="H61" s="242" t="s">
        <v>409</v>
      </c>
      <c r="I61" s="242" t="s">
        <v>430</v>
      </c>
      <c r="J61" s="242" t="s">
        <v>802</v>
      </c>
      <c r="K61" s="242" t="s">
        <v>277</v>
      </c>
      <c r="L61" s="242">
        <v>22</v>
      </c>
      <c r="M61" s="242" t="s">
        <v>85</v>
      </c>
      <c r="N61" s="242" t="s">
        <v>82</v>
      </c>
      <c r="O61" s="242" t="s">
        <v>808</v>
      </c>
      <c r="P61" s="243" t="s">
        <v>773</v>
      </c>
      <c r="Q61" s="242" t="s">
        <v>201</v>
      </c>
      <c r="R61" s="243" t="s">
        <v>200</v>
      </c>
      <c r="S61" s="242">
        <v>3</v>
      </c>
      <c r="T61" s="242">
        <v>5</v>
      </c>
      <c r="U61" s="242">
        <v>3</v>
      </c>
      <c r="V61" s="242">
        <v>6</v>
      </c>
      <c r="W61" s="243">
        <v>2</v>
      </c>
      <c r="X61" s="242">
        <v>3</v>
      </c>
      <c r="Y61" s="242">
        <v>6</v>
      </c>
      <c r="Z61" s="242">
        <v>5</v>
      </c>
      <c r="AA61" s="242">
        <v>6</v>
      </c>
      <c r="AB61" s="243">
        <v>3</v>
      </c>
      <c r="AC61" s="242">
        <v>5</v>
      </c>
      <c r="AD61" s="242">
        <v>7</v>
      </c>
      <c r="AE61" s="242">
        <v>1</v>
      </c>
      <c r="AF61" s="242" t="s">
        <v>32</v>
      </c>
      <c r="AG61" s="242" t="s">
        <v>32</v>
      </c>
      <c r="AH61" s="242" t="s">
        <v>32</v>
      </c>
      <c r="AI61" s="242" t="s">
        <v>32</v>
      </c>
      <c r="AJ61" s="242" t="s">
        <v>32</v>
      </c>
      <c r="AK61" s="242" t="s">
        <v>32</v>
      </c>
      <c r="AL61" s="242">
        <v>1</v>
      </c>
      <c r="AM61" s="242" t="s">
        <v>32</v>
      </c>
      <c r="AN61" s="243">
        <v>5</v>
      </c>
      <c r="AO61" s="242">
        <v>5</v>
      </c>
      <c r="AP61" s="242">
        <v>4</v>
      </c>
      <c r="AQ61" s="243">
        <v>6</v>
      </c>
      <c r="AR61" s="244" t="s">
        <v>32</v>
      </c>
      <c r="AS61" s="243">
        <v>0</v>
      </c>
      <c r="AT61" s="248" t="s">
        <v>199</v>
      </c>
      <c r="AU6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2.5</v>
      </c>
      <c r="AV61" s="246" t="str">
        <f>IF(AU61&gt;9,"SuperStar",IF(AU61&gt;8,"Star",IF(AU61&gt;6.5,"GoodReg",IF(AU61&gt;5,"Reg",IF(AU61&gt;4,"Bench","Minors")))))</f>
        <v>Minors</v>
      </c>
      <c r="AW61" s="245">
        <f>AVERAGE(X61,Z61,AA61)+IF(OR(X61&gt;7,AND(X61&gt;5,AA61&gt;5)),0.5,0)+IF(Z61&gt;7,0.25,0)+IF(X61&lt;6,-0.5*(6-X61),0)</f>
        <v>3.166666666666667</v>
      </c>
      <c r="AX61" s="245" t="str">
        <f>IF(AW61&gt;9,"SuperStar",IF(AW61&gt;8,"Star",IF(AW61&gt;6.5,"GoodReg",IF(AW61&gt;5,"Reg",IF(AW61&gt;4,"Bench","Minors")))))</f>
        <v>Minors</v>
      </c>
      <c r="AY61" s="246">
        <f>MIN(AU61+(MAX(0,25-L61))^1.5,AW61)</f>
        <v>3.166666666666667</v>
      </c>
      <c r="AZ61" s="246" t="str">
        <f>IF(AY61&gt;9,"SuperStar",IF(AY61&gt;8,"Star",IF(AY61&gt;6.5,"GoodReg",IF(AY61&gt;5,"Reg",IF(AY61&gt;4,"Bench","Minors")))))</f>
        <v>Minors</v>
      </c>
      <c r="BA61" s="247">
        <f>IF(AND(OR(S61+V61&gt;12,AND(S61&gt;6,V61&gt;6)),AO61&gt;6,OR(AP61&gt;=AO61,AP61&gt;6)),1,0)</f>
        <v>0</v>
      </c>
      <c r="BB61" s="248">
        <f>IF(OR(AND(S61&gt;6,W61&gt;6),S61+V61&gt;12),1,0)</f>
        <v>0</v>
      </c>
      <c r="BC61" s="248">
        <f>IF(AND(S61&gt;6,U61&gt;6,V61&gt;6),1,0)</f>
        <v>0</v>
      </c>
      <c r="BD61" s="248">
        <f>IF(AND(U61&gt;7,OR(S61&gt;6,V61&gt;6)),1,0)</f>
        <v>0</v>
      </c>
      <c r="BE61" s="248">
        <f>IF(AND(U61&gt;6,OR(S61&gt;6,V61&gt;6)),1,0)</f>
        <v>0</v>
      </c>
      <c r="BF61" s="248">
        <f>IF(AND(OR(S61&gt;6,U61&gt;6),OR(S61&gt;6,V61&gt;6)),1,0)</f>
        <v>0</v>
      </c>
      <c r="BG61" s="248">
        <f>IF(AND(S61&gt;4,OR(S61&gt;6,U61&gt;6,V61&gt;6)),1,0)</f>
        <v>0</v>
      </c>
      <c r="BH61" s="248">
        <f>IF(AND(S61&gt;4,OR(S61&gt;6,T61&gt;6,U61&gt;6,V61&gt;6)),1,0)</f>
        <v>0</v>
      </c>
      <c r="BI61" s="243">
        <f>IF(AND(S61&gt;4,MAX(S61:W61)&gt;6),1,0)</f>
        <v>0</v>
      </c>
      <c r="BJ61" s="247">
        <f>IF(AND(OR(X61+AA61&gt;12,AND(X61&gt;6,AA61&gt;6)),AO61&gt;6,OR(AP61&gt;=AO61,AP61&gt;6)),1,0)</f>
        <v>0</v>
      </c>
      <c r="BK61" s="248">
        <f>IF(OR(AND(X61&gt;6,AB61&gt;6),X61+AA61&gt;12),1,0)</f>
        <v>0</v>
      </c>
      <c r="BL61" s="248">
        <f>IF(AND(X61&gt;6,Z61&gt;6,AA61&gt;6),1,0)</f>
        <v>0</v>
      </c>
      <c r="BM61" s="248">
        <f>IF(AND(Z61&gt;7,OR(X61&gt;6,AA61&gt;6)),1,0)</f>
        <v>0</v>
      </c>
      <c r="BN61" s="248">
        <f>IF(AND(Z61&gt;6,OR(X61&gt;6,AA61&gt;6)),1,0)</f>
        <v>0</v>
      </c>
      <c r="BO61" s="248">
        <f>IF(AND(OR(X61&gt;6,Z61&gt;6),OR(X61&gt;6,AA61&gt;6)),1,0)</f>
        <v>0</v>
      </c>
      <c r="BP61" s="248">
        <f>IF(AND(X61&gt;4,OR(X61&gt;6,Z61&gt;6,AA61&gt;6)),1,0)</f>
        <v>0</v>
      </c>
      <c r="BQ61" s="248">
        <f>IF(AND(X61&gt;4,OR(X61&gt;6,Y61&gt;6,Z61&gt;6,AA61&gt;6)),1,0)</f>
        <v>0</v>
      </c>
      <c r="BR61" s="243">
        <f>IF(AND(X61&gt;4,MAX(X61:AB61)&gt;6),1,0)</f>
        <v>0</v>
      </c>
      <c r="BS61" s="243">
        <f>IF(AVERAGE(AO61:AP61)&gt;9,1,0)+IF(AVERAGE(AO61:AP61)&gt;7,1,0)+IF(AO61&gt;7,1,0)+IF(AP61&gt;7,1,0)+IF(AQ61&gt;8,1,0)+IF(AQ61&gt;6,1,0)</f>
        <v>0</v>
      </c>
      <c r="BT61" s="249">
        <f>IF(OR(MAX(AG61,AH61,AL61,AN61)&gt;6,MAX(AI61,AJ61,AK61,AM61)&gt;7),2,IF(MAX(AG61:AN61)&gt;4,1,0))</f>
        <v>1</v>
      </c>
      <c r="BU61" s="242" t="str">
        <f>IF(AS61=1,"Yes","")</f>
        <v/>
      </c>
      <c r="BV61" s="241" t="str">
        <f>IF($B61="ML","There",IF(AND($X61&gt;=6,AVERAGE($Z61:$AA61)&gt;=6),"Likely",IF(OR($X61&gt;6,AND($X61=6,AVERAGE($Z61:$AA61)&gt;=3),AND($X61&gt;=5,AVERAGE($Z61:$AA61)&gt;=5),AVERAGE($X61,$Z61:$AA61)&gt;5),"Possible","Unlikely")))</f>
        <v>Unlikely</v>
      </c>
      <c r="BW61" s="242" t="str">
        <f>IF(OR(AND(S61&gt;=6,U61+V61&gt;=12),S61&gt;7),"Start",IF(AND(S61&gt;=5,U61+V61&gt;=8),"Bench","aack!"))</f>
        <v>aack!</v>
      </c>
      <c r="BX61" s="242" t="str">
        <f>IF(OR(AND(X61&gt;=6,Z61+AA61&gt;=12),X61&gt;7),"Start",IF(AND(X61&gt;=5,Z61+AA61&gt;=8),"Bench","aack!"))</f>
        <v>aack!</v>
      </c>
      <c r="BY61" s="242" t="str">
        <f>IF(S61&gt;5,"ML",IF(S61=5,"AAA",IF(S61=4,"AA",IF(S61=3,"A","SS-A"))))</f>
        <v>A</v>
      </c>
      <c r="BZ61" s="242">
        <f>S61-X61</f>
        <v>0</v>
      </c>
      <c r="CA61" s="242">
        <f>T61-Y61</f>
        <v>-1</v>
      </c>
      <c r="CB61" s="242">
        <f>U61-Z61</f>
        <v>-2</v>
      </c>
      <c r="CC61" s="242">
        <f>V61-AA61</f>
        <v>0</v>
      </c>
      <c r="CD61" s="242">
        <f>W61-AB61</f>
        <v>-1</v>
      </c>
      <c r="CE61" s="242">
        <f>SUM(BZ61:CD61)</f>
        <v>-4</v>
      </c>
      <c r="CF61" s="242">
        <f>X61+Z61+AA61</f>
        <v>14</v>
      </c>
      <c r="CG61" s="242">
        <f>X61+Z61</f>
        <v>8</v>
      </c>
      <c r="CH61" s="242">
        <f>X61+AA61</f>
        <v>9</v>
      </c>
      <c r="CI61" s="242" t="str">
        <f>IF(L61&gt;24,"Now - Age",IF(S61&gt;6,"Now",IF(X61&lt;6,"With Dev",MIN(X61-S61,7-S61))))</f>
        <v>With Dev</v>
      </c>
      <c r="CJ61" s="257" t="str">
        <f>IF(AG61&lt;&gt;"-","X","")</f>
        <v/>
      </c>
      <c r="CK61" s="257" t="str">
        <f>IF(AND(AH61&lt;&gt;"-",AH61&gt;5),"X","")</f>
        <v/>
      </c>
      <c r="CL61" s="257" t="str">
        <f>IF(AND(AI61&lt;&gt;"-",AI61&gt;5),"X","")</f>
        <v/>
      </c>
      <c r="CM61" s="257" t="str">
        <f>IF(AND(AJ61&lt;&gt;"-",AJ61&gt;4,AC61&gt;6),"X","")</f>
        <v/>
      </c>
      <c r="CN61" s="257" t="str">
        <f>IF(AND(AK61&lt;&gt;"-",AK61&gt;5,AC61&gt;5),"X","")</f>
        <v/>
      </c>
      <c r="CO61" s="257" t="str">
        <f>IF(AND(AL61&lt;&gt;"-",AL61&gt;3),"X","")</f>
        <v/>
      </c>
      <c r="CP61" s="257" t="str">
        <f>IF(AND(AM61&lt;&gt;"-",AM61&gt;6),"X","")</f>
        <v/>
      </c>
      <c r="CQ61" s="257" t="str">
        <f>IF(AND(AN61&lt;&gt;"-",AN61&gt;5,AD61&gt;6),"X","")</f>
        <v/>
      </c>
      <c r="CR61" s="257" t="str">
        <f>IF(COUNTBLANK(CJ61:CQ61)=8,"X","")</f>
        <v>X</v>
      </c>
    </row>
    <row r="62" spans="1:96" s="306" customFormat="1" x14ac:dyDescent="0.25">
      <c r="A62" s="240" t="str">
        <f>H62&amp;" "&amp;I62</f>
        <v>Rich Kefer</v>
      </c>
      <c r="B62" s="240" t="str">
        <f>IF(ISERROR(VLOOKUP(A62,AMA!$C$3:$C$24,1,FALSE)),IF(ISERROR(VLOOKUP(A62,'END-AAA'!$C$6:$C$33,1,FALSE)),IF(ISERROR(VLOOKUP(A62,'DB-AA'!$C$6:$C$33,1,FALSE)),IF(ISERROR(VLOOKUP(A62,'UTR-A'!$C$6:$C$33,1,FALSE)),IF(ISERROR(VLOOKUP(A62,'FAI-S A'!$C$6:$C$33,1,FALSE)),"","S A"),"A"),"AA"),"AAA"),"ML")</f>
        <v/>
      </c>
      <c r="C62" s="241"/>
      <c r="D62" s="242" t="str">
        <f>IF(BL62=1,3,IF(BM62=1,4,IF(BJ62=1,1,IF(BN62=1,5,IF(BK62=1,2,IF(BO62=1,6,IF(BP62=1,7,IF(BQ62=1,8,IF(BR62=1,9,"-")))))))))</f>
        <v>-</v>
      </c>
      <c r="E62" s="242" t="str">
        <f>IF(BC62=1,3,IF(BD62=1,4,IF(BA62=1,1,IF(BE62=1,5,IF(BB62=1,2,IF(BF62=1,6,IF(BG62=1,7,IF(BH62=1,8,IF(BI62=1,9,"-")))))))))</f>
        <v>-</v>
      </c>
      <c r="F62" s="242" t="str">
        <f>IF(OR(OR(Q62="Very High",Q62="High"),AND(OR(Q62="Very High",Q62="High",Q62="Normal"),OR(R62="Very High",R62="High"))),"K","T")</f>
        <v>K</v>
      </c>
      <c r="G62" s="242" t="s">
        <v>11</v>
      </c>
      <c r="H62" s="242" t="s">
        <v>523</v>
      </c>
      <c r="I62" s="242" t="s">
        <v>849</v>
      </c>
      <c r="J62" s="242" t="s">
        <v>763</v>
      </c>
      <c r="K62" s="242" t="s">
        <v>402</v>
      </c>
      <c r="L62" s="242">
        <v>27</v>
      </c>
      <c r="M62" s="242" t="s">
        <v>83</v>
      </c>
      <c r="N62" s="242" t="s">
        <v>83</v>
      </c>
      <c r="O62" s="242" t="s">
        <v>773</v>
      </c>
      <c r="P62" s="243" t="s">
        <v>773</v>
      </c>
      <c r="Q62" s="242" t="s">
        <v>199</v>
      </c>
      <c r="R62" s="243" t="s">
        <v>200</v>
      </c>
      <c r="S62" s="242">
        <v>3</v>
      </c>
      <c r="T62" s="242">
        <v>3</v>
      </c>
      <c r="U62" s="242">
        <v>2</v>
      </c>
      <c r="V62" s="242">
        <v>7</v>
      </c>
      <c r="W62" s="243">
        <v>4</v>
      </c>
      <c r="X62" s="242">
        <v>3</v>
      </c>
      <c r="Y62" s="242">
        <v>3</v>
      </c>
      <c r="Z62" s="242">
        <v>2</v>
      </c>
      <c r="AA62" s="242">
        <v>7</v>
      </c>
      <c r="AB62" s="243">
        <v>4</v>
      </c>
      <c r="AC62" s="242">
        <v>5</v>
      </c>
      <c r="AD62" s="242">
        <v>1</v>
      </c>
      <c r="AE62" s="242">
        <v>1</v>
      </c>
      <c r="AF62" s="242" t="s">
        <v>32</v>
      </c>
      <c r="AG62" s="242" t="s">
        <v>32</v>
      </c>
      <c r="AH62" s="242" t="s">
        <v>32</v>
      </c>
      <c r="AI62" s="242" t="s">
        <v>32</v>
      </c>
      <c r="AJ62" s="242" t="s">
        <v>32</v>
      </c>
      <c r="AK62" s="242" t="s">
        <v>32</v>
      </c>
      <c r="AL62" s="242" t="s">
        <v>32</v>
      </c>
      <c r="AM62" s="242" t="s">
        <v>32</v>
      </c>
      <c r="AN62" s="243" t="s">
        <v>32</v>
      </c>
      <c r="AO62" s="242">
        <v>1</v>
      </c>
      <c r="AP62" s="242">
        <v>2</v>
      </c>
      <c r="AQ62" s="243">
        <v>1</v>
      </c>
      <c r="AR62" s="244">
        <v>560000</v>
      </c>
      <c r="AS62" s="243" t="s">
        <v>33</v>
      </c>
      <c r="AT62" s="248" t="s">
        <v>1267</v>
      </c>
      <c r="AU6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2.5</v>
      </c>
      <c r="AV62" s="246" t="str">
        <f>IF(AU62&gt;9,"SuperStar",IF(AU62&gt;8,"Star",IF(AU62&gt;6.5,"GoodReg",IF(AU62&gt;5,"Reg",IF(AU62&gt;4,"Bench","Minors")))))</f>
        <v>Minors</v>
      </c>
      <c r="AW62" s="245">
        <f>AVERAGE(X62,Z62,AA62)+IF(OR(X62&gt;7,AND(X62&gt;5,AA62&gt;5)),0.5,0)+IF(Z62&gt;7,0.25,0)+IF(X62&lt;6,-0.5*(6-X62),0)</f>
        <v>2.5</v>
      </c>
      <c r="AX62" s="245" t="str">
        <f>IF(AW62&gt;9,"SuperStar",IF(AW62&gt;8,"Star",IF(AW62&gt;6.5,"GoodReg",IF(AW62&gt;5,"Reg",IF(AW62&gt;4,"Bench","Minors")))))</f>
        <v>Minors</v>
      </c>
      <c r="AY62" s="246">
        <f>MIN(AU62+(MAX(0,25-L62))^1.5,AW62)</f>
        <v>2.5</v>
      </c>
      <c r="AZ62" s="246" t="str">
        <f>IF(AY62&gt;9,"SuperStar",IF(AY62&gt;8,"Star",IF(AY62&gt;6.5,"GoodReg",IF(AY62&gt;5,"Reg",IF(AY62&gt;4,"Bench","Minors")))))</f>
        <v>Minors</v>
      </c>
      <c r="BA62" s="247">
        <f>IF(AND(OR(S62+V62&gt;12,AND(S62&gt;6,V62&gt;6)),AO62&gt;6,OR(AP62&gt;=AO62,AP62&gt;6)),1,0)</f>
        <v>0</v>
      </c>
      <c r="BB62" s="248">
        <f>IF(OR(AND(S62&gt;6,W62&gt;6),S62+V62&gt;12),1,0)</f>
        <v>0</v>
      </c>
      <c r="BC62" s="248">
        <f>IF(AND(S62&gt;6,U62&gt;6,V62&gt;6),1,0)</f>
        <v>0</v>
      </c>
      <c r="BD62" s="248">
        <f>IF(AND(U62&gt;7,OR(S62&gt;6,V62&gt;6)),1,0)</f>
        <v>0</v>
      </c>
      <c r="BE62" s="248">
        <f>IF(AND(U62&gt;6,OR(S62&gt;6,V62&gt;6)),1,0)</f>
        <v>0</v>
      </c>
      <c r="BF62" s="248">
        <f>IF(AND(OR(S62&gt;6,U62&gt;6),OR(S62&gt;6,V62&gt;6)),1,0)</f>
        <v>0</v>
      </c>
      <c r="BG62" s="248">
        <f>IF(AND(S62&gt;4,OR(S62&gt;6,U62&gt;6,V62&gt;6)),1,0)</f>
        <v>0</v>
      </c>
      <c r="BH62" s="248">
        <f>IF(AND(S62&gt;4,OR(S62&gt;6,T62&gt;6,U62&gt;6,V62&gt;6)),1,0)</f>
        <v>0</v>
      </c>
      <c r="BI62" s="243">
        <f>IF(AND(S62&gt;4,MAX(S62:W62)&gt;6),1,0)</f>
        <v>0</v>
      </c>
      <c r="BJ62" s="247">
        <f>IF(AND(OR(X62+AA62&gt;12,AND(X62&gt;6,AA62&gt;6)),AO62&gt;6,OR(AP62&gt;=AO62,AP62&gt;6)),1,0)</f>
        <v>0</v>
      </c>
      <c r="BK62" s="248">
        <f>IF(OR(AND(X62&gt;6,AB62&gt;6),X62+AA62&gt;12),1,0)</f>
        <v>0</v>
      </c>
      <c r="BL62" s="248">
        <f>IF(AND(X62&gt;6,Z62&gt;6,AA62&gt;6),1,0)</f>
        <v>0</v>
      </c>
      <c r="BM62" s="248">
        <f>IF(AND(Z62&gt;7,OR(X62&gt;6,AA62&gt;6)),1,0)</f>
        <v>0</v>
      </c>
      <c r="BN62" s="248">
        <f>IF(AND(Z62&gt;6,OR(X62&gt;6,AA62&gt;6)),1,0)</f>
        <v>0</v>
      </c>
      <c r="BO62" s="248">
        <f>IF(AND(OR(X62&gt;6,Z62&gt;6),OR(X62&gt;6,AA62&gt;6)),1,0)</f>
        <v>0</v>
      </c>
      <c r="BP62" s="248">
        <f>IF(AND(X62&gt;4,OR(X62&gt;6,Z62&gt;6,AA62&gt;6)),1,0)</f>
        <v>0</v>
      </c>
      <c r="BQ62" s="248">
        <f>IF(AND(X62&gt;4,OR(X62&gt;6,Y62&gt;6,Z62&gt;6,AA62&gt;6)),1,0)</f>
        <v>0</v>
      </c>
      <c r="BR62" s="243">
        <f>IF(AND(X62&gt;4,MAX(X62:AB62)&gt;6),1,0)</f>
        <v>0</v>
      </c>
      <c r="BS62" s="243">
        <f>IF(AVERAGE(AO62:AP62)&gt;9,1,0)+IF(AVERAGE(AO62:AP62)&gt;7,1,0)+IF(AO62&gt;7,1,0)+IF(AP62&gt;7,1,0)+IF(AQ62&gt;8,1,0)+IF(AQ62&gt;6,1,0)</f>
        <v>0</v>
      </c>
      <c r="BT62" s="249">
        <f>IF(OR(MAX(AG62,AH62,AL62,AN62)&gt;6,MAX(AI62,AJ62,AK62,AM62)&gt;7),2,IF(MAX(AG62:AN62)&gt;4,1,0))</f>
        <v>0</v>
      </c>
      <c r="BU62" s="242" t="str">
        <f>IF(AS62=1,"Yes","")</f>
        <v/>
      </c>
      <c r="BV62" s="241" t="str">
        <f>IF($B62="ML","There",IF(AND($X62&gt;=6,AVERAGE($Z62:$AA62)&gt;=6),"Likely",IF(OR($X62&gt;6,AND($X62=6,AVERAGE($Z62:$AA62)&gt;=3),AND($X62&gt;=5,AVERAGE($Z62:$AA62)&gt;=5),AVERAGE($X62,$Z62:$AA62)&gt;5),"Possible","Unlikely")))</f>
        <v>Unlikely</v>
      </c>
      <c r="BW62" s="242" t="str">
        <f>IF(OR(AND(S62&gt;=6,U62+V62&gt;=12),S62&gt;7),"Start",IF(AND(S62&gt;=5,U62+V62&gt;=8),"Bench","aack!"))</f>
        <v>aack!</v>
      </c>
      <c r="BX62" s="242" t="str">
        <f>IF(OR(AND(X62&gt;=6,Z62+AA62&gt;=12),X62&gt;7),"Start",IF(AND(X62&gt;=5,Z62+AA62&gt;=8),"Bench","aack!"))</f>
        <v>aack!</v>
      </c>
      <c r="BY62" s="242" t="str">
        <f>IF(S62&gt;5,"ML",IF(S62=5,"AAA",IF(S62=4,"AA",IF(S62=3,"A","SS-A"))))</f>
        <v>A</v>
      </c>
      <c r="BZ62" s="242">
        <f>S62-X62</f>
        <v>0</v>
      </c>
      <c r="CA62" s="242">
        <f>T62-Y62</f>
        <v>0</v>
      </c>
      <c r="CB62" s="242">
        <f>U62-Z62</f>
        <v>0</v>
      </c>
      <c r="CC62" s="242">
        <f>V62-AA62</f>
        <v>0</v>
      </c>
      <c r="CD62" s="242">
        <f>W62-AB62</f>
        <v>0</v>
      </c>
      <c r="CE62" s="242">
        <f>SUM(BZ62:CD62)</f>
        <v>0</v>
      </c>
      <c r="CF62" s="242">
        <f>X62+Z62+AA62</f>
        <v>12</v>
      </c>
      <c r="CG62" s="242">
        <f>X62+Z62</f>
        <v>5</v>
      </c>
      <c r="CH62" s="242">
        <f>X62+AA62</f>
        <v>10</v>
      </c>
      <c r="CI62" s="242" t="str">
        <f>IF(L62&gt;24,"Now - Age",IF(S62&gt;6,"Now",IF(X62&lt;6,"With Dev",MIN(X62-S62,7-S62))))</f>
        <v>Now - Age</v>
      </c>
      <c r="CJ62" s="257" t="str">
        <f>IF(AG62&lt;&gt;"-","X","")</f>
        <v/>
      </c>
      <c r="CK62" s="257" t="str">
        <f>IF(AND(AH62&lt;&gt;"-",AH62&gt;5),"X","")</f>
        <v/>
      </c>
      <c r="CL62" s="257" t="str">
        <f>IF(AND(AI62&lt;&gt;"-",AI62&gt;5),"X","")</f>
        <v/>
      </c>
      <c r="CM62" s="257" t="str">
        <f>IF(AND(AJ62&lt;&gt;"-",AJ62&gt;4,AC62&gt;6),"X","")</f>
        <v/>
      </c>
      <c r="CN62" s="257" t="str">
        <f>IF(AND(AK62&lt;&gt;"-",AK62&gt;5,AC62&gt;5),"X","")</f>
        <v/>
      </c>
      <c r="CO62" s="257" t="str">
        <f>IF(AND(AL62&lt;&gt;"-",AL62&gt;3),"X","")</f>
        <v/>
      </c>
      <c r="CP62" s="257" t="str">
        <f>IF(AND(AM62&lt;&gt;"-",AM62&gt;6),"X","")</f>
        <v/>
      </c>
      <c r="CQ62" s="257" t="str">
        <f>IF(AND(AN62&lt;&gt;"-",AN62&gt;5,AD62&gt;6),"X","")</f>
        <v/>
      </c>
      <c r="CR62" s="257" t="str">
        <f>IF(COUNTBLANK(CJ62:CQ62)=8,"X","")</f>
        <v>X</v>
      </c>
    </row>
    <row r="63" spans="1:96" s="306" customFormat="1" x14ac:dyDescent="0.25">
      <c r="A63" s="240" t="str">
        <f>H63&amp;" "&amp;I63</f>
        <v>Jimmy Bradford</v>
      </c>
      <c r="B63" s="240" t="str">
        <f>IF(ISERROR(VLOOKUP(A63,AMA!$C$3:$C$24,1,FALSE)),IF(ISERROR(VLOOKUP(A63,'END-AAA'!$C$6:$C$33,1,FALSE)),IF(ISERROR(VLOOKUP(A63,'DB-AA'!$C$6:$C$33,1,FALSE)),IF(ISERROR(VLOOKUP(A63,'UTR-A'!$C$6:$C$33,1,FALSE)),IF(ISERROR(VLOOKUP(A63,'FAI-S A'!$C$6:$C$33,1,FALSE)),"","S A"),"A"),"AA"),"AAA"),"ML")</f>
        <v/>
      </c>
      <c r="C63" s="241"/>
      <c r="D63" s="242">
        <f>IF(BL63=1,3,IF(BM63=1,4,IF(BJ63=1,1,IF(BN63=1,5,IF(BK63=1,2,IF(BO63=1,6,IF(BP63=1,7,IF(BQ63=1,8,IF(BR63=1,9,"-")))))))))</f>
        <v>8</v>
      </c>
      <c r="E63" s="242" t="str">
        <f>IF(BC63=1,3,IF(BD63=1,4,IF(BA63=1,1,IF(BE63=1,5,IF(BB63=1,2,IF(BF63=1,6,IF(BG63=1,7,IF(BH63=1,8,IF(BI63=1,9,"-")))))))))</f>
        <v>-</v>
      </c>
      <c r="F63" s="242" t="str">
        <f>IF(OR(OR(Q63="Very High",Q63="High"),AND(OR(Q63="Very High",Q63="High",Q63="Normal"),OR(R63="Very High",R63="High"))),"K","T")</f>
        <v>T</v>
      </c>
      <c r="G63" s="242" t="s">
        <v>74</v>
      </c>
      <c r="H63" s="242" t="s">
        <v>727</v>
      </c>
      <c r="I63" s="242" t="s">
        <v>1279</v>
      </c>
      <c r="J63" s="242" t="s">
        <v>802</v>
      </c>
      <c r="K63" s="242" t="s">
        <v>277</v>
      </c>
      <c r="L63" s="242">
        <v>22</v>
      </c>
      <c r="M63" s="242" t="s">
        <v>83</v>
      </c>
      <c r="N63" s="242" t="s">
        <v>83</v>
      </c>
      <c r="O63" s="242" t="s">
        <v>808</v>
      </c>
      <c r="P63" s="243" t="s">
        <v>764</v>
      </c>
      <c r="Q63" s="242" t="s">
        <v>200</v>
      </c>
      <c r="R63" s="243" t="s">
        <v>200</v>
      </c>
      <c r="S63" s="242">
        <v>4</v>
      </c>
      <c r="T63" s="242">
        <v>4</v>
      </c>
      <c r="U63" s="242">
        <v>3</v>
      </c>
      <c r="V63" s="242">
        <v>3</v>
      </c>
      <c r="W63" s="243">
        <v>4</v>
      </c>
      <c r="X63" s="242">
        <v>6</v>
      </c>
      <c r="Y63" s="242">
        <v>7</v>
      </c>
      <c r="Z63" s="242">
        <v>4</v>
      </c>
      <c r="AA63" s="242">
        <v>4</v>
      </c>
      <c r="AB63" s="243">
        <v>6</v>
      </c>
      <c r="AC63" s="242">
        <v>8</v>
      </c>
      <c r="AD63" s="242">
        <v>8</v>
      </c>
      <c r="AE63" s="242">
        <v>1</v>
      </c>
      <c r="AF63" s="242" t="s">
        <v>32</v>
      </c>
      <c r="AG63" s="242" t="s">
        <v>32</v>
      </c>
      <c r="AH63" s="242" t="s">
        <v>32</v>
      </c>
      <c r="AI63" s="242">
        <v>7</v>
      </c>
      <c r="AJ63" s="242">
        <v>4</v>
      </c>
      <c r="AK63" s="242">
        <v>6</v>
      </c>
      <c r="AL63" s="242" t="s">
        <v>32</v>
      </c>
      <c r="AM63" s="242" t="s">
        <v>32</v>
      </c>
      <c r="AN63" s="243" t="s">
        <v>32</v>
      </c>
      <c r="AO63" s="242">
        <v>8</v>
      </c>
      <c r="AP63" s="242">
        <v>5</v>
      </c>
      <c r="AQ63" s="243">
        <v>6</v>
      </c>
      <c r="AR63" s="244" t="s">
        <v>32</v>
      </c>
      <c r="AS63" s="243" t="s">
        <v>33</v>
      </c>
      <c r="AT63" s="248" t="s">
        <v>199</v>
      </c>
      <c r="AU6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2.3333333333333335</v>
      </c>
      <c r="AV63" s="246" t="str">
        <f>IF(AU63&gt;9,"SuperStar",IF(AU63&gt;8,"Star",IF(AU63&gt;6.5,"GoodReg",IF(AU63&gt;5,"Reg",IF(AU63&gt;4,"Bench","Minors")))))</f>
        <v>Minors</v>
      </c>
      <c r="AW63" s="245">
        <f>AVERAGE(X63,Z63,AA63)+IF(OR(X63&gt;7,AND(X63&gt;5,AA63&gt;5)),0.5,0)+IF(Z63&gt;7,0.25,0)+IF(X63&lt;6,-0.5*(6-X63),0)</f>
        <v>4.666666666666667</v>
      </c>
      <c r="AX63" s="245" t="str">
        <f>IF(AW63&gt;9,"SuperStar",IF(AW63&gt;8,"Star",IF(AW63&gt;6.5,"GoodReg",IF(AW63&gt;5,"Reg",IF(AW63&gt;4,"Bench","Minors")))))</f>
        <v>Bench</v>
      </c>
      <c r="AY63" s="246">
        <f>MIN(AU63+(MAX(0,25-L63))^1.5,AW63)</f>
        <v>4.666666666666667</v>
      </c>
      <c r="AZ63" s="246" t="str">
        <f>IF(AY63&gt;9,"SuperStar",IF(AY63&gt;8,"Star",IF(AY63&gt;6.5,"GoodReg",IF(AY63&gt;5,"Reg",IF(AY63&gt;4,"Bench","Minors")))))</f>
        <v>Bench</v>
      </c>
      <c r="BA63" s="247">
        <f>IF(AND(OR(S63+V63&gt;12,AND(S63&gt;6,V63&gt;6)),AO63&gt;6,OR(AP63&gt;=AO63,AP63&gt;6)),1,0)</f>
        <v>0</v>
      </c>
      <c r="BB63" s="248">
        <f>IF(OR(AND(S63&gt;6,W63&gt;6),S63+V63&gt;12),1,0)</f>
        <v>0</v>
      </c>
      <c r="BC63" s="248">
        <f>IF(AND(S63&gt;6,U63&gt;6,V63&gt;6),1,0)</f>
        <v>0</v>
      </c>
      <c r="BD63" s="248">
        <f>IF(AND(U63&gt;7,OR(S63&gt;6,V63&gt;6)),1,0)</f>
        <v>0</v>
      </c>
      <c r="BE63" s="248">
        <f>IF(AND(U63&gt;6,OR(S63&gt;6,V63&gt;6)),1,0)</f>
        <v>0</v>
      </c>
      <c r="BF63" s="248">
        <f>IF(AND(OR(S63&gt;6,U63&gt;6),OR(S63&gt;6,V63&gt;6)),1,0)</f>
        <v>0</v>
      </c>
      <c r="BG63" s="248">
        <f>IF(AND(S63&gt;4,OR(S63&gt;6,U63&gt;6,V63&gt;6)),1,0)</f>
        <v>0</v>
      </c>
      <c r="BH63" s="248">
        <f>IF(AND(S63&gt;4,OR(S63&gt;6,T63&gt;6,U63&gt;6,V63&gt;6)),1,0)</f>
        <v>0</v>
      </c>
      <c r="BI63" s="243">
        <f>IF(AND(S63&gt;4,MAX(S63:W63)&gt;6),1,0)</f>
        <v>0</v>
      </c>
      <c r="BJ63" s="247">
        <f>IF(AND(OR(X63+AA63&gt;12,AND(X63&gt;6,AA63&gt;6)),AO63&gt;6,OR(AP63&gt;=AO63,AP63&gt;6)),1,0)</f>
        <v>0</v>
      </c>
      <c r="BK63" s="248">
        <f>IF(OR(AND(X63&gt;6,AB63&gt;6),X63+AA63&gt;12),1,0)</f>
        <v>0</v>
      </c>
      <c r="BL63" s="248">
        <f>IF(AND(X63&gt;6,Z63&gt;6,AA63&gt;6),1,0)</f>
        <v>0</v>
      </c>
      <c r="BM63" s="248">
        <f>IF(AND(Z63&gt;7,OR(X63&gt;6,AA63&gt;6)),1,0)</f>
        <v>0</v>
      </c>
      <c r="BN63" s="248">
        <f>IF(AND(Z63&gt;6,OR(X63&gt;6,AA63&gt;6)),1,0)</f>
        <v>0</v>
      </c>
      <c r="BO63" s="248">
        <f>IF(AND(OR(X63&gt;6,Z63&gt;6),OR(X63&gt;6,AA63&gt;6)),1,0)</f>
        <v>0</v>
      </c>
      <c r="BP63" s="248">
        <f>IF(AND(X63&gt;4,OR(X63&gt;6,Z63&gt;6,AA63&gt;6)),1,0)</f>
        <v>0</v>
      </c>
      <c r="BQ63" s="248">
        <f>IF(AND(X63&gt;4,OR(X63&gt;6,Y63&gt;6,Z63&gt;6,AA63&gt;6)),1,0)</f>
        <v>1</v>
      </c>
      <c r="BR63" s="243">
        <f>IF(AND(X63&gt;4,MAX(X63:AB63)&gt;6),1,0)</f>
        <v>1</v>
      </c>
      <c r="BS63" s="243">
        <f>IF(AVERAGE(AO63:AP63)&gt;9,1,0)+IF(AVERAGE(AO63:AP63)&gt;7,1,0)+IF(AO63&gt;7,1,0)+IF(AP63&gt;7,1,0)+IF(AQ63&gt;8,1,0)+IF(AQ63&gt;6,1,0)</f>
        <v>1</v>
      </c>
      <c r="BT63" s="249">
        <f>IF(OR(MAX(AG63,AH63,AL63,AN63)&gt;6,MAX(AI63,AJ63,AK63,AM63)&gt;7),2,IF(MAX(AG63:AN63)&gt;4,1,0))</f>
        <v>1</v>
      </c>
      <c r="BU63" s="242" t="str">
        <f>IF(AS63=1,"Yes","")</f>
        <v/>
      </c>
      <c r="BV63" s="241" t="str">
        <f>IF($B63="ML","There",IF(AND($X63&gt;=6,AVERAGE($Z63:$AA63)&gt;=6),"Likely",IF(OR($X63&gt;6,AND($X63=6,AVERAGE($Z63:$AA63)&gt;=3),AND($X63&gt;=5,AVERAGE($Z63:$AA63)&gt;=5),AVERAGE($X63,$Z63:$AA63)&gt;5),"Possible","Unlikely")))</f>
        <v>Possible</v>
      </c>
      <c r="BW63" s="242" t="str">
        <f>IF(OR(AND(S63&gt;=6,U63+V63&gt;=12),S63&gt;7),"Start",IF(AND(S63&gt;=5,U63+V63&gt;=8),"Bench","aack!"))</f>
        <v>aack!</v>
      </c>
      <c r="BX63" s="242" t="str">
        <f>IF(OR(AND(X63&gt;=6,Z63+AA63&gt;=12),X63&gt;7),"Start",IF(AND(X63&gt;=5,Z63+AA63&gt;=8),"Bench","aack!"))</f>
        <v>Bench</v>
      </c>
      <c r="BY63" s="242" t="str">
        <f>IF(S63&gt;5,"ML",IF(S63=5,"AAA",IF(S63=4,"AA",IF(S63=3,"A","SS-A"))))</f>
        <v>AA</v>
      </c>
      <c r="BZ63" s="242">
        <f>S63-X63</f>
        <v>-2</v>
      </c>
      <c r="CA63" s="242">
        <f>T63-Y63</f>
        <v>-3</v>
      </c>
      <c r="CB63" s="242">
        <f>U63-Z63</f>
        <v>-1</v>
      </c>
      <c r="CC63" s="242">
        <f>V63-AA63</f>
        <v>-1</v>
      </c>
      <c r="CD63" s="242">
        <f>W63-AB63</f>
        <v>-2</v>
      </c>
      <c r="CE63" s="242">
        <f>SUM(BZ63:CD63)</f>
        <v>-9</v>
      </c>
      <c r="CF63" s="242">
        <f>X63+Z63+AA63</f>
        <v>14</v>
      </c>
      <c r="CG63" s="242">
        <f>X63+Z63</f>
        <v>10</v>
      </c>
      <c r="CH63" s="242">
        <f>X63+AA63</f>
        <v>10</v>
      </c>
      <c r="CI63" s="242">
        <f>IF(L63&gt;24,"Now - Age",IF(S63&gt;6,"Now",IF(X63&lt;6,"With Dev",MIN(X63-S63,7-S63))))</f>
        <v>2</v>
      </c>
      <c r="CJ63" s="257" t="str">
        <f>IF(AG63&lt;&gt;"-","X","")</f>
        <v/>
      </c>
      <c r="CK63" s="257" t="str">
        <f>IF(AND(AH63&lt;&gt;"-",AH63&gt;5),"X","")</f>
        <v/>
      </c>
      <c r="CL63" s="257" t="str">
        <f>IF(AND(AI63&lt;&gt;"-",AI63&gt;5),"X","")</f>
        <v>X</v>
      </c>
      <c r="CM63" s="257" t="str">
        <f>IF(AND(AJ63&lt;&gt;"-",AJ63&gt;4,AC63&gt;6),"X","")</f>
        <v/>
      </c>
      <c r="CN63" s="257" t="str">
        <f>IF(AND(AK63&lt;&gt;"-",AK63&gt;5,AC63&gt;5),"X","")</f>
        <v>X</v>
      </c>
      <c r="CO63" s="257" t="str">
        <f>IF(AND(AL63&lt;&gt;"-",AL63&gt;3),"X","")</f>
        <v/>
      </c>
      <c r="CP63" s="257" t="str">
        <f>IF(AND(AM63&lt;&gt;"-",AM63&gt;6),"X","")</f>
        <v/>
      </c>
      <c r="CQ63" s="257" t="str">
        <f>IF(AND(AN63&lt;&gt;"-",AN63&gt;5,AD63&gt;6),"X","")</f>
        <v/>
      </c>
      <c r="CR63" s="257" t="str">
        <f>IF(COUNTBLANK(CJ63:CQ63)=8,"X","")</f>
        <v/>
      </c>
    </row>
    <row r="64" spans="1:96" s="306" customFormat="1" x14ac:dyDescent="0.25">
      <c r="A64" s="240" t="str">
        <f>H64&amp;" "&amp;I64</f>
        <v>Amdre Chandelier</v>
      </c>
      <c r="B64" s="240" t="str">
        <f>IF(ISERROR(VLOOKUP(A64,AMA!$C$3:$C$24,1,FALSE)),IF(ISERROR(VLOOKUP(A64,'END-AAA'!$C$6:$C$33,1,FALSE)),IF(ISERROR(VLOOKUP(A64,'DB-AA'!$C$6:$C$33,1,FALSE)),IF(ISERROR(VLOOKUP(A64,'UTR-A'!$C$6:$C$33,1,FALSE)),IF(ISERROR(VLOOKUP(A64,'FAI-S A'!$C$6:$C$33,1,FALSE)),"","S A"),"A"),"AA"),"AAA"),"ML")</f>
        <v/>
      </c>
      <c r="C64" s="241"/>
      <c r="D64" s="242" t="str">
        <f>IF(BL64=1,3,IF(BM64=1,4,IF(BJ64=1,1,IF(BN64=1,5,IF(BK64=1,2,IF(BO64=1,6,IF(BP64=1,7,IF(BQ64=1,8,IF(BR64=1,9,"-")))))))))</f>
        <v>-</v>
      </c>
      <c r="E64" s="242" t="str">
        <f>IF(BC64=1,3,IF(BD64=1,4,IF(BA64=1,1,IF(BE64=1,5,IF(BB64=1,2,IF(BF64=1,6,IF(BG64=1,7,IF(BH64=1,8,IF(BI64=1,9,"-")))))))))</f>
        <v>-</v>
      </c>
      <c r="F64" s="242" t="str">
        <f>IF(OR(OR(Q64="Very High",Q64="High"),AND(OR(Q64="Very High",Q64="High",Q64="Normal"),OR(R64="Very High",R64="High"))),"K","T")</f>
        <v>T</v>
      </c>
      <c r="G64" s="242" t="s">
        <v>79</v>
      </c>
      <c r="H64" s="242" t="s">
        <v>800</v>
      </c>
      <c r="I64" s="242" t="s">
        <v>801</v>
      </c>
      <c r="J64" s="242" t="s">
        <v>802</v>
      </c>
      <c r="K64" s="242" t="s">
        <v>277</v>
      </c>
      <c r="L64" s="242">
        <v>23</v>
      </c>
      <c r="M64" s="242" t="s">
        <v>83</v>
      </c>
      <c r="N64" s="242" t="s">
        <v>83</v>
      </c>
      <c r="O64" s="242" t="s">
        <v>808</v>
      </c>
      <c r="P64" s="243" t="s">
        <v>773</v>
      </c>
      <c r="Q64" s="242" t="s">
        <v>200</v>
      </c>
      <c r="R64" s="243" t="s">
        <v>200</v>
      </c>
      <c r="S64" s="242">
        <v>4</v>
      </c>
      <c r="T64" s="242">
        <v>5</v>
      </c>
      <c r="U64" s="242">
        <v>3</v>
      </c>
      <c r="V64" s="242">
        <v>3</v>
      </c>
      <c r="W64" s="243">
        <v>5</v>
      </c>
      <c r="X64" s="242">
        <v>5</v>
      </c>
      <c r="Y64" s="242">
        <v>5</v>
      </c>
      <c r="Z64" s="242">
        <v>4</v>
      </c>
      <c r="AA64" s="242">
        <v>4</v>
      </c>
      <c r="AB64" s="243">
        <v>6</v>
      </c>
      <c r="AC64" s="242">
        <v>5</v>
      </c>
      <c r="AD64" s="242">
        <v>8</v>
      </c>
      <c r="AE64" s="242">
        <v>1</v>
      </c>
      <c r="AF64" s="242" t="s">
        <v>32</v>
      </c>
      <c r="AG64" s="242" t="s">
        <v>32</v>
      </c>
      <c r="AH64" s="242" t="s">
        <v>32</v>
      </c>
      <c r="AI64" s="242" t="s">
        <v>32</v>
      </c>
      <c r="AJ64" s="242">
        <v>1</v>
      </c>
      <c r="AK64" s="242">
        <v>1</v>
      </c>
      <c r="AL64" s="242">
        <v>8</v>
      </c>
      <c r="AM64" s="242">
        <v>3</v>
      </c>
      <c r="AN64" s="243">
        <v>6</v>
      </c>
      <c r="AO64" s="242">
        <v>9</v>
      </c>
      <c r="AP64" s="242">
        <v>8</v>
      </c>
      <c r="AQ64" s="243">
        <v>4</v>
      </c>
      <c r="AR64" s="244" t="s">
        <v>32</v>
      </c>
      <c r="AS64" s="243" t="s">
        <v>33</v>
      </c>
      <c r="AT64" s="248" t="s">
        <v>201</v>
      </c>
      <c r="AU64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2.3333333333333335</v>
      </c>
      <c r="AV64" s="246" t="str">
        <f>IF(AU64&gt;9,"SuperStar",IF(AU64&gt;8,"Star",IF(AU64&gt;6.5,"GoodReg",IF(AU64&gt;5,"Reg",IF(AU64&gt;4,"Bench","Minors")))))</f>
        <v>Minors</v>
      </c>
      <c r="AW64" s="245">
        <f>AVERAGE(X64,Z64,AA64)+IF(OR(X64&gt;7,AND(X64&gt;5,AA64&gt;5)),0.5,0)+IF(Z64&gt;7,0.25,0)+IF(X64&lt;6,-0.5*(6-X64),0)</f>
        <v>3.833333333333333</v>
      </c>
      <c r="AX64" s="245" t="str">
        <f>IF(AW64&gt;9,"SuperStar",IF(AW64&gt;8,"Star",IF(AW64&gt;6.5,"GoodReg",IF(AW64&gt;5,"Reg",IF(AW64&gt;4,"Bench","Minors")))))</f>
        <v>Minors</v>
      </c>
      <c r="AY64" s="246">
        <f>MIN(AU64+(MAX(0,25-L64))^1.5,AW64)</f>
        <v>3.833333333333333</v>
      </c>
      <c r="AZ64" s="246" t="str">
        <f>IF(AY64&gt;9,"SuperStar",IF(AY64&gt;8,"Star",IF(AY64&gt;6.5,"GoodReg",IF(AY64&gt;5,"Reg",IF(AY64&gt;4,"Bench","Minors")))))</f>
        <v>Minors</v>
      </c>
      <c r="BA64" s="247">
        <f>IF(AND(OR(S64+V64&gt;12,AND(S64&gt;6,V64&gt;6)),AO64&gt;6,OR(AP64&gt;=AO64,AP64&gt;6)),1,0)</f>
        <v>0</v>
      </c>
      <c r="BB64" s="248">
        <f>IF(OR(AND(S64&gt;6,W64&gt;6),S64+V64&gt;12),1,0)</f>
        <v>0</v>
      </c>
      <c r="BC64" s="248">
        <f>IF(AND(S64&gt;6,U64&gt;6,V64&gt;6),1,0)</f>
        <v>0</v>
      </c>
      <c r="BD64" s="248">
        <f>IF(AND(U64&gt;7,OR(S64&gt;6,V64&gt;6)),1,0)</f>
        <v>0</v>
      </c>
      <c r="BE64" s="248">
        <f>IF(AND(U64&gt;6,OR(S64&gt;6,V64&gt;6)),1,0)</f>
        <v>0</v>
      </c>
      <c r="BF64" s="248">
        <f>IF(AND(OR(S64&gt;6,U64&gt;6),OR(S64&gt;6,V64&gt;6)),1,0)</f>
        <v>0</v>
      </c>
      <c r="BG64" s="248">
        <f>IF(AND(S64&gt;4,OR(S64&gt;6,U64&gt;6,V64&gt;6)),1,0)</f>
        <v>0</v>
      </c>
      <c r="BH64" s="248">
        <f>IF(AND(S64&gt;4,OR(S64&gt;6,T64&gt;6,U64&gt;6,V64&gt;6)),1,0)</f>
        <v>0</v>
      </c>
      <c r="BI64" s="243">
        <f>IF(AND(S64&gt;4,MAX(S64:W64)&gt;6),1,0)</f>
        <v>0</v>
      </c>
      <c r="BJ64" s="247">
        <f>IF(AND(OR(X64+AA64&gt;12,AND(X64&gt;6,AA64&gt;6)),AO64&gt;6,OR(AP64&gt;=AO64,AP64&gt;6)),1,0)</f>
        <v>0</v>
      </c>
      <c r="BK64" s="248">
        <f>IF(OR(AND(X64&gt;6,AB64&gt;6),X64+AA64&gt;12),1,0)</f>
        <v>0</v>
      </c>
      <c r="BL64" s="248">
        <f>IF(AND(X64&gt;6,Z64&gt;6,AA64&gt;6),1,0)</f>
        <v>0</v>
      </c>
      <c r="BM64" s="248">
        <f>IF(AND(Z64&gt;7,OR(X64&gt;6,AA64&gt;6)),1,0)</f>
        <v>0</v>
      </c>
      <c r="BN64" s="248">
        <f>IF(AND(Z64&gt;6,OR(X64&gt;6,AA64&gt;6)),1,0)</f>
        <v>0</v>
      </c>
      <c r="BO64" s="248">
        <f>IF(AND(OR(X64&gt;6,Z64&gt;6),OR(X64&gt;6,AA64&gt;6)),1,0)</f>
        <v>0</v>
      </c>
      <c r="BP64" s="248">
        <f>IF(AND(X64&gt;4,OR(X64&gt;6,Z64&gt;6,AA64&gt;6)),1,0)</f>
        <v>0</v>
      </c>
      <c r="BQ64" s="248">
        <f>IF(AND(X64&gt;4,OR(X64&gt;6,Y64&gt;6,Z64&gt;6,AA64&gt;6)),1,0)</f>
        <v>0</v>
      </c>
      <c r="BR64" s="243">
        <f>IF(AND(X64&gt;4,MAX(X64:AB64)&gt;6),1,0)</f>
        <v>0</v>
      </c>
      <c r="BS64" s="243">
        <f>IF(AVERAGE(AO64:AP64)&gt;9,1,0)+IF(AVERAGE(AO64:AP64)&gt;7,1,0)+IF(AO64&gt;7,1,0)+IF(AP64&gt;7,1,0)+IF(AQ64&gt;8,1,0)+IF(AQ64&gt;6,1,0)</f>
        <v>3</v>
      </c>
      <c r="BT64" s="249">
        <f>IF(OR(MAX(AG64,AH64,AL64,AN64)&gt;6,MAX(AI64,AJ64,AK64,AM64)&gt;7),2,IF(MAX(AG64:AN64)&gt;4,1,0))</f>
        <v>2</v>
      </c>
      <c r="BU64" s="242" t="str">
        <f>IF(AS64=1,"Yes","")</f>
        <v/>
      </c>
      <c r="BV64" s="241" t="str">
        <f>IF($B64="ML","There",IF(AND($X64&gt;=6,AVERAGE($Z64:$AA64)&gt;=6),"Likely",IF(OR($X64&gt;6,AND($X64=6,AVERAGE($Z64:$AA64)&gt;=3),AND($X64&gt;=5,AVERAGE($Z64:$AA64)&gt;=5),AVERAGE($X64,$Z64:$AA64)&gt;5),"Possible","Unlikely")))</f>
        <v>Unlikely</v>
      </c>
      <c r="BW64" s="242" t="str">
        <f>IF(OR(AND(S64&gt;=6,U64+V64&gt;=12),S64&gt;7),"Start",IF(AND(S64&gt;=5,U64+V64&gt;=8),"Bench","aack!"))</f>
        <v>aack!</v>
      </c>
      <c r="BX64" s="242" t="str">
        <f>IF(OR(AND(X64&gt;=6,Z64+AA64&gt;=12),X64&gt;7),"Start",IF(AND(X64&gt;=5,Z64+AA64&gt;=8),"Bench","aack!"))</f>
        <v>Bench</v>
      </c>
      <c r="BY64" s="242" t="str">
        <f>IF(S64&gt;5,"ML",IF(S64=5,"AAA",IF(S64=4,"AA",IF(S64=3,"A","SS-A"))))</f>
        <v>AA</v>
      </c>
      <c r="BZ64" s="242">
        <f>S64-X64</f>
        <v>-1</v>
      </c>
      <c r="CA64" s="242">
        <f>T64-Y64</f>
        <v>0</v>
      </c>
      <c r="CB64" s="242">
        <f>U64-Z64</f>
        <v>-1</v>
      </c>
      <c r="CC64" s="242">
        <f>V64-AA64</f>
        <v>-1</v>
      </c>
      <c r="CD64" s="242">
        <f>W64-AB64</f>
        <v>-1</v>
      </c>
      <c r="CE64" s="242">
        <f>SUM(BZ64:CD64)</f>
        <v>-4</v>
      </c>
      <c r="CF64" s="242">
        <f>X64+Z64+AA64</f>
        <v>13</v>
      </c>
      <c r="CG64" s="242">
        <f>X64+Z64</f>
        <v>9</v>
      </c>
      <c r="CH64" s="242">
        <f>X64+AA64</f>
        <v>9</v>
      </c>
      <c r="CI64" s="242" t="str">
        <f>IF(L64&gt;24,"Now - Age",IF(S64&gt;6,"Now",IF(X64&lt;6,"With Dev",MIN(X64-S64,7-S64))))</f>
        <v>With Dev</v>
      </c>
      <c r="CJ64" s="257" t="str">
        <f>IF(AG64&lt;&gt;"-","X","")</f>
        <v/>
      </c>
      <c r="CK64" s="257" t="str">
        <f>IF(AND(AH64&lt;&gt;"-",AH64&gt;5),"X","")</f>
        <v/>
      </c>
      <c r="CL64" s="257" t="str">
        <f>IF(AND(AI64&lt;&gt;"-",AI64&gt;5),"X","")</f>
        <v/>
      </c>
      <c r="CM64" s="257" t="str">
        <f>IF(AND(AJ64&lt;&gt;"-",AJ64&gt;4,AC64&gt;6),"X","")</f>
        <v/>
      </c>
      <c r="CN64" s="257" t="str">
        <f>IF(AND(AK64&lt;&gt;"-",AK64&gt;5,AC64&gt;5),"X","")</f>
        <v/>
      </c>
      <c r="CO64" s="257" t="str">
        <f>IF(AND(AL64&lt;&gt;"-",AL64&gt;3),"X","")</f>
        <v>X</v>
      </c>
      <c r="CP64" s="257" t="str">
        <f>IF(AND(AM64&lt;&gt;"-",AM64&gt;6),"X","")</f>
        <v/>
      </c>
      <c r="CQ64" s="257" t="str">
        <f>IF(AND(AN64&lt;&gt;"-",AN64&gt;5,AD64&gt;6),"X","")</f>
        <v>X</v>
      </c>
      <c r="CR64" s="257" t="str">
        <f>IF(COUNTBLANK(CJ64:CQ64)=8,"X","")</f>
        <v/>
      </c>
    </row>
    <row r="65" spans="1:96" s="306" customFormat="1" x14ac:dyDescent="0.25">
      <c r="A65" s="240" t="str">
        <f>H65&amp;" "&amp;I65</f>
        <v>Mario Carandini</v>
      </c>
      <c r="B65" s="240" t="str">
        <f>IF(ISERROR(VLOOKUP(A65,AMA!$C$3:$C$24,1,FALSE)),IF(ISERROR(VLOOKUP(A65,'END-AAA'!$C$6:$C$33,1,FALSE)),IF(ISERROR(VLOOKUP(A65,'DB-AA'!$C$6:$C$33,1,FALSE)),IF(ISERROR(VLOOKUP(A65,'UTR-A'!$C$6:$C$33,1,FALSE)),IF(ISERROR(VLOOKUP(A65,'FAI-S A'!$C$6:$C$33,1,FALSE)),"","S A"),"A"),"AA"),"AAA"),"ML")</f>
        <v/>
      </c>
      <c r="C65" s="241"/>
      <c r="D65" s="242" t="str">
        <f>IF(BL65=1,3,IF(BM65=1,4,IF(BJ65=1,1,IF(BN65=1,5,IF(BK65=1,2,IF(BO65=1,6,IF(BP65=1,7,IF(BQ65=1,8,IF(BR65=1,9,"-")))))))))</f>
        <v>-</v>
      </c>
      <c r="E65" s="242" t="str">
        <f>IF(BC65=1,3,IF(BD65=1,4,IF(BA65=1,1,IF(BE65=1,5,IF(BB65=1,2,IF(BF65=1,6,IF(BG65=1,7,IF(BH65=1,8,IF(BI65=1,9,"-")))))))))</f>
        <v>-</v>
      </c>
      <c r="F65" s="242" t="str">
        <f>IF(OR(OR(Q65="Very High",Q65="High"),AND(OR(Q65="Very High",Q65="High",Q65="Normal"),OR(R65="Very High",R65="High"))),"K","T")</f>
        <v>K</v>
      </c>
      <c r="G65" s="242" t="s">
        <v>78</v>
      </c>
      <c r="H65" s="242" t="s">
        <v>837</v>
      </c>
      <c r="I65" s="242" t="s">
        <v>838</v>
      </c>
      <c r="J65" s="242" t="s">
        <v>802</v>
      </c>
      <c r="K65" s="242" t="s">
        <v>277</v>
      </c>
      <c r="L65" s="242">
        <v>22</v>
      </c>
      <c r="M65" s="242" t="s">
        <v>83</v>
      </c>
      <c r="N65" s="242" t="s">
        <v>83</v>
      </c>
      <c r="O65" s="242" t="s">
        <v>773</v>
      </c>
      <c r="P65" s="243" t="s">
        <v>764</v>
      </c>
      <c r="Q65" s="242" t="s">
        <v>199</v>
      </c>
      <c r="R65" s="243" t="s">
        <v>200</v>
      </c>
      <c r="S65" s="242">
        <v>4</v>
      </c>
      <c r="T65" s="242">
        <v>4</v>
      </c>
      <c r="U65" s="242">
        <v>2</v>
      </c>
      <c r="V65" s="242">
        <v>4</v>
      </c>
      <c r="W65" s="243">
        <v>5</v>
      </c>
      <c r="X65" s="242">
        <v>5</v>
      </c>
      <c r="Y65" s="242">
        <v>4</v>
      </c>
      <c r="Z65" s="242">
        <v>2</v>
      </c>
      <c r="AA65" s="242">
        <v>4</v>
      </c>
      <c r="AB65" s="243">
        <v>6</v>
      </c>
      <c r="AC65" s="242">
        <v>5</v>
      </c>
      <c r="AD65" s="242">
        <v>9</v>
      </c>
      <c r="AE65" s="242">
        <v>1</v>
      </c>
      <c r="AF65" s="242" t="s">
        <v>32</v>
      </c>
      <c r="AG65" s="242" t="s">
        <v>32</v>
      </c>
      <c r="AH65" s="242" t="s">
        <v>32</v>
      </c>
      <c r="AI65" s="242" t="s">
        <v>32</v>
      </c>
      <c r="AJ65" s="242" t="s">
        <v>32</v>
      </c>
      <c r="AK65" s="242" t="s">
        <v>32</v>
      </c>
      <c r="AL65" s="242">
        <v>3</v>
      </c>
      <c r="AM65" s="242">
        <v>10</v>
      </c>
      <c r="AN65" s="243">
        <v>10</v>
      </c>
      <c r="AO65" s="242">
        <v>10</v>
      </c>
      <c r="AP65" s="242">
        <v>8</v>
      </c>
      <c r="AQ65" s="243">
        <v>6</v>
      </c>
      <c r="AR65" s="244" t="s">
        <v>32</v>
      </c>
      <c r="AS65" s="243" t="s">
        <v>33</v>
      </c>
      <c r="AT65" s="248" t="s">
        <v>199</v>
      </c>
      <c r="AU65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2.3333333333333335</v>
      </c>
      <c r="AV65" s="246" t="str">
        <f>IF(AU65&gt;9,"SuperStar",IF(AU65&gt;8,"Star",IF(AU65&gt;6.5,"GoodReg",IF(AU65&gt;5,"Reg",IF(AU65&gt;4,"Bench","Minors")))))</f>
        <v>Minors</v>
      </c>
      <c r="AW65" s="245">
        <f>AVERAGE(X65,Z65,AA65)+IF(OR(X65&gt;7,AND(X65&gt;5,AA65&gt;5)),0.5,0)+IF(Z65&gt;7,0.25,0)+IF(X65&lt;6,-0.5*(6-X65),0)</f>
        <v>3.1666666666666665</v>
      </c>
      <c r="AX65" s="245" t="str">
        <f>IF(AW65&gt;9,"SuperStar",IF(AW65&gt;8,"Star",IF(AW65&gt;6.5,"GoodReg",IF(AW65&gt;5,"Reg",IF(AW65&gt;4,"Bench","Minors")))))</f>
        <v>Minors</v>
      </c>
      <c r="AY65" s="246">
        <f>MIN(AU65+(MAX(0,25-L65))^1.5,AW65)</f>
        <v>3.1666666666666665</v>
      </c>
      <c r="AZ65" s="246" t="str">
        <f>IF(AY65&gt;9,"SuperStar",IF(AY65&gt;8,"Star",IF(AY65&gt;6.5,"GoodReg",IF(AY65&gt;5,"Reg",IF(AY65&gt;4,"Bench","Minors")))))</f>
        <v>Minors</v>
      </c>
      <c r="BA65" s="247">
        <f>IF(AND(OR(S65+V65&gt;12,AND(S65&gt;6,V65&gt;6)),AO65&gt;6,OR(AP65&gt;=AO65,AP65&gt;6)),1,0)</f>
        <v>0</v>
      </c>
      <c r="BB65" s="248">
        <f>IF(OR(AND(S65&gt;6,W65&gt;6),S65+V65&gt;12),1,0)</f>
        <v>0</v>
      </c>
      <c r="BC65" s="248">
        <f>IF(AND(S65&gt;6,U65&gt;6,V65&gt;6),1,0)</f>
        <v>0</v>
      </c>
      <c r="BD65" s="248">
        <f>IF(AND(U65&gt;7,OR(S65&gt;6,V65&gt;6)),1,0)</f>
        <v>0</v>
      </c>
      <c r="BE65" s="248">
        <f>IF(AND(U65&gt;6,OR(S65&gt;6,V65&gt;6)),1,0)</f>
        <v>0</v>
      </c>
      <c r="BF65" s="248">
        <f>IF(AND(OR(S65&gt;6,U65&gt;6),OR(S65&gt;6,V65&gt;6)),1,0)</f>
        <v>0</v>
      </c>
      <c r="BG65" s="248">
        <f>IF(AND(S65&gt;4,OR(S65&gt;6,U65&gt;6,V65&gt;6)),1,0)</f>
        <v>0</v>
      </c>
      <c r="BH65" s="248">
        <f>IF(AND(S65&gt;4,OR(S65&gt;6,T65&gt;6,U65&gt;6,V65&gt;6)),1,0)</f>
        <v>0</v>
      </c>
      <c r="BI65" s="243">
        <f>IF(AND(S65&gt;4,MAX(S65:W65)&gt;6),1,0)</f>
        <v>0</v>
      </c>
      <c r="BJ65" s="247">
        <f>IF(AND(OR(X65+AA65&gt;12,AND(X65&gt;6,AA65&gt;6)),AO65&gt;6,OR(AP65&gt;=AO65,AP65&gt;6)),1,0)</f>
        <v>0</v>
      </c>
      <c r="BK65" s="248">
        <f>IF(OR(AND(X65&gt;6,AB65&gt;6),X65+AA65&gt;12),1,0)</f>
        <v>0</v>
      </c>
      <c r="BL65" s="248">
        <f>IF(AND(X65&gt;6,Z65&gt;6,AA65&gt;6),1,0)</f>
        <v>0</v>
      </c>
      <c r="BM65" s="248">
        <f>IF(AND(Z65&gt;7,OR(X65&gt;6,AA65&gt;6)),1,0)</f>
        <v>0</v>
      </c>
      <c r="BN65" s="248">
        <f>IF(AND(Z65&gt;6,OR(X65&gt;6,AA65&gt;6)),1,0)</f>
        <v>0</v>
      </c>
      <c r="BO65" s="248">
        <f>IF(AND(OR(X65&gt;6,Z65&gt;6),OR(X65&gt;6,AA65&gt;6)),1,0)</f>
        <v>0</v>
      </c>
      <c r="BP65" s="248">
        <f>IF(AND(X65&gt;4,OR(X65&gt;6,Z65&gt;6,AA65&gt;6)),1,0)</f>
        <v>0</v>
      </c>
      <c r="BQ65" s="248">
        <f>IF(AND(X65&gt;4,OR(X65&gt;6,Y65&gt;6,Z65&gt;6,AA65&gt;6)),1,0)</f>
        <v>0</v>
      </c>
      <c r="BR65" s="243">
        <f>IF(AND(X65&gt;4,MAX(X65:AB65)&gt;6),1,0)</f>
        <v>0</v>
      </c>
      <c r="BS65" s="243">
        <f>IF(AVERAGE(AO65:AP65)&gt;9,1,0)+IF(AVERAGE(AO65:AP65)&gt;7,1,0)+IF(AO65&gt;7,1,0)+IF(AP65&gt;7,1,0)+IF(AQ65&gt;8,1,0)+IF(AQ65&gt;6,1,0)</f>
        <v>3</v>
      </c>
      <c r="BT65" s="249">
        <f>IF(OR(MAX(AG65,AH65,AL65,AN65)&gt;6,MAX(AI65,AJ65,AK65,AM65)&gt;7),2,IF(MAX(AG65:AN65)&gt;4,1,0))</f>
        <v>2</v>
      </c>
      <c r="BU65" s="242" t="str">
        <f>IF(AS65=1,"Yes","")</f>
        <v/>
      </c>
      <c r="BV65" s="241" t="str">
        <f>IF($B65="ML","There",IF(AND($X65&gt;=6,AVERAGE($Z65:$AA65)&gt;=6),"Likely",IF(OR($X65&gt;6,AND($X65=6,AVERAGE($Z65:$AA65)&gt;=3),AND($X65&gt;=5,AVERAGE($Z65:$AA65)&gt;=5),AVERAGE($X65,$Z65:$AA65)&gt;5),"Possible","Unlikely")))</f>
        <v>Unlikely</v>
      </c>
      <c r="BW65" s="242" t="str">
        <f>IF(OR(AND(S65&gt;=6,U65+V65&gt;=12),S65&gt;7),"Start",IF(AND(S65&gt;=5,U65+V65&gt;=8),"Bench","aack!"))</f>
        <v>aack!</v>
      </c>
      <c r="BX65" s="242" t="str">
        <f>IF(OR(AND(X65&gt;=6,Z65+AA65&gt;=12),X65&gt;7),"Start",IF(AND(X65&gt;=5,Z65+AA65&gt;=8),"Bench","aack!"))</f>
        <v>aack!</v>
      </c>
      <c r="BY65" s="242" t="str">
        <f>IF(S65&gt;5,"ML",IF(S65=5,"AAA",IF(S65=4,"AA",IF(S65=3,"A","SS-A"))))</f>
        <v>AA</v>
      </c>
      <c r="BZ65" s="242">
        <f>S65-X65</f>
        <v>-1</v>
      </c>
      <c r="CA65" s="242">
        <f>T65-Y65</f>
        <v>0</v>
      </c>
      <c r="CB65" s="242">
        <f>U65-Z65</f>
        <v>0</v>
      </c>
      <c r="CC65" s="242">
        <f>V65-AA65</f>
        <v>0</v>
      </c>
      <c r="CD65" s="242">
        <f>W65-AB65</f>
        <v>-1</v>
      </c>
      <c r="CE65" s="242">
        <f>SUM(BZ65:CD65)</f>
        <v>-2</v>
      </c>
      <c r="CF65" s="242">
        <f>X65+Z65+AA65</f>
        <v>11</v>
      </c>
      <c r="CG65" s="242">
        <f>X65+Z65</f>
        <v>7</v>
      </c>
      <c r="CH65" s="242">
        <f>X65+AA65</f>
        <v>9</v>
      </c>
      <c r="CI65" s="242" t="str">
        <f>IF(L65&gt;24,"Now - Age",IF(S65&gt;6,"Now",IF(X65&lt;6,"With Dev",MIN(X65-S65,7-S65))))</f>
        <v>With Dev</v>
      </c>
      <c r="CJ65" s="257" t="str">
        <f>IF(AG65&lt;&gt;"-","X","")</f>
        <v/>
      </c>
      <c r="CK65" s="257" t="str">
        <f>IF(AND(AH65&lt;&gt;"-",AH65&gt;5),"X","")</f>
        <v/>
      </c>
      <c r="CL65" s="257" t="str">
        <f>IF(AND(AI65&lt;&gt;"-",AI65&gt;5),"X","")</f>
        <v/>
      </c>
      <c r="CM65" s="257" t="str">
        <f>IF(AND(AJ65&lt;&gt;"-",AJ65&gt;4,AC65&gt;6),"X","")</f>
        <v/>
      </c>
      <c r="CN65" s="257" t="str">
        <f>IF(AND(AK65&lt;&gt;"-",AK65&gt;5,AC65&gt;5),"X","")</f>
        <v/>
      </c>
      <c r="CO65" s="257" t="str">
        <f>IF(AND(AL65&lt;&gt;"-",AL65&gt;3),"X","")</f>
        <v/>
      </c>
      <c r="CP65" s="257" t="str">
        <f>IF(AND(AM65&lt;&gt;"-",AM65&gt;6),"X","")</f>
        <v>X</v>
      </c>
      <c r="CQ65" s="257" t="str">
        <f>IF(AND(AN65&lt;&gt;"-",AN65&gt;5,AD65&gt;6),"X","")</f>
        <v>X</v>
      </c>
      <c r="CR65" s="257" t="str">
        <f>IF(COUNTBLANK(CJ65:CQ65)=8,"X","")</f>
        <v/>
      </c>
    </row>
    <row r="66" spans="1:96" s="306" customFormat="1" x14ac:dyDescent="0.25">
      <c r="A66" s="240" t="str">
        <f>H66&amp;" "&amp;I66</f>
        <v>Takeo Yamada</v>
      </c>
      <c r="B66" s="240" t="str">
        <f>IF(ISERROR(VLOOKUP(A66,AMA!$C$3:$C$24,1,FALSE)),IF(ISERROR(VLOOKUP(A66,'END-AAA'!$C$6:$C$33,1,FALSE)),IF(ISERROR(VLOOKUP(A66,'DB-AA'!$C$6:$C$33,1,FALSE)),IF(ISERROR(VLOOKUP(A66,'UTR-A'!$C$6:$C$33,1,FALSE)),IF(ISERROR(VLOOKUP(A66,'FAI-S A'!$C$6:$C$33,1,FALSE)),"","S A"),"A"),"AA"),"AAA"),"ML")</f>
        <v/>
      </c>
      <c r="C66" s="241"/>
      <c r="D66" s="242" t="str">
        <f>IF(BL66=1,3,IF(BM66=1,4,IF(BJ66=1,1,IF(BN66=1,5,IF(BK66=1,2,IF(BO66=1,6,IF(BP66=1,7,IF(BQ66=1,8,IF(BR66=1,9,"-")))))))))</f>
        <v>-</v>
      </c>
      <c r="E66" s="242" t="str">
        <f>IF(BC66=1,3,IF(BD66=1,4,IF(BA66=1,1,IF(BE66=1,5,IF(BB66=1,2,IF(BF66=1,6,IF(BG66=1,7,IF(BH66=1,8,IF(BI66=1,9,"-")))))))))</f>
        <v>-</v>
      </c>
      <c r="F66" s="242" t="str">
        <f>IF(OR(OR(Q66="Very High",Q66="High"),AND(OR(Q66="Very High",Q66="High",Q66="Normal"),OR(R66="Very High",R66="High"))),"K","T")</f>
        <v>K</v>
      </c>
      <c r="G66" s="242" t="s">
        <v>79</v>
      </c>
      <c r="H66" s="242" t="s">
        <v>828</v>
      </c>
      <c r="I66" s="242" t="s">
        <v>829</v>
      </c>
      <c r="J66" s="242" t="s">
        <v>814</v>
      </c>
      <c r="K66" s="242" t="s">
        <v>187</v>
      </c>
      <c r="L66" s="242">
        <v>22</v>
      </c>
      <c r="M66" s="242" t="s">
        <v>83</v>
      </c>
      <c r="N66" s="242" t="s">
        <v>83</v>
      </c>
      <c r="O66" s="242" t="s">
        <v>816</v>
      </c>
      <c r="P66" s="243" t="s">
        <v>808</v>
      </c>
      <c r="Q66" s="242" t="s">
        <v>200</v>
      </c>
      <c r="R66" s="243" t="s">
        <v>199</v>
      </c>
      <c r="S66" s="242">
        <v>4</v>
      </c>
      <c r="T66" s="242">
        <v>5</v>
      </c>
      <c r="U66" s="242">
        <v>2</v>
      </c>
      <c r="V66" s="242">
        <v>4</v>
      </c>
      <c r="W66" s="243">
        <v>7</v>
      </c>
      <c r="X66" s="242">
        <v>4</v>
      </c>
      <c r="Y66" s="242">
        <v>5</v>
      </c>
      <c r="Z66" s="242">
        <v>2</v>
      </c>
      <c r="AA66" s="242">
        <v>5</v>
      </c>
      <c r="AB66" s="243">
        <v>7</v>
      </c>
      <c r="AC66" s="242">
        <v>5</v>
      </c>
      <c r="AD66" s="242">
        <v>7</v>
      </c>
      <c r="AE66" s="242">
        <v>1</v>
      </c>
      <c r="AF66" s="242" t="s">
        <v>32</v>
      </c>
      <c r="AG66" s="242" t="s">
        <v>32</v>
      </c>
      <c r="AH66" s="242" t="s">
        <v>32</v>
      </c>
      <c r="AI66" s="242" t="s">
        <v>32</v>
      </c>
      <c r="AJ66" s="242" t="s">
        <v>32</v>
      </c>
      <c r="AK66" s="242" t="s">
        <v>32</v>
      </c>
      <c r="AL66" s="242" t="s">
        <v>32</v>
      </c>
      <c r="AM66" s="242" t="s">
        <v>32</v>
      </c>
      <c r="AN66" s="243">
        <v>1</v>
      </c>
      <c r="AO66" s="242">
        <v>1</v>
      </c>
      <c r="AP66" s="242">
        <v>1</v>
      </c>
      <c r="AQ66" s="243">
        <v>2</v>
      </c>
      <c r="AR66" s="244" t="s">
        <v>32</v>
      </c>
      <c r="AS66" s="243" t="s">
        <v>33</v>
      </c>
      <c r="AT66" s="248" t="s">
        <v>779</v>
      </c>
      <c r="AU66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2.3333333333333335</v>
      </c>
      <c r="AV66" s="246" t="str">
        <f>IF(AU66&gt;9,"SuperStar",IF(AU66&gt;8,"Star",IF(AU66&gt;6.5,"GoodReg",IF(AU66&gt;5,"Reg",IF(AU66&gt;4,"Bench","Minors")))))</f>
        <v>Minors</v>
      </c>
      <c r="AW66" s="245">
        <f>AVERAGE(X66,Z66,AA66)+IF(OR(X66&gt;7,AND(X66&gt;5,AA66&gt;5)),0.5,0)+IF(Z66&gt;7,0.25,0)+IF(X66&lt;6,-0.5*(6-X66),0)</f>
        <v>2.6666666666666665</v>
      </c>
      <c r="AX66" s="245" t="str">
        <f>IF(AW66&gt;9,"SuperStar",IF(AW66&gt;8,"Star",IF(AW66&gt;6.5,"GoodReg",IF(AW66&gt;5,"Reg",IF(AW66&gt;4,"Bench","Minors")))))</f>
        <v>Minors</v>
      </c>
      <c r="AY66" s="246">
        <f>MIN(AU66+(MAX(0,25-L66))^1.5,AW66)</f>
        <v>2.6666666666666665</v>
      </c>
      <c r="AZ66" s="246" t="str">
        <f>IF(AY66&gt;9,"SuperStar",IF(AY66&gt;8,"Star",IF(AY66&gt;6.5,"GoodReg",IF(AY66&gt;5,"Reg",IF(AY66&gt;4,"Bench","Minors")))))</f>
        <v>Minors</v>
      </c>
      <c r="BA66" s="247">
        <f>IF(AND(OR(S66+V66&gt;12,AND(S66&gt;6,V66&gt;6)),AO66&gt;6,OR(AP66&gt;=AO66,AP66&gt;6)),1,0)</f>
        <v>0</v>
      </c>
      <c r="BB66" s="248">
        <f>IF(OR(AND(S66&gt;6,W66&gt;6),S66+V66&gt;12),1,0)</f>
        <v>0</v>
      </c>
      <c r="BC66" s="248">
        <f>IF(AND(S66&gt;6,U66&gt;6,V66&gt;6),1,0)</f>
        <v>0</v>
      </c>
      <c r="BD66" s="248">
        <f>IF(AND(U66&gt;7,OR(S66&gt;6,V66&gt;6)),1,0)</f>
        <v>0</v>
      </c>
      <c r="BE66" s="248">
        <f>IF(AND(U66&gt;6,OR(S66&gt;6,V66&gt;6)),1,0)</f>
        <v>0</v>
      </c>
      <c r="BF66" s="248">
        <f>IF(AND(OR(S66&gt;6,U66&gt;6),OR(S66&gt;6,V66&gt;6)),1,0)</f>
        <v>0</v>
      </c>
      <c r="BG66" s="248">
        <f>IF(AND(S66&gt;4,OR(S66&gt;6,U66&gt;6,V66&gt;6)),1,0)</f>
        <v>0</v>
      </c>
      <c r="BH66" s="248">
        <f>IF(AND(S66&gt;4,OR(S66&gt;6,T66&gt;6,U66&gt;6,V66&gt;6)),1,0)</f>
        <v>0</v>
      </c>
      <c r="BI66" s="243">
        <f>IF(AND(S66&gt;4,MAX(S66:W66)&gt;6),1,0)</f>
        <v>0</v>
      </c>
      <c r="BJ66" s="247">
        <f>IF(AND(OR(X66+AA66&gt;12,AND(X66&gt;6,AA66&gt;6)),AO66&gt;6,OR(AP66&gt;=AO66,AP66&gt;6)),1,0)</f>
        <v>0</v>
      </c>
      <c r="BK66" s="248">
        <f>IF(OR(AND(X66&gt;6,AB66&gt;6),X66+AA66&gt;12),1,0)</f>
        <v>0</v>
      </c>
      <c r="BL66" s="248">
        <f>IF(AND(X66&gt;6,Z66&gt;6,AA66&gt;6),1,0)</f>
        <v>0</v>
      </c>
      <c r="BM66" s="248">
        <f>IF(AND(Z66&gt;7,OR(X66&gt;6,AA66&gt;6)),1,0)</f>
        <v>0</v>
      </c>
      <c r="BN66" s="248">
        <f>IF(AND(Z66&gt;6,OR(X66&gt;6,AA66&gt;6)),1,0)</f>
        <v>0</v>
      </c>
      <c r="BO66" s="248">
        <f>IF(AND(OR(X66&gt;6,Z66&gt;6),OR(X66&gt;6,AA66&gt;6)),1,0)</f>
        <v>0</v>
      </c>
      <c r="BP66" s="248">
        <f>IF(AND(X66&gt;4,OR(X66&gt;6,Z66&gt;6,AA66&gt;6)),1,0)</f>
        <v>0</v>
      </c>
      <c r="BQ66" s="248">
        <f>IF(AND(X66&gt;4,OR(X66&gt;6,Y66&gt;6,Z66&gt;6,AA66&gt;6)),1,0)</f>
        <v>0</v>
      </c>
      <c r="BR66" s="243">
        <f>IF(AND(X66&gt;4,MAX(X66:AB66)&gt;6),1,0)</f>
        <v>0</v>
      </c>
      <c r="BS66" s="243">
        <f>IF(AVERAGE(AO66:AP66)&gt;9,1,0)+IF(AVERAGE(AO66:AP66)&gt;7,1,0)+IF(AO66&gt;7,1,0)+IF(AP66&gt;7,1,0)+IF(AQ66&gt;8,1,0)+IF(AQ66&gt;6,1,0)</f>
        <v>0</v>
      </c>
      <c r="BT66" s="249">
        <f>IF(OR(MAX(AG66,AH66,AL66,AN66)&gt;6,MAX(AI66,AJ66,AK66,AM66)&gt;7),2,IF(MAX(AG66:AN66)&gt;4,1,0))</f>
        <v>0</v>
      </c>
      <c r="BU66" s="242" t="str">
        <f>IF(AS66=1,"Yes","")</f>
        <v/>
      </c>
      <c r="BV66" s="241" t="str">
        <f>IF($B66="ML","There",IF(AND($X66&gt;=6,AVERAGE($Z66:$AA66)&gt;=6),"Likely",IF(OR($X66&gt;6,AND($X66=6,AVERAGE($Z66:$AA66)&gt;=3),AND($X66&gt;=5,AVERAGE($Z66:$AA66)&gt;=5),AVERAGE($X66,$Z66:$AA66)&gt;5),"Possible","Unlikely")))</f>
        <v>Unlikely</v>
      </c>
      <c r="BW66" s="242" t="str">
        <f>IF(OR(AND(S66&gt;=6,U66+V66&gt;=12),S66&gt;7),"Start",IF(AND(S66&gt;=5,U66+V66&gt;=8),"Bench","aack!"))</f>
        <v>aack!</v>
      </c>
      <c r="BX66" s="242" t="str">
        <f>IF(OR(AND(X66&gt;=6,Z66+AA66&gt;=12),X66&gt;7),"Start",IF(AND(X66&gt;=5,Z66+AA66&gt;=8),"Bench","aack!"))</f>
        <v>aack!</v>
      </c>
      <c r="BY66" s="242" t="str">
        <f>IF(S66&gt;5,"ML",IF(S66=5,"AAA",IF(S66=4,"AA",IF(S66=3,"A","SS-A"))))</f>
        <v>AA</v>
      </c>
      <c r="BZ66" s="242">
        <f>S66-X66</f>
        <v>0</v>
      </c>
      <c r="CA66" s="242">
        <f>T66-Y66</f>
        <v>0</v>
      </c>
      <c r="CB66" s="242">
        <f>U66-Z66</f>
        <v>0</v>
      </c>
      <c r="CC66" s="242">
        <f>V66-AA66</f>
        <v>-1</v>
      </c>
      <c r="CD66" s="242">
        <f>W66-AB66</f>
        <v>0</v>
      </c>
      <c r="CE66" s="242">
        <f>SUM(BZ66:CD66)</f>
        <v>-1</v>
      </c>
      <c r="CF66" s="242">
        <f>X66+Z66+AA66</f>
        <v>11</v>
      </c>
      <c r="CG66" s="242">
        <f>X66+Z66</f>
        <v>6</v>
      </c>
      <c r="CH66" s="242">
        <f>X66+AA66</f>
        <v>9</v>
      </c>
      <c r="CI66" s="242" t="str">
        <f>IF(L66&gt;24,"Now - Age",IF(S66&gt;6,"Now",IF(X66&lt;6,"With Dev",MIN(X66-S66,7-S66))))</f>
        <v>With Dev</v>
      </c>
      <c r="CJ66" s="257" t="str">
        <f>IF(AG66&lt;&gt;"-","X","")</f>
        <v/>
      </c>
      <c r="CK66" s="257" t="str">
        <f>IF(AND(AH66&lt;&gt;"-",AH66&gt;5),"X","")</f>
        <v/>
      </c>
      <c r="CL66" s="257" t="str">
        <f>IF(AND(AI66&lt;&gt;"-",AI66&gt;5),"X","")</f>
        <v/>
      </c>
      <c r="CM66" s="257" t="str">
        <f>IF(AND(AJ66&lt;&gt;"-",AJ66&gt;4,AC66&gt;6),"X","")</f>
        <v/>
      </c>
      <c r="CN66" s="257" t="str">
        <f>IF(AND(AK66&lt;&gt;"-",AK66&gt;5,AC66&gt;5),"X","")</f>
        <v/>
      </c>
      <c r="CO66" s="257" t="str">
        <f>IF(AND(AL66&lt;&gt;"-",AL66&gt;3),"X","")</f>
        <v/>
      </c>
      <c r="CP66" s="257" t="str">
        <f>IF(AND(AM66&lt;&gt;"-",AM66&gt;6),"X","")</f>
        <v/>
      </c>
      <c r="CQ66" s="257" t="str">
        <f>IF(AND(AN66&lt;&gt;"-",AN66&gt;5,AD66&gt;6),"X","")</f>
        <v/>
      </c>
      <c r="CR66" s="257" t="str">
        <f>IF(COUNTBLANK(CJ66:CQ66)=8,"X","")</f>
        <v>X</v>
      </c>
    </row>
    <row r="67" spans="1:96" s="306" customFormat="1" x14ac:dyDescent="0.25">
      <c r="A67" s="240" t="str">
        <f>H67&amp;" "&amp;I67</f>
        <v>Carlos Gallegos</v>
      </c>
      <c r="B67" s="240" t="str">
        <f>IF(ISERROR(VLOOKUP(A67,AMA!$C$3:$C$24,1,FALSE)),IF(ISERROR(VLOOKUP(A67,'END-AAA'!$C$6:$C$33,1,FALSE)),IF(ISERROR(VLOOKUP(A67,'DB-AA'!$C$6:$C$33,1,FALSE)),IF(ISERROR(VLOOKUP(A67,'UTR-A'!$C$6:$C$33,1,FALSE)),IF(ISERROR(VLOOKUP(A67,'FAI-S A'!$C$6:$C$33,1,FALSE)),"","S A"),"A"),"AA"),"AAA"),"ML")</f>
        <v/>
      </c>
      <c r="C67" s="241"/>
      <c r="D67" s="242" t="str">
        <f>IF(BL67=1,3,IF(BM67=1,4,IF(BJ67=1,1,IF(BN67=1,5,IF(BK67=1,2,IF(BO67=1,6,IF(BP67=1,7,IF(BQ67=1,8,IF(BR67=1,9,"-")))))))))</f>
        <v>-</v>
      </c>
      <c r="E67" s="242" t="str">
        <f>IF(BC67=1,3,IF(BD67=1,4,IF(BA67=1,1,IF(BE67=1,5,IF(BB67=1,2,IF(BF67=1,6,IF(BG67=1,7,IF(BH67=1,8,IF(BI67=1,9,"-")))))))))</f>
        <v>-</v>
      </c>
      <c r="F67" s="242" t="str">
        <f>IF(OR(OR(Q67="Very High",Q67="High"),AND(OR(Q67="Very High",Q67="High",Q67="Normal"),OR(R67="Very High",R67="High"))),"K","T")</f>
        <v>K</v>
      </c>
      <c r="G67" s="242" t="s">
        <v>87</v>
      </c>
      <c r="H67" s="242" t="s">
        <v>421</v>
      </c>
      <c r="I67" s="242" t="s">
        <v>815</v>
      </c>
      <c r="J67" s="242" t="s">
        <v>802</v>
      </c>
      <c r="K67" s="242" t="s">
        <v>277</v>
      </c>
      <c r="L67" s="242">
        <v>21</v>
      </c>
      <c r="M67" s="242" t="s">
        <v>82</v>
      </c>
      <c r="N67" s="242" t="s">
        <v>83</v>
      </c>
      <c r="O67" s="242" t="s">
        <v>808</v>
      </c>
      <c r="P67" s="243" t="s">
        <v>764</v>
      </c>
      <c r="Q67" s="242" t="s">
        <v>200</v>
      </c>
      <c r="R67" s="243" t="s">
        <v>199</v>
      </c>
      <c r="S67" s="242">
        <v>4</v>
      </c>
      <c r="T67" s="242">
        <v>4</v>
      </c>
      <c r="U67" s="242">
        <v>2</v>
      </c>
      <c r="V67" s="242">
        <v>4</v>
      </c>
      <c r="W67" s="243">
        <v>4</v>
      </c>
      <c r="X67" s="242">
        <v>4</v>
      </c>
      <c r="Y67" s="242">
        <v>4</v>
      </c>
      <c r="Z67" s="242">
        <v>2</v>
      </c>
      <c r="AA67" s="242">
        <v>5</v>
      </c>
      <c r="AB67" s="243">
        <v>4</v>
      </c>
      <c r="AC67" s="242">
        <v>6</v>
      </c>
      <c r="AD67" s="242">
        <v>3</v>
      </c>
      <c r="AE67" s="242">
        <v>1</v>
      </c>
      <c r="AF67" s="242" t="s">
        <v>32</v>
      </c>
      <c r="AG67" s="242" t="s">
        <v>32</v>
      </c>
      <c r="AH67" s="242">
        <v>1</v>
      </c>
      <c r="AI67" s="242" t="s">
        <v>32</v>
      </c>
      <c r="AJ67" s="242" t="s">
        <v>32</v>
      </c>
      <c r="AK67" s="242" t="s">
        <v>32</v>
      </c>
      <c r="AL67" s="242" t="s">
        <v>32</v>
      </c>
      <c r="AM67" s="242" t="s">
        <v>32</v>
      </c>
      <c r="AN67" s="243" t="s">
        <v>32</v>
      </c>
      <c r="AO67" s="242">
        <v>4</v>
      </c>
      <c r="AP67" s="242">
        <v>2</v>
      </c>
      <c r="AQ67" s="243">
        <v>2</v>
      </c>
      <c r="AR67" s="244" t="s">
        <v>32</v>
      </c>
      <c r="AS67" s="243" t="s">
        <v>33</v>
      </c>
      <c r="AT67" s="248" t="s">
        <v>779</v>
      </c>
      <c r="AU67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2.3333333333333335</v>
      </c>
      <c r="AV67" s="246" t="str">
        <f>IF(AU67&gt;9,"SuperStar",IF(AU67&gt;8,"Star",IF(AU67&gt;6.5,"GoodReg",IF(AU67&gt;5,"Reg",IF(AU67&gt;4,"Bench","Minors")))))</f>
        <v>Minors</v>
      </c>
      <c r="AW67" s="245">
        <f>AVERAGE(X67,Z67,AA67)+IF(OR(X67&gt;7,AND(X67&gt;5,AA67&gt;5)),0.5,0)+IF(Z67&gt;7,0.25,0)+IF(X67&lt;6,-0.5*(6-X67),0)</f>
        <v>2.6666666666666665</v>
      </c>
      <c r="AX67" s="245" t="str">
        <f>IF(AW67&gt;9,"SuperStar",IF(AW67&gt;8,"Star",IF(AW67&gt;6.5,"GoodReg",IF(AW67&gt;5,"Reg",IF(AW67&gt;4,"Bench","Minors")))))</f>
        <v>Minors</v>
      </c>
      <c r="AY67" s="246">
        <f>MIN(AU67+(MAX(0,25-L67))^1.5,AW67)</f>
        <v>2.6666666666666665</v>
      </c>
      <c r="AZ67" s="246" t="str">
        <f>IF(AY67&gt;9,"SuperStar",IF(AY67&gt;8,"Star",IF(AY67&gt;6.5,"GoodReg",IF(AY67&gt;5,"Reg",IF(AY67&gt;4,"Bench","Minors")))))</f>
        <v>Minors</v>
      </c>
      <c r="BA67" s="247">
        <f>IF(AND(OR(S67+V67&gt;12,AND(S67&gt;6,V67&gt;6)),AO67&gt;6,OR(AP67&gt;=AO67,AP67&gt;6)),1,0)</f>
        <v>0</v>
      </c>
      <c r="BB67" s="248">
        <f>IF(OR(AND(S67&gt;6,W67&gt;6),S67+V67&gt;12),1,0)</f>
        <v>0</v>
      </c>
      <c r="BC67" s="248">
        <f>IF(AND(S67&gt;6,U67&gt;6,V67&gt;6),1,0)</f>
        <v>0</v>
      </c>
      <c r="BD67" s="248">
        <f>IF(AND(U67&gt;7,OR(S67&gt;6,V67&gt;6)),1,0)</f>
        <v>0</v>
      </c>
      <c r="BE67" s="248">
        <f>IF(AND(U67&gt;6,OR(S67&gt;6,V67&gt;6)),1,0)</f>
        <v>0</v>
      </c>
      <c r="BF67" s="248">
        <f>IF(AND(OR(S67&gt;6,U67&gt;6),OR(S67&gt;6,V67&gt;6)),1,0)</f>
        <v>0</v>
      </c>
      <c r="BG67" s="248">
        <f>IF(AND(S67&gt;4,OR(S67&gt;6,U67&gt;6,V67&gt;6)),1,0)</f>
        <v>0</v>
      </c>
      <c r="BH67" s="248">
        <f>IF(AND(S67&gt;4,OR(S67&gt;6,T67&gt;6,U67&gt;6,V67&gt;6)),1,0)</f>
        <v>0</v>
      </c>
      <c r="BI67" s="243">
        <f>IF(AND(S67&gt;4,MAX(S67:W67)&gt;6),1,0)</f>
        <v>0</v>
      </c>
      <c r="BJ67" s="247">
        <f>IF(AND(OR(X67+AA67&gt;12,AND(X67&gt;6,AA67&gt;6)),AO67&gt;6,OR(AP67&gt;=AO67,AP67&gt;6)),1,0)</f>
        <v>0</v>
      </c>
      <c r="BK67" s="248">
        <f>IF(OR(AND(X67&gt;6,AB67&gt;6),X67+AA67&gt;12),1,0)</f>
        <v>0</v>
      </c>
      <c r="BL67" s="248">
        <f>IF(AND(X67&gt;6,Z67&gt;6,AA67&gt;6),1,0)</f>
        <v>0</v>
      </c>
      <c r="BM67" s="248">
        <f>IF(AND(Z67&gt;7,OR(X67&gt;6,AA67&gt;6)),1,0)</f>
        <v>0</v>
      </c>
      <c r="BN67" s="248">
        <f>IF(AND(Z67&gt;6,OR(X67&gt;6,AA67&gt;6)),1,0)</f>
        <v>0</v>
      </c>
      <c r="BO67" s="248">
        <f>IF(AND(OR(X67&gt;6,Z67&gt;6),OR(X67&gt;6,AA67&gt;6)),1,0)</f>
        <v>0</v>
      </c>
      <c r="BP67" s="248">
        <f>IF(AND(X67&gt;4,OR(X67&gt;6,Z67&gt;6,AA67&gt;6)),1,0)</f>
        <v>0</v>
      </c>
      <c r="BQ67" s="248">
        <f>IF(AND(X67&gt;4,OR(X67&gt;6,Y67&gt;6,Z67&gt;6,AA67&gt;6)),1,0)</f>
        <v>0</v>
      </c>
      <c r="BR67" s="243">
        <f>IF(AND(X67&gt;4,MAX(X67:AB67)&gt;6),1,0)</f>
        <v>0</v>
      </c>
      <c r="BS67" s="243">
        <f>IF(AVERAGE(AO67:AP67)&gt;9,1,0)+IF(AVERAGE(AO67:AP67)&gt;7,1,0)+IF(AO67&gt;7,1,0)+IF(AP67&gt;7,1,0)+IF(AQ67&gt;8,1,0)+IF(AQ67&gt;6,1,0)</f>
        <v>0</v>
      </c>
      <c r="BT67" s="249">
        <f>IF(OR(MAX(AG67,AH67,AL67,AN67)&gt;6,MAX(AI67,AJ67,AK67,AM67)&gt;7),2,IF(MAX(AG67:AN67)&gt;4,1,0))</f>
        <v>0</v>
      </c>
      <c r="BU67" s="242" t="str">
        <f>IF(AS67=1,"Yes","")</f>
        <v/>
      </c>
      <c r="BV67" s="241" t="str">
        <f>IF($B67="ML","There",IF(AND($X67&gt;=6,AVERAGE($Z67:$AA67)&gt;=6),"Likely",IF(OR($X67&gt;6,AND($X67=6,AVERAGE($Z67:$AA67)&gt;=3),AND($X67&gt;=5,AVERAGE($Z67:$AA67)&gt;=5),AVERAGE($X67,$Z67:$AA67)&gt;5),"Possible","Unlikely")))</f>
        <v>Unlikely</v>
      </c>
      <c r="BW67" s="242" t="str">
        <f>IF(OR(AND(S67&gt;=6,U67+V67&gt;=12),S67&gt;7),"Start",IF(AND(S67&gt;=5,U67+V67&gt;=8),"Bench","aack!"))</f>
        <v>aack!</v>
      </c>
      <c r="BX67" s="242" t="str">
        <f>IF(OR(AND(X67&gt;=6,Z67+AA67&gt;=12),X67&gt;7),"Start",IF(AND(X67&gt;=5,Z67+AA67&gt;=8),"Bench","aack!"))</f>
        <v>aack!</v>
      </c>
      <c r="BY67" s="242" t="str">
        <f>IF(S67&gt;5,"ML",IF(S67=5,"AAA",IF(S67=4,"AA",IF(S67=3,"A","SS-A"))))</f>
        <v>AA</v>
      </c>
      <c r="BZ67" s="242">
        <f>S67-X67</f>
        <v>0</v>
      </c>
      <c r="CA67" s="242">
        <f>T67-Y67</f>
        <v>0</v>
      </c>
      <c r="CB67" s="242">
        <f>U67-Z67</f>
        <v>0</v>
      </c>
      <c r="CC67" s="242">
        <f>V67-AA67</f>
        <v>-1</v>
      </c>
      <c r="CD67" s="242">
        <f>W67-AB67</f>
        <v>0</v>
      </c>
      <c r="CE67" s="242">
        <f>SUM(BZ67:CD67)</f>
        <v>-1</v>
      </c>
      <c r="CF67" s="242">
        <f>X67+Z67+AA67</f>
        <v>11</v>
      </c>
      <c r="CG67" s="242">
        <f>X67+Z67</f>
        <v>6</v>
      </c>
      <c r="CH67" s="242">
        <f>X67+AA67</f>
        <v>9</v>
      </c>
      <c r="CI67" s="242" t="str">
        <f>IF(L67&gt;24,"Now - Age",IF(S67&gt;6,"Now",IF(X67&lt;6,"With Dev",MIN(X67-S67,7-S67))))</f>
        <v>With Dev</v>
      </c>
      <c r="CJ67" s="257" t="str">
        <f>IF(AG67&lt;&gt;"-","X","")</f>
        <v/>
      </c>
      <c r="CK67" s="257" t="str">
        <f>IF(AND(AH67&lt;&gt;"-",AH67&gt;5),"X","")</f>
        <v/>
      </c>
      <c r="CL67" s="257" t="str">
        <f>IF(AND(AI67&lt;&gt;"-",AI67&gt;5),"X","")</f>
        <v/>
      </c>
      <c r="CM67" s="257" t="str">
        <f>IF(AND(AJ67&lt;&gt;"-",AJ67&gt;4,AC67&gt;6),"X","")</f>
        <v/>
      </c>
      <c r="CN67" s="257" t="str">
        <f>IF(AND(AK67&lt;&gt;"-",AK67&gt;5,AC67&gt;5),"X","")</f>
        <v/>
      </c>
      <c r="CO67" s="257" t="str">
        <f>IF(AND(AL67&lt;&gt;"-",AL67&gt;3),"X","")</f>
        <v/>
      </c>
      <c r="CP67" s="257" t="str">
        <f>IF(AND(AM67&lt;&gt;"-",AM67&gt;6),"X","")</f>
        <v/>
      </c>
      <c r="CQ67" s="257" t="str">
        <f>IF(AND(AN67&lt;&gt;"-",AN67&gt;5,AD67&gt;6),"X","")</f>
        <v/>
      </c>
      <c r="CR67" s="257" t="str">
        <f>IF(COUNTBLANK(CJ67:CQ67)=8,"X","")</f>
        <v>X</v>
      </c>
    </row>
    <row r="68" spans="1:96" s="306" customFormat="1" x14ac:dyDescent="0.25">
      <c r="A68" s="240" t="str">
        <f>H68&amp;" "&amp;I68</f>
        <v>Elvis Mason</v>
      </c>
      <c r="B68" s="240" t="str">
        <f>IF(ISERROR(VLOOKUP(A68,AMA!$C$3:$C$24,1,FALSE)),IF(ISERROR(VLOOKUP(A68,'END-AAA'!$C$6:$C$33,1,FALSE)),IF(ISERROR(VLOOKUP(A68,'DB-AA'!$C$6:$C$33,1,FALSE)),IF(ISERROR(VLOOKUP(A68,'UTR-A'!$C$6:$C$33,1,FALSE)),IF(ISERROR(VLOOKUP(A68,'FAI-S A'!$C$6:$C$33,1,FALSE)),"","S A"),"A"),"AA"),"AAA"),"ML")</f>
        <v/>
      </c>
      <c r="C68" s="241"/>
      <c r="D68" s="242" t="str">
        <f>IF(BL68=1,3,IF(BM68=1,4,IF(BJ68=1,1,IF(BN68=1,5,IF(BK68=1,2,IF(BO68=1,6,IF(BP68=1,7,IF(BQ68=1,8,IF(BR68=1,9,"-")))))))))</f>
        <v>-</v>
      </c>
      <c r="E68" s="242" t="str">
        <f>IF(BC68=1,3,IF(BD68=1,4,IF(BA68=1,1,IF(BE68=1,5,IF(BB68=1,2,IF(BF68=1,6,IF(BG68=1,7,IF(BH68=1,8,IF(BI68=1,9,"-")))))))))</f>
        <v>-</v>
      </c>
      <c r="F68" s="242" t="str">
        <f>IF(OR(OR(Q68="Very High",Q68="High"),AND(OR(Q68="Very High",Q68="High",Q68="Normal"),OR(R68="Very High",R68="High"))),"K","T")</f>
        <v>K</v>
      </c>
      <c r="G68" s="242" t="s">
        <v>76</v>
      </c>
      <c r="H68" s="242" t="s">
        <v>1277</v>
      </c>
      <c r="I68" s="242" t="s">
        <v>1278</v>
      </c>
      <c r="J68" s="242" t="s">
        <v>783</v>
      </c>
      <c r="K68" s="242" t="s">
        <v>185</v>
      </c>
      <c r="L68" s="242">
        <v>31</v>
      </c>
      <c r="M68" s="242" t="s">
        <v>82</v>
      </c>
      <c r="N68" s="242" t="s">
        <v>83</v>
      </c>
      <c r="O68" s="242" t="s">
        <v>764</v>
      </c>
      <c r="P68" s="243" t="s">
        <v>764</v>
      </c>
      <c r="Q68" s="242" t="s">
        <v>199</v>
      </c>
      <c r="R68" s="243" t="s">
        <v>199</v>
      </c>
      <c r="S68" s="242">
        <v>4</v>
      </c>
      <c r="T68" s="242">
        <v>7</v>
      </c>
      <c r="U68" s="242">
        <v>4</v>
      </c>
      <c r="V68" s="242">
        <v>2</v>
      </c>
      <c r="W68" s="243">
        <v>2</v>
      </c>
      <c r="X68" s="242">
        <v>4</v>
      </c>
      <c r="Y68" s="242">
        <v>7</v>
      </c>
      <c r="Z68" s="242">
        <v>4</v>
      </c>
      <c r="AA68" s="242">
        <v>2</v>
      </c>
      <c r="AB68" s="243">
        <v>2</v>
      </c>
      <c r="AC68" s="242">
        <v>9</v>
      </c>
      <c r="AD68" s="242">
        <v>2</v>
      </c>
      <c r="AE68" s="242">
        <v>1</v>
      </c>
      <c r="AF68" s="242" t="s">
        <v>32</v>
      </c>
      <c r="AG68" s="242" t="s">
        <v>32</v>
      </c>
      <c r="AH68" s="242" t="s">
        <v>32</v>
      </c>
      <c r="AI68" s="242">
        <v>10</v>
      </c>
      <c r="AJ68" s="242">
        <v>9</v>
      </c>
      <c r="AK68" s="242">
        <v>8</v>
      </c>
      <c r="AL68" s="242" t="s">
        <v>32</v>
      </c>
      <c r="AM68" s="242" t="s">
        <v>32</v>
      </c>
      <c r="AN68" s="243" t="s">
        <v>32</v>
      </c>
      <c r="AO68" s="242">
        <v>8</v>
      </c>
      <c r="AP68" s="242">
        <v>10</v>
      </c>
      <c r="AQ68" s="243">
        <v>10</v>
      </c>
      <c r="AR68" s="244" t="s">
        <v>32</v>
      </c>
      <c r="AS68" s="243" t="s">
        <v>33</v>
      </c>
      <c r="AT68" s="248" t="s">
        <v>199</v>
      </c>
      <c r="AU68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2.3333333333333335</v>
      </c>
      <c r="AV68" s="246" t="str">
        <f>IF(AU68&gt;9,"SuperStar",IF(AU68&gt;8,"Star",IF(AU68&gt;6.5,"GoodReg",IF(AU68&gt;5,"Reg",IF(AU68&gt;4,"Bench","Minors")))))</f>
        <v>Minors</v>
      </c>
      <c r="AW68" s="245">
        <f>AVERAGE(X68,Z68,AA68)+IF(OR(X68&gt;7,AND(X68&gt;5,AA68&gt;5)),0.5,0)+IF(Z68&gt;7,0.25,0)+IF(X68&lt;6,-0.5*(6-X68),0)</f>
        <v>2.3333333333333335</v>
      </c>
      <c r="AX68" s="245" t="str">
        <f>IF(AW68&gt;9,"SuperStar",IF(AW68&gt;8,"Star",IF(AW68&gt;6.5,"GoodReg",IF(AW68&gt;5,"Reg",IF(AW68&gt;4,"Bench","Minors")))))</f>
        <v>Minors</v>
      </c>
      <c r="AY68" s="246">
        <f>MIN(AU68+(MAX(0,25-L68))^1.5,AW68)</f>
        <v>2.3333333333333335</v>
      </c>
      <c r="AZ68" s="246" t="str">
        <f>IF(AY68&gt;9,"SuperStar",IF(AY68&gt;8,"Star",IF(AY68&gt;6.5,"GoodReg",IF(AY68&gt;5,"Reg",IF(AY68&gt;4,"Bench","Minors")))))</f>
        <v>Minors</v>
      </c>
      <c r="BA68" s="247">
        <f>IF(AND(OR(S68+V68&gt;12,AND(S68&gt;6,V68&gt;6)),AO68&gt;6,OR(AP68&gt;=AO68,AP68&gt;6)),1,0)</f>
        <v>0</v>
      </c>
      <c r="BB68" s="248">
        <f>IF(OR(AND(S68&gt;6,W68&gt;6),S68+V68&gt;12),1,0)</f>
        <v>0</v>
      </c>
      <c r="BC68" s="248">
        <f>IF(AND(S68&gt;6,U68&gt;6,V68&gt;6),1,0)</f>
        <v>0</v>
      </c>
      <c r="BD68" s="248">
        <f>IF(AND(U68&gt;7,OR(S68&gt;6,V68&gt;6)),1,0)</f>
        <v>0</v>
      </c>
      <c r="BE68" s="248">
        <f>IF(AND(U68&gt;6,OR(S68&gt;6,V68&gt;6)),1,0)</f>
        <v>0</v>
      </c>
      <c r="BF68" s="248">
        <f>IF(AND(OR(S68&gt;6,U68&gt;6),OR(S68&gt;6,V68&gt;6)),1,0)</f>
        <v>0</v>
      </c>
      <c r="BG68" s="248">
        <f>IF(AND(S68&gt;4,OR(S68&gt;6,U68&gt;6,V68&gt;6)),1,0)</f>
        <v>0</v>
      </c>
      <c r="BH68" s="248">
        <f>IF(AND(S68&gt;4,OR(S68&gt;6,T68&gt;6,U68&gt;6,V68&gt;6)),1,0)</f>
        <v>0</v>
      </c>
      <c r="BI68" s="243">
        <f>IF(AND(S68&gt;4,MAX(S68:W68)&gt;6),1,0)</f>
        <v>0</v>
      </c>
      <c r="BJ68" s="247">
        <f>IF(AND(OR(X68+AA68&gt;12,AND(X68&gt;6,AA68&gt;6)),AO68&gt;6,OR(AP68&gt;=AO68,AP68&gt;6)),1,0)</f>
        <v>0</v>
      </c>
      <c r="BK68" s="248">
        <f>IF(OR(AND(X68&gt;6,AB68&gt;6),X68+AA68&gt;12),1,0)</f>
        <v>0</v>
      </c>
      <c r="BL68" s="248">
        <f>IF(AND(X68&gt;6,Z68&gt;6,AA68&gt;6),1,0)</f>
        <v>0</v>
      </c>
      <c r="BM68" s="248">
        <f>IF(AND(Z68&gt;7,OR(X68&gt;6,AA68&gt;6)),1,0)</f>
        <v>0</v>
      </c>
      <c r="BN68" s="248">
        <f>IF(AND(Z68&gt;6,OR(X68&gt;6,AA68&gt;6)),1,0)</f>
        <v>0</v>
      </c>
      <c r="BO68" s="248">
        <f>IF(AND(OR(X68&gt;6,Z68&gt;6),OR(X68&gt;6,AA68&gt;6)),1,0)</f>
        <v>0</v>
      </c>
      <c r="BP68" s="248">
        <f>IF(AND(X68&gt;4,OR(X68&gt;6,Z68&gt;6,AA68&gt;6)),1,0)</f>
        <v>0</v>
      </c>
      <c r="BQ68" s="248">
        <f>IF(AND(X68&gt;4,OR(X68&gt;6,Y68&gt;6,Z68&gt;6,AA68&gt;6)),1,0)</f>
        <v>0</v>
      </c>
      <c r="BR68" s="243">
        <f>IF(AND(X68&gt;4,MAX(X68:AB68)&gt;6),1,0)</f>
        <v>0</v>
      </c>
      <c r="BS68" s="243">
        <f>IF(AVERAGE(AO68:AP68)&gt;9,1,0)+IF(AVERAGE(AO68:AP68)&gt;7,1,0)+IF(AO68&gt;7,1,0)+IF(AP68&gt;7,1,0)+IF(AQ68&gt;8,1,0)+IF(AQ68&gt;6,1,0)</f>
        <v>5</v>
      </c>
      <c r="BT68" s="249">
        <f>IF(OR(MAX(AG68,AH68,AL68,AN68)&gt;6,MAX(AI68,AJ68,AK68,AM68)&gt;7),2,IF(MAX(AG68:AN68)&gt;4,1,0))</f>
        <v>2</v>
      </c>
      <c r="BU68" s="242" t="str">
        <f>IF(AS68=1,"Yes","")</f>
        <v/>
      </c>
      <c r="BV68" s="241" t="str">
        <f>IF($B68="ML","There",IF(AND($X68&gt;=6,AVERAGE($Z68:$AA68)&gt;=6),"Likely",IF(OR($X68&gt;6,AND($X68=6,AVERAGE($Z68:$AA68)&gt;=3),AND($X68&gt;=5,AVERAGE($Z68:$AA68)&gt;=5),AVERAGE($X68,$Z68:$AA68)&gt;5),"Possible","Unlikely")))</f>
        <v>Unlikely</v>
      </c>
      <c r="BW68" s="242" t="str">
        <f>IF(OR(AND(S68&gt;=6,U68+V68&gt;=12),S68&gt;7),"Start",IF(AND(S68&gt;=5,U68+V68&gt;=8),"Bench","aack!"))</f>
        <v>aack!</v>
      </c>
      <c r="BX68" s="242" t="str">
        <f>IF(OR(AND(X68&gt;=6,Z68+AA68&gt;=12),X68&gt;7),"Start",IF(AND(X68&gt;=5,Z68+AA68&gt;=8),"Bench","aack!"))</f>
        <v>aack!</v>
      </c>
      <c r="BY68" s="242" t="str">
        <f>IF(S68&gt;5,"ML",IF(S68=5,"AAA",IF(S68=4,"AA",IF(S68=3,"A","SS-A"))))</f>
        <v>AA</v>
      </c>
      <c r="BZ68" s="242">
        <f>S68-X68</f>
        <v>0</v>
      </c>
      <c r="CA68" s="242">
        <f>T68-Y68</f>
        <v>0</v>
      </c>
      <c r="CB68" s="242">
        <f>U68-Z68</f>
        <v>0</v>
      </c>
      <c r="CC68" s="242">
        <f>V68-AA68</f>
        <v>0</v>
      </c>
      <c r="CD68" s="242">
        <f>W68-AB68</f>
        <v>0</v>
      </c>
      <c r="CE68" s="242">
        <f>SUM(BZ68:CD68)</f>
        <v>0</v>
      </c>
      <c r="CF68" s="242">
        <f>X68+Z68+AA68</f>
        <v>10</v>
      </c>
      <c r="CG68" s="242">
        <f>X68+Z68</f>
        <v>8</v>
      </c>
      <c r="CH68" s="242">
        <f>X68+AA68</f>
        <v>6</v>
      </c>
      <c r="CI68" s="242" t="str">
        <f>IF(L68&gt;24,"Now - Age",IF(S68&gt;6,"Now",IF(X68&lt;6,"With Dev",MIN(X68-S68,7-S68))))</f>
        <v>Now - Age</v>
      </c>
      <c r="CJ68" s="257" t="str">
        <f>IF(AG68&lt;&gt;"-","X","")</f>
        <v/>
      </c>
      <c r="CK68" s="257" t="str">
        <f>IF(AND(AH68&lt;&gt;"-",AH68&gt;5),"X","")</f>
        <v/>
      </c>
      <c r="CL68" s="257" t="str">
        <f>IF(AND(AI68&lt;&gt;"-",AI68&gt;5),"X","")</f>
        <v>X</v>
      </c>
      <c r="CM68" s="257" t="str">
        <f>IF(AND(AJ68&lt;&gt;"-",AJ68&gt;4,AC68&gt;6),"X","")</f>
        <v>X</v>
      </c>
      <c r="CN68" s="257" t="str">
        <f>IF(AND(AK68&lt;&gt;"-",AK68&gt;5,AC68&gt;5),"X","")</f>
        <v>X</v>
      </c>
      <c r="CO68" s="257" t="str">
        <f>IF(AND(AL68&lt;&gt;"-",AL68&gt;3),"X","")</f>
        <v/>
      </c>
      <c r="CP68" s="257" t="str">
        <f>IF(AND(AM68&lt;&gt;"-",AM68&gt;6),"X","")</f>
        <v/>
      </c>
      <c r="CQ68" s="257" t="str">
        <f>IF(AND(AN68&lt;&gt;"-",AN68&gt;5,AD68&gt;6),"X","")</f>
        <v/>
      </c>
      <c r="CR68" s="257" t="str">
        <f>IF(COUNTBLANK(CJ68:CQ68)=8,"X","")</f>
        <v/>
      </c>
    </row>
    <row r="69" spans="1:96" s="306" customFormat="1" x14ac:dyDescent="0.25">
      <c r="A69" s="240" t="str">
        <f>H69&amp;" "&amp;I69</f>
        <v>Zhang-sung Zhou</v>
      </c>
      <c r="B69" s="240" t="str">
        <f>IF(ISERROR(VLOOKUP(A69,AMA!$C$3:$C$24,1,FALSE)),IF(ISERROR(VLOOKUP(A69,'END-AAA'!$C$6:$C$33,1,FALSE)),IF(ISERROR(VLOOKUP(A69,'DB-AA'!$C$6:$C$33,1,FALSE)),IF(ISERROR(VLOOKUP(A69,'UTR-A'!$C$6:$C$33,1,FALSE)),IF(ISERROR(VLOOKUP(A69,'FAI-S A'!$C$6:$C$33,1,FALSE)),"","S A"),"A"),"AA"),"AAA"),"ML")</f>
        <v/>
      </c>
      <c r="C69" s="241"/>
      <c r="D69" s="242" t="str">
        <f>IF(BL69=1,3,IF(BM69=1,4,IF(BJ69=1,1,IF(BN69=1,5,IF(BK69=1,2,IF(BO69=1,6,IF(BP69=1,7,IF(BQ69=1,8,IF(BR69=1,9,"-")))))))))</f>
        <v>-</v>
      </c>
      <c r="E69" s="242" t="str">
        <f>IF(BC69=1,3,IF(BD69=1,4,IF(BA69=1,1,IF(BE69=1,5,IF(BB69=1,2,IF(BF69=1,6,IF(BG69=1,7,IF(BH69=1,8,IF(BI69=1,9,"-")))))))))</f>
        <v>-</v>
      </c>
      <c r="F69" s="242" t="str">
        <f>IF(OR(OR(Q69="Very High",Q69="High"),AND(OR(Q69="Very High",Q69="High",Q69="Normal"),OR(R69="Very High",R69="High"))),"K","T")</f>
        <v>T</v>
      </c>
      <c r="G69" s="242" t="s">
        <v>71</v>
      </c>
      <c r="H69" s="242" t="s">
        <v>910</v>
      </c>
      <c r="I69" s="242" t="s">
        <v>909</v>
      </c>
      <c r="J69" s="242" t="s">
        <v>802</v>
      </c>
      <c r="K69" s="242" t="s">
        <v>277</v>
      </c>
      <c r="L69" s="242">
        <v>21</v>
      </c>
      <c r="M69" s="242" t="s">
        <v>85</v>
      </c>
      <c r="N69" s="242" t="s">
        <v>83</v>
      </c>
      <c r="O69" s="242" t="s">
        <v>808</v>
      </c>
      <c r="P69" s="243" t="s">
        <v>764</v>
      </c>
      <c r="Q69" s="242" t="s">
        <v>201</v>
      </c>
      <c r="R69" s="243" t="s">
        <v>200</v>
      </c>
      <c r="S69" s="242">
        <v>2</v>
      </c>
      <c r="T69" s="242">
        <v>7</v>
      </c>
      <c r="U69" s="242">
        <v>3</v>
      </c>
      <c r="V69" s="242">
        <v>8</v>
      </c>
      <c r="W69" s="243">
        <v>1</v>
      </c>
      <c r="X69" s="242">
        <v>3</v>
      </c>
      <c r="Y69" s="242">
        <v>8</v>
      </c>
      <c r="Z69" s="242">
        <v>5</v>
      </c>
      <c r="AA69" s="242">
        <v>9</v>
      </c>
      <c r="AB69" s="243">
        <v>2</v>
      </c>
      <c r="AC69" s="242">
        <v>3</v>
      </c>
      <c r="AD69" s="242">
        <v>3</v>
      </c>
      <c r="AE69" s="242">
        <v>5</v>
      </c>
      <c r="AF69" s="242">
        <v>5</v>
      </c>
      <c r="AG69" s="242">
        <v>5</v>
      </c>
      <c r="AH69" s="242" t="s">
        <v>32</v>
      </c>
      <c r="AI69" s="242" t="s">
        <v>32</v>
      </c>
      <c r="AJ69" s="242" t="s">
        <v>32</v>
      </c>
      <c r="AK69" s="242" t="s">
        <v>32</v>
      </c>
      <c r="AL69" s="242" t="s">
        <v>32</v>
      </c>
      <c r="AM69" s="242" t="s">
        <v>32</v>
      </c>
      <c r="AN69" s="243" t="s">
        <v>32</v>
      </c>
      <c r="AO69" s="242">
        <v>3</v>
      </c>
      <c r="AP69" s="242">
        <v>3</v>
      </c>
      <c r="AQ69" s="243">
        <v>3</v>
      </c>
      <c r="AR69" s="244" t="s">
        <v>32</v>
      </c>
      <c r="AS69" s="243">
        <v>0</v>
      </c>
      <c r="AT69" s="248" t="s">
        <v>779</v>
      </c>
      <c r="AU69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2.333333333333333</v>
      </c>
      <c r="AV69" s="246" t="str">
        <f>IF(AU69&gt;9,"SuperStar",IF(AU69&gt;8,"Star",IF(AU69&gt;6.5,"GoodReg",IF(AU69&gt;5,"Reg",IF(AU69&gt;4,"Bench","Minors")))))</f>
        <v>Minors</v>
      </c>
      <c r="AW69" s="245">
        <f>AVERAGE(X69,Z69,AA69)+IF(OR(X69&gt;7,AND(X69&gt;5,AA69&gt;5)),0.5,0)+IF(Z69&gt;7,0.25,0)+IF(X69&lt;6,-0.5*(6-X69),0)</f>
        <v>4.166666666666667</v>
      </c>
      <c r="AX69" s="245" t="str">
        <f>IF(AW69&gt;9,"SuperStar",IF(AW69&gt;8,"Star",IF(AW69&gt;6.5,"GoodReg",IF(AW69&gt;5,"Reg",IF(AW69&gt;4,"Bench","Minors")))))</f>
        <v>Bench</v>
      </c>
      <c r="AY69" s="246">
        <f>MIN(AU69+(MAX(0,25-L69))^1.5,AW69)</f>
        <v>4.166666666666667</v>
      </c>
      <c r="AZ69" s="246" t="str">
        <f>IF(AY69&gt;9,"SuperStar",IF(AY69&gt;8,"Star",IF(AY69&gt;6.5,"GoodReg",IF(AY69&gt;5,"Reg",IF(AY69&gt;4,"Bench","Minors")))))</f>
        <v>Bench</v>
      </c>
      <c r="BA69" s="247">
        <f>IF(AND(OR(S69+V69&gt;12,AND(S69&gt;6,V69&gt;6)),AO69&gt;6,OR(AP69&gt;=AO69,AP69&gt;6)),1,0)</f>
        <v>0</v>
      </c>
      <c r="BB69" s="248">
        <f>IF(OR(AND(S69&gt;6,W69&gt;6),S69+V69&gt;12),1,0)</f>
        <v>0</v>
      </c>
      <c r="BC69" s="248">
        <f>IF(AND(S69&gt;6,U69&gt;6,V69&gt;6),1,0)</f>
        <v>0</v>
      </c>
      <c r="BD69" s="248">
        <f>IF(AND(U69&gt;7,OR(S69&gt;6,V69&gt;6)),1,0)</f>
        <v>0</v>
      </c>
      <c r="BE69" s="248">
        <f>IF(AND(U69&gt;6,OR(S69&gt;6,V69&gt;6)),1,0)</f>
        <v>0</v>
      </c>
      <c r="BF69" s="248">
        <f>IF(AND(OR(S69&gt;6,U69&gt;6),OR(S69&gt;6,V69&gt;6)),1,0)</f>
        <v>0</v>
      </c>
      <c r="BG69" s="248">
        <f>IF(AND(S69&gt;4,OR(S69&gt;6,U69&gt;6,V69&gt;6)),1,0)</f>
        <v>0</v>
      </c>
      <c r="BH69" s="248">
        <f>IF(AND(S69&gt;4,OR(S69&gt;6,T69&gt;6,U69&gt;6,V69&gt;6)),1,0)</f>
        <v>0</v>
      </c>
      <c r="BI69" s="243">
        <f>IF(AND(S69&gt;4,MAX(S69:W69)&gt;6),1,0)</f>
        <v>0</v>
      </c>
      <c r="BJ69" s="247">
        <f>IF(AND(OR(X69+AA69&gt;12,AND(X69&gt;6,AA69&gt;6)),AO69&gt;6,OR(AP69&gt;=AO69,AP69&gt;6)),1,0)</f>
        <v>0</v>
      </c>
      <c r="BK69" s="248">
        <f>IF(OR(AND(X69&gt;6,AB69&gt;6),X69+AA69&gt;12),1,0)</f>
        <v>0</v>
      </c>
      <c r="BL69" s="248">
        <f>IF(AND(X69&gt;6,Z69&gt;6,AA69&gt;6),1,0)</f>
        <v>0</v>
      </c>
      <c r="BM69" s="248">
        <f>IF(AND(Z69&gt;7,OR(X69&gt;6,AA69&gt;6)),1,0)</f>
        <v>0</v>
      </c>
      <c r="BN69" s="248">
        <f>IF(AND(Z69&gt;6,OR(X69&gt;6,AA69&gt;6)),1,0)</f>
        <v>0</v>
      </c>
      <c r="BO69" s="248">
        <f>IF(AND(OR(X69&gt;6,Z69&gt;6),OR(X69&gt;6,AA69&gt;6)),1,0)</f>
        <v>0</v>
      </c>
      <c r="BP69" s="248">
        <f>IF(AND(X69&gt;4,OR(X69&gt;6,Z69&gt;6,AA69&gt;6)),1,0)</f>
        <v>0</v>
      </c>
      <c r="BQ69" s="248">
        <f>IF(AND(X69&gt;4,OR(X69&gt;6,Y69&gt;6,Z69&gt;6,AA69&gt;6)),1,0)</f>
        <v>0</v>
      </c>
      <c r="BR69" s="243">
        <f>IF(AND(X69&gt;4,MAX(X69:AB69)&gt;6),1,0)</f>
        <v>0</v>
      </c>
      <c r="BS69" s="243">
        <f>IF(AVERAGE(AO69:AP69)&gt;9,1,0)+IF(AVERAGE(AO69:AP69)&gt;7,1,0)+IF(AO69&gt;7,1,0)+IF(AP69&gt;7,1,0)+IF(AQ69&gt;8,1,0)+IF(AQ69&gt;6,1,0)</f>
        <v>0</v>
      </c>
      <c r="BT69" s="249">
        <f>IF(OR(MAX(AG69,AH69,AL69,AN69)&gt;6,MAX(AI69,AJ69,AK69,AM69)&gt;7),2,IF(MAX(AG69:AN69)&gt;4,1,0))</f>
        <v>1</v>
      </c>
      <c r="BU69" s="242" t="str">
        <f>IF(AS69=1,"Yes","")</f>
        <v/>
      </c>
      <c r="BV69" s="241" t="str">
        <f>IF($B69="ML","There",IF(AND($X69&gt;=6,AVERAGE($Z69:$AA69)&gt;=6),"Likely",IF(OR($X69&gt;6,AND($X69=6,AVERAGE($Z69:$AA69)&gt;=3),AND($X69&gt;=5,AVERAGE($Z69:$AA69)&gt;=5),AVERAGE($X69,$Z69:$AA69)&gt;5),"Possible","Unlikely")))</f>
        <v>Possible</v>
      </c>
      <c r="BW69" s="242" t="str">
        <f>IF(OR(AND(S69&gt;=6,U69+V69&gt;=12),S69&gt;7),"Start",IF(AND(S69&gt;=5,U69+V69&gt;=8),"Bench","aack!"))</f>
        <v>aack!</v>
      </c>
      <c r="BX69" s="242" t="str">
        <f>IF(OR(AND(X69&gt;=6,Z69+AA69&gt;=12),X69&gt;7),"Start",IF(AND(X69&gt;=5,Z69+AA69&gt;=8),"Bench","aack!"))</f>
        <v>aack!</v>
      </c>
      <c r="BY69" s="242" t="str">
        <f>IF(S69&gt;5,"ML",IF(S69=5,"AAA",IF(S69=4,"AA",IF(S69=3,"A","SS-A"))))</f>
        <v>SS-A</v>
      </c>
      <c r="BZ69" s="242">
        <f>S69-X69</f>
        <v>-1</v>
      </c>
      <c r="CA69" s="242">
        <f>T69-Y69</f>
        <v>-1</v>
      </c>
      <c r="CB69" s="242">
        <f>U69-Z69</f>
        <v>-2</v>
      </c>
      <c r="CC69" s="242">
        <f>V69-AA69</f>
        <v>-1</v>
      </c>
      <c r="CD69" s="242">
        <f>W69-AB69</f>
        <v>-1</v>
      </c>
      <c r="CE69" s="242">
        <f>SUM(BZ69:CD69)</f>
        <v>-6</v>
      </c>
      <c r="CF69" s="242">
        <f>X69+Z69+AA69</f>
        <v>17</v>
      </c>
      <c r="CG69" s="242">
        <f>X69+Z69</f>
        <v>8</v>
      </c>
      <c r="CH69" s="242">
        <f>X69+AA69</f>
        <v>12</v>
      </c>
      <c r="CI69" s="242" t="str">
        <f>IF(L69&gt;24,"Now - Age",IF(S69&gt;6,"Now",IF(X69&lt;6,"With Dev",MIN(X69-S69,7-S69))))</f>
        <v>With Dev</v>
      </c>
      <c r="CJ69" s="257" t="str">
        <f>IF(AG69&lt;&gt;"-","X","")</f>
        <v>X</v>
      </c>
      <c r="CK69" s="257" t="str">
        <f>IF(AND(AH69&lt;&gt;"-",AH69&gt;5),"X","")</f>
        <v/>
      </c>
      <c r="CL69" s="257" t="str">
        <f>IF(AND(AI69&lt;&gt;"-",AI69&gt;5),"X","")</f>
        <v/>
      </c>
      <c r="CM69" s="257" t="str">
        <f>IF(AND(AJ69&lt;&gt;"-",AJ69&gt;4,AC69&gt;6),"X","")</f>
        <v/>
      </c>
      <c r="CN69" s="257" t="str">
        <f>IF(AND(AK69&lt;&gt;"-",AK69&gt;5,AC69&gt;5),"X","")</f>
        <v/>
      </c>
      <c r="CO69" s="257" t="str">
        <f>IF(AND(AL69&lt;&gt;"-",AL69&gt;3),"X","")</f>
        <v/>
      </c>
      <c r="CP69" s="257" t="str">
        <f>IF(AND(AM69&lt;&gt;"-",AM69&gt;6),"X","")</f>
        <v/>
      </c>
      <c r="CQ69" s="257" t="str">
        <f>IF(AND(AN69&lt;&gt;"-",AN69&gt;5,AD69&gt;6),"X","")</f>
        <v/>
      </c>
      <c r="CR69" s="257" t="str">
        <f>IF(COUNTBLANK(CJ69:CQ69)=8,"X","")</f>
        <v/>
      </c>
    </row>
    <row r="70" spans="1:96" s="306" customFormat="1" x14ac:dyDescent="0.25">
      <c r="A70" s="240" t="str">
        <f>H70&amp;" "&amp;I70</f>
        <v>Cory Taylor</v>
      </c>
      <c r="B70" s="240" t="str">
        <f>IF(ISERROR(VLOOKUP(A70,AMA!$C$3:$C$24,1,FALSE)),IF(ISERROR(VLOOKUP(A70,'END-AAA'!$C$6:$C$33,1,FALSE)),IF(ISERROR(VLOOKUP(A70,'DB-AA'!$C$6:$C$33,1,FALSE)),IF(ISERROR(VLOOKUP(A70,'UTR-A'!$C$6:$C$33,1,FALSE)),IF(ISERROR(VLOOKUP(A70,'FAI-S A'!$C$6:$C$33,1,FALSE)),"","S A"),"A"),"AA"),"AAA"),"ML")</f>
        <v/>
      </c>
      <c r="C70" s="241"/>
      <c r="D70" s="242" t="str">
        <f>IF(BL70=1,3,IF(BM70=1,4,IF(BJ70=1,1,IF(BN70=1,5,IF(BK70=1,2,IF(BO70=1,6,IF(BP70=1,7,IF(BQ70=1,8,IF(BR70=1,9,"-")))))))))</f>
        <v>-</v>
      </c>
      <c r="E70" s="242" t="str">
        <f>IF(BC70=1,3,IF(BD70=1,4,IF(BA70=1,1,IF(BE70=1,5,IF(BB70=1,2,IF(BF70=1,6,IF(BG70=1,7,IF(BH70=1,8,IF(BI70=1,9,"-")))))))))</f>
        <v>-</v>
      </c>
      <c r="F70" s="242" t="str">
        <f>IF(OR(OR(Q70="Very High",Q70="High"),AND(OR(Q70="Very High",Q70="High",Q70="Normal"),OR(R70="Very High",R70="High"))),"K","T")</f>
        <v>T</v>
      </c>
      <c r="G70" s="242" t="s">
        <v>77</v>
      </c>
      <c r="H70" s="242" t="s">
        <v>862</v>
      </c>
      <c r="I70" s="242" t="s">
        <v>863</v>
      </c>
      <c r="J70" s="242" t="s">
        <v>802</v>
      </c>
      <c r="K70" s="242" t="s">
        <v>277</v>
      </c>
      <c r="L70" s="242">
        <v>21</v>
      </c>
      <c r="M70" s="242" t="s">
        <v>83</v>
      </c>
      <c r="N70" s="242" t="s">
        <v>83</v>
      </c>
      <c r="O70" s="242" t="s">
        <v>808</v>
      </c>
      <c r="P70" s="243" t="s">
        <v>764</v>
      </c>
      <c r="Q70" s="242" t="s">
        <v>201</v>
      </c>
      <c r="R70" s="243" t="s">
        <v>200</v>
      </c>
      <c r="S70" s="242">
        <v>3</v>
      </c>
      <c r="T70" s="242">
        <v>4</v>
      </c>
      <c r="U70" s="242">
        <v>5</v>
      </c>
      <c r="V70" s="242">
        <v>3</v>
      </c>
      <c r="W70" s="243">
        <v>2</v>
      </c>
      <c r="X70" s="242">
        <v>4</v>
      </c>
      <c r="Y70" s="242">
        <v>5</v>
      </c>
      <c r="Z70" s="242">
        <v>6</v>
      </c>
      <c r="AA70" s="242">
        <v>6</v>
      </c>
      <c r="AB70" s="243">
        <v>4</v>
      </c>
      <c r="AC70" s="242">
        <v>7</v>
      </c>
      <c r="AD70" s="242">
        <v>10</v>
      </c>
      <c r="AE70" s="242">
        <v>1</v>
      </c>
      <c r="AF70" s="242" t="s">
        <v>32</v>
      </c>
      <c r="AG70" s="242" t="s">
        <v>32</v>
      </c>
      <c r="AH70" s="242">
        <v>1</v>
      </c>
      <c r="AI70" s="242" t="s">
        <v>32</v>
      </c>
      <c r="AJ70" s="242" t="s">
        <v>32</v>
      </c>
      <c r="AK70" s="242" t="s">
        <v>32</v>
      </c>
      <c r="AL70" s="242">
        <v>7</v>
      </c>
      <c r="AM70" s="242">
        <v>2</v>
      </c>
      <c r="AN70" s="243">
        <v>4</v>
      </c>
      <c r="AO70" s="242">
        <v>7</v>
      </c>
      <c r="AP70" s="242">
        <v>9</v>
      </c>
      <c r="AQ70" s="243">
        <v>10</v>
      </c>
      <c r="AR70" s="244" t="s">
        <v>32</v>
      </c>
      <c r="AS70" s="243">
        <v>0</v>
      </c>
      <c r="AT70" s="248" t="s">
        <v>779</v>
      </c>
      <c r="AU70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2.1666666666666665</v>
      </c>
      <c r="AV70" s="246" t="str">
        <f>IF(AU70&gt;9,"SuperStar",IF(AU70&gt;8,"Star",IF(AU70&gt;6.5,"GoodReg",IF(AU70&gt;5,"Reg",IF(AU70&gt;4,"Bench","Minors")))))</f>
        <v>Minors</v>
      </c>
      <c r="AW70" s="245">
        <f>AVERAGE(X70,Z70,AA70)+IF(OR(X70&gt;7,AND(X70&gt;5,AA70&gt;5)),0.5,0)+IF(Z70&gt;7,0.25,0)+IF(X70&lt;6,-0.5*(6-X70),0)</f>
        <v>4.333333333333333</v>
      </c>
      <c r="AX70" s="245" t="str">
        <f>IF(AW70&gt;9,"SuperStar",IF(AW70&gt;8,"Star",IF(AW70&gt;6.5,"GoodReg",IF(AW70&gt;5,"Reg",IF(AW70&gt;4,"Bench","Minors")))))</f>
        <v>Bench</v>
      </c>
      <c r="AY70" s="246">
        <f>MIN(AU70+(MAX(0,25-L70))^1.5,AW70)</f>
        <v>4.333333333333333</v>
      </c>
      <c r="AZ70" s="246" t="str">
        <f>IF(AY70&gt;9,"SuperStar",IF(AY70&gt;8,"Star",IF(AY70&gt;6.5,"GoodReg",IF(AY70&gt;5,"Reg",IF(AY70&gt;4,"Bench","Minors")))))</f>
        <v>Bench</v>
      </c>
      <c r="BA70" s="247">
        <f>IF(AND(OR(S70+V70&gt;12,AND(S70&gt;6,V70&gt;6)),AO70&gt;6,OR(AP70&gt;=AO70,AP70&gt;6)),1,0)</f>
        <v>0</v>
      </c>
      <c r="BB70" s="248">
        <f>IF(OR(AND(S70&gt;6,W70&gt;6),S70+V70&gt;12),1,0)</f>
        <v>0</v>
      </c>
      <c r="BC70" s="248">
        <f>IF(AND(S70&gt;6,U70&gt;6,V70&gt;6),1,0)</f>
        <v>0</v>
      </c>
      <c r="BD70" s="248">
        <f>IF(AND(U70&gt;7,OR(S70&gt;6,V70&gt;6)),1,0)</f>
        <v>0</v>
      </c>
      <c r="BE70" s="248">
        <f>IF(AND(U70&gt;6,OR(S70&gt;6,V70&gt;6)),1,0)</f>
        <v>0</v>
      </c>
      <c r="BF70" s="248">
        <f>IF(AND(OR(S70&gt;6,U70&gt;6),OR(S70&gt;6,V70&gt;6)),1,0)</f>
        <v>0</v>
      </c>
      <c r="BG70" s="248">
        <f>IF(AND(S70&gt;4,OR(S70&gt;6,U70&gt;6,V70&gt;6)),1,0)</f>
        <v>0</v>
      </c>
      <c r="BH70" s="248">
        <f>IF(AND(S70&gt;4,OR(S70&gt;6,T70&gt;6,U70&gt;6,V70&gt;6)),1,0)</f>
        <v>0</v>
      </c>
      <c r="BI70" s="243">
        <f>IF(AND(S70&gt;4,MAX(S70:W70)&gt;6),1,0)</f>
        <v>0</v>
      </c>
      <c r="BJ70" s="247">
        <f>IF(AND(OR(X70+AA70&gt;12,AND(X70&gt;6,AA70&gt;6)),AO70&gt;6,OR(AP70&gt;=AO70,AP70&gt;6)),1,0)</f>
        <v>0</v>
      </c>
      <c r="BK70" s="248">
        <f>IF(OR(AND(X70&gt;6,AB70&gt;6),X70+AA70&gt;12),1,0)</f>
        <v>0</v>
      </c>
      <c r="BL70" s="248">
        <f>IF(AND(X70&gt;6,Z70&gt;6,AA70&gt;6),1,0)</f>
        <v>0</v>
      </c>
      <c r="BM70" s="248">
        <f>IF(AND(Z70&gt;7,OR(X70&gt;6,AA70&gt;6)),1,0)</f>
        <v>0</v>
      </c>
      <c r="BN70" s="248">
        <f>IF(AND(Z70&gt;6,OR(X70&gt;6,AA70&gt;6)),1,0)</f>
        <v>0</v>
      </c>
      <c r="BO70" s="248">
        <f>IF(AND(OR(X70&gt;6,Z70&gt;6),OR(X70&gt;6,AA70&gt;6)),1,0)</f>
        <v>0</v>
      </c>
      <c r="BP70" s="248">
        <f>IF(AND(X70&gt;4,OR(X70&gt;6,Z70&gt;6,AA70&gt;6)),1,0)</f>
        <v>0</v>
      </c>
      <c r="BQ70" s="248">
        <f>IF(AND(X70&gt;4,OR(X70&gt;6,Y70&gt;6,Z70&gt;6,AA70&gt;6)),1,0)</f>
        <v>0</v>
      </c>
      <c r="BR70" s="243">
        <f>IF(AND(X70&gt;4,MAX(X70:AB70)&gt;6),1,0)</f>
        <v>0</v>
      </c>
      <c r="BS70" s="243">
        <f>IF(AVERAGE(AO70:AP70)&gt;9,1,0)+IF(AVERAGE(AO70:AP70)&gt;7,1,0)+IF(AO70&gt;7,1,0)+IF(AP70&gt;7,1,0)+IF(AQ70&gt;8,1,0)+IF(AQ70&gt;6,1,0)</f>
        <v>4</v>
      </c>
      <c r="BT70" s="249">
        <f>IF(OR(MAX(AG70,AH70,AL70,AN70)&gt;6,MAX(AI70,AJ70,AK70,AM70)&gt;7),2,IF(MAX(AG70:AN70)&gt;4,1,0))</f>
        <v>2</v>
      </c>
      <c r="BU70" s="242" t="str">
        <f>IF(AS70=1,"Yes","")</f>
        <v/>
      </c>
      <c r="BV70" s="241" t="str">
        <f>IF($B70="ML","There",IF(AND($X70&gt;=6,AVERAGE($Z70:$AA70)&gt;=6),"Likely",IF(OR($X70&gt;6,AND($X70=6,AVERAGE($Z70:$AA70)&gt;=3),AND($X70&gt;=5,AVERAGE($Z70:$AA70)&gt;=5),AVERAGE($X70,$Z70:$AA70)&gt;5),"Possible","Unlikely")))</f>
        <v>Possible</v>
      </c>
      <c r="BW70" s="242" t="str">
        <f>IF(OR(AND(S70&gt;=6,U70+V70&gt;=12),S70&gt;7),"Start",IF(AND(S70&gt;=5,U70+V70&gt;=8),"Bench","aack!"))</f>
        <v>aack!</v>
      </c>
      <c r="BX70" s="242" t="str">
        <f>IF(OR(AND(X70&gt;=6,Z70+AA70&gt;=12),X70&gt;7),"Start",IF(AND(X70&gt;=5,Z70+AA70&gt;=8),"Bench","aack!"))</f>
        <v>aack!</v>
      </c>
      <c r="BY70" s="242" t="str">
        <f>IF(S70&gt;5,"ML",IF(S70=5,"AAA",IF(S70=4,"AA",IF(S70=3,"A","SS-A"))))</f>
        <v>A</v>
      </c>
      <c r="BZ70" s="242">
        <f>S70-X70</f>
        <v>-1</v>
      </c>
      <c r="CA70" s="242">
        <f>T70-Y70</f>
        <v>-1</v>
      </c>
      <c r="CB70" s="242">
        <f>U70-Z70</f>
        <v>-1</v>
      </c>
      <c r="CC70" s="242">
        <f>V70-AA70</f>
        <v>-3</v>
      </c>
      <c r="CD70" s="242">
        <f>W70-AB70</f>
        <v>-2</v>
      </c>
      <c r="CE70" s="242">
        <f>SUM(BZ70:CD70)</f>
        <v>-8</v>
      </c>
      <c r="CF70" s="242">
        <f>X70+Z70+AA70</f>
        <v>16</v>
      </c>
      <c r="CG70" s="242">
        <f>X70+Z70</f>
        <v>10</v>
      </c>
      <c r="CH70" s="242">
        <f>X70+AA70</f>
        <v>10</v>
      </c>
      <c r="CI70" s="242" t="str">
        <f>IF(L70&gt;24,"Now - Age",IF(S70&gt;6,"Now",IF(X70&lt;6,"With Dev",MIN(X70-S70,7-S70))))</f>
        <v>With Dev</v>
      </c>
      <c r="CJ70" s="257" t="str">
        <f>IF(AG70&lt;&gt;"-","X","")</f>
        <v/>
      </c>
      <c r="CK70" s="257" t="str">
        <f>IF(AND(AH70&lt;&gt;"-",AH70&gt;5),"X","")</f>
        <v/>
      </c>
      <c r="CL70" s="257" t="str">
        <f>IF(AND(AI70&lt;&gt;"-",AI70&gt;5),"X","")</f>
        <v/>
      </c>
      <c r="CM70" s="257" t="str">
        <f>IF(AND(AJ70&lt;&gt;"-",AJ70&gt;4,AC70&gt;6),"X","")</f>
        <v/>
      </c>
      <c r="CN70" s="257" t="str">
        <f>IF(AND(AK70&lt;&gt;"-",AK70&gt;5,AC70&gt;5),"X","")</f>
        <v/>
      </c>
      <c r="CO70" s="257" t="str">
        <f>IF(AND(AL70&lt;&gt;"-",AL70&gt;3),"X","")</f>
        <v>X</v>
      </c>
      <c r="CP70" s="257" t="str">
        <f>IF(AND(AM70&lt;&gt;"-",AM70&gt;6),"X","")</f>
        <v/>
      </c>
      <c r="CQ70" s="257" t="str">
        <f>IF(AND(AN70&lt;&gt;"-",AN70&gt;5,AD70&gt;6),"X","")</f>
        <v/>
      </c>
      <c r="CR70" s="257" t="str">
        <f>IF(COUNTBLANK(CJ70:CQ70)=8,"X","")</f>
        <v/>
      </c>
    </row>
    <row r="71" spans="1:96" s="306" customFormat="1" x14ac:dyDescent="0.25">
      <c r="A71" s="240" t="str">
        <f>H71&amp;" "&amp;I71</f>
        <v>Reginald Findlay</v>
      </c>
      <c r="B71" s="240" t="str">
        <f>IF(ISERROR(VLOOKUP(A71,AMA!$C$3:$C$24,1,FALSE)),IF(ISERROR(VLOOKUP(A71,'END-AAA'!$C$6:$C$33,1,FALSE)),IF(ISERROR(VLOOKUP(A71,'DB-AA'!$C$6:$C$33,1,FALSE)),IF(ISERROR(VLOOKUP(A71,'UTR-A'!$C$6:$C$33,1,FALSE)),IF(ISERROR(VLOOKUP(A71,'FAI-S A'!$C$6:$C$33,1,FALSE)),"","S A"),"A"),"AA"),"AAA"),"ML")</f>
        <v/>
      </c>
      <c r="C71" s="241"/>
      <c r="D71" s="242" t="str">
        <f>IF(BL71=1,3,IF(BM71=1,4,IF(BJ71=1,1,IF(BN71=1,5,IF(BK71=1,2,IF(BO71=1,6,IF(BP71=1,7,IF(BQ71=1,8,IF(BR71=1,9,"-")))))))))</f>
        <v>-</v>
      </c>
      <c r="E71" s="242" t="str">
        <f>IF(BC71=1,3,IF(BD71=1,4,IF(BA71=1,1,IF(BE71=1,5,IF(BB71=1,2,IF(BF71=1,6,IF(BG71=1,7,IF(BH71=1,8,IF(BI71=1,9,"-")))))))))</f>
        <v>-</v>
      </c>
      <c r="F71" s="242" t="str">
        <f>IF(OR(OR(Q71="Very High",Q71="High"),AND(OR(Q71="Very High",Q71="High",Q71="Normal"),OR(R71="Very High",R71="High"))),"K","T")</f>
        <v>T</v>
      </c>
      <c r="G71" s="242" t="s">
        <v>79</v>
      </c>
      <c r="H71" s="242" t="s">
        <v>844</v>
      </c>
      <c r="I71" s="242" t="s">
        <v>845</v>
      </c>
      <c r="J71" s="242" t="s">
        <v>769</v>
      </c>
      <c r="K71" s="242" t="s">
        <v>186</v>
      </c>
      <c r="L71" s="242">
        <v>25</v>
      </c>
      <c r="M71" s="242" t="s">
        <v>83</v>
      </c>
      <c r="N71" s="242" t="s">
        <v>82</v>
      </c>
      <c r="O71" s="242" t="s">
        <v>808</v>
      </c>
      <c r="P71" s="243" t="s">
        <v>773</v>
      </c>
      <c r="Q71" s="242" t="s">
        <v>201</v>
      </c>
      <c r="R71" s="243" t="s">
        <v>200</v>
      </c>
      <c r="S71" s="242">
        <v>3</v>
      </c>
      <c r="T71" s="242">
        <v>4</v>
      </c>
      <c r="U71" s="242">
        <v>4</v>
      </c>
      <c r="V71" s="242">
        <v>4</v>
      </c>
      <c r="W71" s="243">
        <v>3</v>
      </c>
      <c r="X71" s="242">
        <v>4</v>
      </c>
      <c r="Y71" s="242">
        <v>4</v>
      </c>
      <c r="Z71" s="242">
        <v>6</v>
      </c>
      <c r="AA71" s="242">
        <v>5</v>
      </c>
      <c r="AB71" s="243">
        <v>4</v>
      </c>
      <c r="AC71" s="242">
        <v>8</v>
      </c>
      <c r="AD71" s="242">
        <v>10</v>
      </c>
      <c r="AE71" s="242">
        <v>1</v>
      </c>
      <c r="AF71" s="242" t="s">
        <v>32</v>
      </c>
      <c r="AG71" s="242" t="s">
        <v>32</v>
      </c>
      <c r="AH71" s="242" t="s">
        <v>32</v>
      </c>
      <c r="AI71" s="242" t="s">
        <v>32</v>
      </c>
      <c r="AJ71" s="242" t="s">
        <v>32</v>
      </c>
      <c r="AK71" s="242" t="s">
        <v>32</v>
      </c>
      <c r="AL71" s="242">
        <v>1</v>
      </c>
      <c r="AM71" s="242">
        <v>1</v>
      </c>
      <c r="AN71" s="243">
        <v>7</v>
      </c>
      <c r="AO71" s="242">
        <v>8</v>
      </c>
      <c r="AP71" s="242">
        <v>10</v>
      </c>
      <c r="AQ71" s="243">
        <v>6</v>
      </c>
      <c r="AR71" s="244" t="s">
        <v>32</v>
      </c>
      <c r="AS71" s="243">
        <v>0</v>
      </c>
      <c r="AT71" s="248" t="s">
        <v>199</v>
      </c>
      <c r="AU7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2.1666666666666665</v>
      </c>
      <c r="AV71" s="246" t="str">
        <f>IF(AU71&gt;9,"SuperStar",IF(AU71&gt;8,"Star",IF(AU71&gt;6.5,"GoodReg",IF(AU71&gt;5,"Reg",IF(AU71&gt;4,"Bench","Minors")))))</f>
        <v>Minors</v>
      </c>
      <c r="AW71" s="245">
        <f>AVERAGE(X71,Z71,AA71)+IF(OR(X71&gt;7,AND(X71&gt;5,AA71&gt;5)),0.5,0)+IF(Z71&gt;7,0.25,0)+IF(X71&lt;6,-0.5*(6-X71),0)</f>
        <v>4</v>
      </c>
      <c r="AX71" s="245" t="str">
        <f>IF(AW71&gt;9,"SuperStar",IF(AW71&gt;8,"Star",IF(AW71&gt;6.5,"GoodReg",IF(AW71&gt;5,"Reg",IF(AW71&gt;4,"Bench","Minors")))))</f>
        <v>Minors</v>
      </c>
      <c r="AY71" s="246">
        <f>MIN(AU71+(MAX(0,25-L71))^1.5,AW71)</f>
        <v>2.1666666666666665</v>
      </c>
      <c r="AZ71" s="246" t="str">
        <f>IF(AY71&gt;9,"SuperStar",IF(AY71&gt;8,"Star",IF(AY71&gt;6.5,"GoodReg",IF(AY71&gt;5,"Reg",IF(AY71&gt;4,"Bench","Minors")))))</f>
        <v>Minors</v>
      </c>
      <c r="BA71" s="247">
        <f>IF(AND(OR(S71+V71&gt;12,AND(S71&gt;6,V71&gt;6)),AO71&gt;6,OR(AP71&gt;=AO71,AP71&gt;6)),1,0)</f>
        <v>0</v>
      </c>
      <c r="BB71" s="248">
        <f>IF(OR(AND(S71&gt;6,W71&gt;6),S71+V71&gt;12),1,0)</f>
        <v>0</v>
      </c>
      <c r="BC71" s="248">
        <f>IF(AND(S71&gt;6,U71&gt;6,V71&gt;6),1,0)</f>
        <v>0</v>
      </c>
      <c r="BD71" s="248">
        <f>IF(AND(U71&gt;7,OR(S71&gt;6,V71&gt;6)),1,0)</f>
        <v>0</v>
      </c>
      <c r="BE71" s="248">
        <f>IF(AND(U71&gt;6,OR(S71&gt;6,V71&gt;6)),1,0)</f>
        <v>0</v>
      </c>
      <c r="BF71" s="248">
        <f>IF(AND(OR(S71&gt;6,U71&gt;6),OR(S71&gt;6,V71&gt;6)),1,0)</f>
        <v>0</v>
      </c>
      <c r="BG71" s="248">
        <f>IF(AND(S71&gt;4,OR(S71&gt;6,U71&gt;6,V71&gt;6)),1,0)</f>
        <v>0</v>
      </c>
      <c r="BH71" s="248">
        <f>IF(AND(S71&gt;4,OR(S71&gt;6,T71&gt;6,U71&gt;6,V71&gt;6)),1,0)</f>
        <v>0</v>
      </c>
      <c r="BI71" s="243">
        <f>IF(AND(S71&gt;4,MAX(S71:W71)&gt;6),1,0)</f>
        <v>0</v>
      </c>
      <c r="BJ71" s="247">
        <f>IF(AND(OR(X71+AA71&gt;12,AND(X71&gt;6,AA71&gt;6)),AO71&gt;6,OR(AP71&gt;=AO71,AP71&gt;6)),1,0)</f>
        <v>0</v>
      </c>
      <c r="BK71" s="248">
        <f>IF(OR(AND(X71&gt;6,AB71&gt;6),X71+AA71&gt;12),1,0)</f>
        <v>0</v>
      </c>
      <c r="BL71" s="248">
        <f>IF(AND(X71&gt;6,Z71&gt;6,AA71&gt;6),1,0)</f>
        <v>0</v>
      </c>
      <c r="BM71" s="248">
        <f>IF(AND(Z71&gt;7,OR(X71&gt;6,AA71&gt;6)),1,0)</f>
        <v>0</v>
      </c>
      <c r="BN71" s="248">
        <f>IF(AND(Z71&gt;6,OR(X71&gt;6,AA71&gt;6)),1,0)</f>
        <v>0</v>
      </c>
      <c r="BO71" s="248">
        <f>IF(AND(OR(X71&gt;6,Z71&gt;6),OR(X71&gt;6,AA71&gt;6)),1,0)</f>
        <v>0</v>
      </c>
      <c r="BP71" s="248">
        <f>IF(AND(X71&gt;4,OR(X71&gt;6,Z71&gt;6,AA71&gt;6)),1,0)</f>
        <v>0</v>
      </c>
      <c r="BQ71" s="248">
        <f>IF(AND(X71&gt;4,OR(X71&gt;6,Y71&gt;6,Z71&gt;6,AA71&gt;6)),1,0)</f>
        <v>0</v>
      </c>
      <c r="BR71" s="243">
        <f>IF(AND(X71&gt;4,MAX(X71:AB71)&gt;6),1,0)</f>
        <v>0</v>
      </c>
      <c r="BS71" s="243">
        <f>IF(AVERAGE(AO71:AP71)&gt;9,1,0)+IF(AVERAGE(AO71:AP71)&gt;7,1,0)+IF(AO71&gt;7,1,0)+IF(AP71&gt;7,1,0)+IF(AQ71&gt;8,1,0)+IF(AQ71&gt;6,1,0)</f>
        <v>3</v>
      </c>
      <c r="BT71" s="249">
        <f>IF(OR(MAX(AG71,AH71,AL71,AN71)&gt;6,MAX(AI71,AJ71,AK71,AM71)&gt;7),2,IF(MAX(AG71:AN71)&gt;4,1,0))</f>
        <v>2</v>
      </c>
      <c r="BU71" s="242" t="str">
        <f>IF(AS71=1,"Yes","")</f>
        <v/>
      </c>
      <c r="BV71" s="241" t="str">
        <f>IF($B71="ML","There",IF(AND($X71&gt;=6,AVERAGE($Z71:$AA71)&gt;=6),"Likely",IF(OR($X71&gt;6,AND($X71=6,AVERAGE($Z71:$AA71)&gt;=3),AND($X71&gt;=5,AVERAGE($Z71:$AA71)&gt;=5),AVERAGE($X71,$Z71:$AA71)&gt;5),"Possible","Unlikely")))</f>
        <v>Unlikely</v>
      </c>
      <c r="BW71" s="242" t="str">
        <f>IF(OR(AND(S71&gt;=6,U71+V71&gt;=12),S71&gt;7),"Start",IF(AND(S71&gt;=5,U71+V71&gt;=8),"Bench","aack!"))</f>
        <v>aack!</v>
      </c>
      <c r="BX71" s="242" t="str">
        <f>IF(OR(AND(X71&gt;=6,Z71+AA71&gt;=12),X71&gt;7),"Start",IF(AND(X71&gt;=5,Z71+AA71&gt;=8),"Bench","aack!"))</f>
        <v>aack!</v>
      </c>
      <c r="BY71" s="242" t="str">
        <f>IF(S71&gt;5,"ML",IF(S71=5,"AAA",IF(S71=4,"AA",IF(S71=3,"A","SS-A"))))</f>
        <v>A</v>
      </c>
      <c r="BZ71" s="242">
        <f>S71-X71</f>
        <v>-1</v>
      </c>
      <c r="CA71" s="242">
        <f>T71-Y71</f>
        <v>0</v>
      </c>
      <c r="CB71" s="242">
        <f>U71-Z71</f>
        <v>-2</v>
      </c>
      <c r="CC71" s="242">
        <f>V71-AA71</f>
        <v>-1</v>
      </c>
      <c r="CD71" s="242">
        <f>W71-AB71</f>
        <v>-1</v>
      </c>
      <c r="CE71" s="242">
        <f>SUM(BZ71:CD71)</f>
        <v>-5</v>
      </c>
      <c r="CF71" s="242">
        <f>X71+Z71+AA71</f>
        <v>15</v>
      </c>
      <c r="CG71" s="242">
        <f>X71+Z71</f>
        <v>10</v>
      </c>
      <c r="CH71" s="242">
        <f>X71+AA71</f>
        <v>9</v>
      </c>
      <c r="CI71" s="242" t="str">
        <f>IF(L71&gt;24,"Now - Age",IF(S71&gt;6,"Now",IF(X71&lt;6,"With Dev",MIN(X71-S71,7-S71))))</f>
        <v>Now - Age</v>
      </c>
      <c r="CJ71" s="257" t="str">
        <f>IF(AG71&lt;&gt;"-","X","")</f>
        <v/>
      </c>
      <c r="CK71" s="257" t="str">
        <f>IF(AND(AH71&lt;&gt;"-",AH71&gt;5),"X","")</f>
        <v/>
      </c>
      <c r="CL71" s="257" t="str">
        <f>IF(AND(AI71&lt;&gt;"-",AI71&gt;5),"X","")</f>
        <v/>
      </c>
      <c r="CM71" s="257" t="str">
        <f>IF(AND(AJ71&lt;&gt;"-",AJ71&gt;4,AC71&gt;6),"X","")</f>
        <v/>
      </c>
      <c r="CN71" s="257" t="str">
        <f>IF(AND(AK71&lt;&gt;"-",AK71&gt;5,AC71&gt;5),"X","")</f>
        <v/>
      </c>
      <c r="CO71" s="257" t="str">
        <f>IF(AND(AL71&lt;&gt;"-",AL71&gt;3),"X","")</f>
        <v/>
      </c>
      <c r="CP71" s="257" t="str">
        <f>IF(AND(AM71&lt;&gt;"-",AM71&gt;6),"X","")</f>
        <v/>
      </c>
      <c r="CQ71" s="257" t="str">
        <f>IF(AND(AN71&lt;&gt;"-",AN71&gt;5,AD71&gt;6),"X","")</f>
        <v>X</v>
      </c>
      <c r="CR71" s="257" t="str">
        <f>IF(COUNTBLANK(CJ71:CQ71)=8,"X","")</f>
        <v/>
      </c>
    </row>
    <row r="72" spans="1:96" s="306" customFormat="1" x14ac:dyDescent="0.25">
      <c r="A72" s="240" t="str">
        <f>H72&amp;" "&amp;I72</f>
        <v>António Ibarra</v>
      </c>
      <c r="B72" s="240" t="str">
        <f>IF(ISERROR(VLOOKUP(A72,AMA!$C$3:$C$24,1,FALSE)),IF(ISERROR(VLOOKUP(A72,'END-AAA'!$C$6:$C$33,1,FALSE)),IF(ISERROR(VLOOKUP(A72,'DB-AA'!$C$6:$C$33,1,FALSE)),IF(ISERROR(VLOOKUP(A72,'UTR-A'!$C$6:$C$33,1,FALSE)),IF(ISERROR(VLOOKUP(A72,'FAI-S A'!$C$6:$C$33,1,FALSE)),"","S A"),"A"),"AA"),"AAA"),"ML")</f>
        <v/>
      </c>
      <c r="C72" s="241"/>
      <c r="D72" s="242" t="str">
        <f>IF(BL72=1,3,IF(BM72=1,4,IF(BJ72=1,1,IF(BN72=1,5,IF(BK72=1,2,IF(BO72=1,6,IF(BP72=1,7,IF(BQ72=1,8,IF(BR72=1,9,"-")))))))))</f>
        <v>-</v>
      </c>
      <c r="E72" s="242" t="str">
        <f>IF(BC72=1,3,IF(BD72=1,4,IF(BA72=1,1,IF(BE72=1,5,IF(BB72=1,2,IF(BF72=1,6,IF(BG72=1,7,IF(BH72=1,8,IF(BI72=1,9,"-")))))))))</f>
        <v>-</v>
      </c>
      <c r="F72" s="242" t="str">
        <f>IF(OR(OR(Q72="Very High",Q72="High"),AND(OR(Q72="Very High",Q72="High",Q72="Normal"),OR(R72="Very High",R72="High"))),"K","T")</f>
        <v>K</v>
      </c>
      <c r="G72" s="242" t="s">
        <v>77</v>
      </c>
      <c r="H72" s="242" t="s">
        <v>717</v>
      </c>
      <c r="I72" s="242" t="s">
        <v>848</v>
      </c>
      <c r="J72" s="242" t="s">
        <v>802</v>
      </c>
      <c r="K72" s="242" t="s">
        <v>277</v>
      </c>
      <c r="L72" s="242">
        <v>23</v>
      </c>
      <c r="M72" s="242" t="s">
        <v>83</v>
      </c>
      <c r="N72" s="242" t="s">
        <v>83</v>
      </c>
      <c r="O72" s="242" t="s">
        <v>808</v>
      </c>
      <c r="P72" s="243" t="s">
        <v>808</v>
      </c>
      <c r="Q72" s="242" t="s">
        <v>200</v>
      </c>
      <c r="R72" s="243" t="s">
        <v>199</v>
      </c>
      <c r="S72" s="242">
        <v>3</v>
      </c>
      <c r="T72" s="242">
        <v>4</v>
      </c>
      <c r="U72" s="242">
        <v>3</v>
      </c>
      <c r="V72" s="242">
        <v>5</v>
      </c>
      <c r="W72" s="243">
        <v>6</v>
      </c>
      <c r="X72" s="242">
        <v>4</v>
      </c>
      <c r="Y72" s="242">
        <v>4</v>
      </c>
      <c r="Z72" s="242">
        <v>3</v>
      </c>
      <c r="AA72" s="242">
        <v>6</v>
      </c>
      <c r="AB72" s="243">
        <v>6</v>
      </c>
      <c r="AC72" s="242">
        <v>5</v>
      </c>
      <c r="AD72" s="242">
        <v>4</v>
      </c>
      <c r="AE72" s="242">
        <v>1</v>
      </c>
      <c r="AF72" s="242" t="s">
        <v>32</v>
      </c>
      <c r="AG72" s="242" t="s">
        <v>32</v>
      </c>
      <c r="AH72" s="242" t="s">
        <v>32</v>
      </c>
      <c r="AI72" s="242" t="s">
        <v>32</v>
      </c>
      <c r="AJ72" s="242">
        <v>2</v>
      </c>
      <c r="AK72" s="242">
        <v>1</v>
      </c>
      <c r="AL72" s="242">
        <v>6</v>
      </c>
      <c r="AM72" s="242" t="s">
        <v>32</v>
      </c>
      <c r="AN72" s="243" t="s">
        <v>32</v>
      </c>
      <c r="AO72" s="242">
        <v>3</v>
      </c>
      <c r="AP72" s="242">
        <v>2</v>
      </c>
      <c r="AQ72" s="243">
        <v>1</v>
      </c>
      <c r="AR72" s="244" t="s">
        <v>32</v>
      </c>
      <c r="AS72" s="243" t="s">
        <v>33</v>
      </c>
      <c r="AT72" s="248" t="s">
        <v>199</v>
      </c>
      <c r="AU7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2.1666666666666665</v>
      </c>
      <c r="AV72" s="246" t="str">
        <f>IF(AU72&gt;9,"SuperStar",IF(AU72&gt;8,"Star",IF(AU72&gt;6.5,"GoodReg",IF(AU72&gt;5,"Reg",IF(AU72&gt;4,"Bench","Minors")))))</f>
        <v>Minors</v>
      </c>
      <c r="AW72" s="245">
        <f>AVERAGE(X72,Z72,AA72)+IF(OR(X72&gt;7,AND(X72&gt;5,AA72&gt;5)),0.5,0)+IF(Z72&gt;7,0.25,0)+IF(X72&lt;6,-0.5*(6-X72),0)</f>
        <v>3.333333333333333</v>
      </c>
      <c r="AX72" s="245" t="str">
        <f>IF(AW72&gt;9,"SuperStar",IF(AW72&gt;8,"Star",IF(AW72&gt;6.5,"GoodReg",IF(AW72&gt;5,"Reg",IF(AW72&gt;4,"Bench","Minors")))))</f>
        <v>Minors</v>
      </c>
      <c r="AY72" s="246">
        <f>MIN(AU72+(MAX(0,25-L72))^1.5,AW72)</f>
        <v>3.333333333333333</v>
      </c>
      <c r="AZ72" s="246" t="str">
        <f>IF(AY72&gt;9,"SuperStar",IF(AY72&gt;8,"Star",IF(AY72&gt;6.5,"GoodReg",IF(AY72&gt;5,"Reg",IF(AY72&gt;4,"Bench","Minors")))))</f>
        <v>Minors</v>
      </c>
      <c r="BA72" s="247">
        <f>IF(AND(OR(S72+V72&gt;12,AND(S72&gt;6,V72&gt;6)),AO72&gt;6,OR(AP72&gt;=AO72,AP72&gt;6)),1,0)</f>
        <v>0</v>
      </c>
      <c r="BB72" s="248">
        <f>IF(OR(AND(S72&gt;6,W72&gt;6),S72+V72&gt;12),1,0)</f>
        <v>0</v>
      </c>
      <c r="BC72" s="248">
        <f>IF(AND(S72&gt;6,U72&gt;6,V72&gt;6),1,0)</f>
        <v>0</v>
      </c>
      <c r="BD72" s="248">
        <f>IF(AND(U72&gt;7,OR(S72&gt;6,V72&gt;6)),1,0)</f>
        <v>0</v>
      </c>
      <c r="BE72" s="248">
        <f>IF(AND(U72&gt;6,OR(S72&gt;6,V72&gt;6)),1,0)</f>
        <v>0</v>
      </c>
      <c r="BF72" s="248">
        <f>IF(AND(OR(S72&gt;6,U72&gt;6),OR(S72&gt;6,V72&gt;6)),1,0)</f>
        <v>0</v>
      </c>
      <c r="BG72" s="248">
        <f>IF(AND(S72&gt;4,OR(S72&gt;6,U72&gt;6,V72&gt;6)),1,0)</f>
        <v>0</v>
      </c>
      <c r="BH72" s="248">
        <f>IF(AND(S72&gt;4,OR(S72&gt;6,T72&gt;6,U72&gt;6,V72&gt;6)),1,0)</f>
        <v>0</v>
      </c>
      <c r="BI72" s="243">
        <f>IF(AND(S72&gt;4,MAX(S72:W72)&gt;6),1,0)</f>
        <v>0</v>
      </c>
      <c r="BJ72" s="247">
        <f>IF(AND(OR(X72+AA72&gt;12,AND(X72&gt;6,AA72&gt;6)),AO72&gt;6,OR(AP72&gt;=AO72,AP72&gt;6)),1,0)</f>
        <v>0</v>
      </c>
      <c r="BK72" s="248">
        <f>IF(OR(AND(X72&gt;6,AB72&gt;6),X72+AA72&gt;12),1,0)</f>
        <v>0</v>
      </c>
      <c r="BL72" s="248">
        <f>IF(AND(X72&gt;6,Z72&gt;6,AA72&gt;6),1,0)</f>
        <v>0</v>
      </c>
      <c r="BM72" s="248">
        <f>IF(AND(Z72&gt;7,OR(X72&gt;6,AA72&gt;6)),1,0)</f>
        <v>0</v>
      </c>
      <c r="BN72" s="248">
        <f>IF(AND(Z72&gt;6,OR(X72&gt;6,AA72&gt;6)),1,0)</f>
        <v>0</v>
      </c>
      <c r="BO72" s="248">
        <f>IF(AND(OR(X72&gt;6,Z72&gt;6),OR(X72&gt;6,AA72&gt;6)),1,0)</f>
        <v>0</v>
      </c>
      <c r="BP72" s="248">
        <f>IF(AND(X72&gt;4,OR(X72&gt;6,Z72&gt;6,AA72&gt;6)),1,0)</f>
        <v>0</v>
      </c>
      <c r="BQ72" s="248">
        <f>IF(AND(X72&gt;4,OR(X72&gt;6,Y72&gt;6,Z72&gt;6,AA72&gt;6)),1,0)</f>
        <v>0</v>
      </c>
      <c r="BR72" s="243">
        <f>IF(AND(X72&gt;4,MAX(X72:AB72)&gt;6),1,0)</f>
        <v>0</v>
      </c>
      <c r="BS72" s="243">
        <f>IF(AVERAGE(AO72:AP72)&gt;9,1,0)+IF(AVERAGE(AO72:AP72)&gt;7,1,0)+IF(AO72&gt;7,1,0)+IF(AP72&gt;7,1,0)+IF(AQ72&gt;8,1,0)+IF(AQ72&gt;6,1,0)</f>
        <v>0</v>
      </c>
      <c r="BT72" s="249">
        <f>IF(OR(MAX(AG72,AH72,AL72,AN72)&gt;6,MAX(AI72,AJ72,AK72,AM72)&gt;7),2,IF(MAX(AG72:AN72)&gt;4,1,0))</f>
        <v>1</v>
      </c>
      <c r="BU72" s="242" t="str">
        <f>IF(AS72=1,"Yes","")</f>
        <v/>
      </c>
      <c r="BV72" s="241" t="str">
        <f>IF($B72="ML","There",IF(AND($X72&gt;=6,AVERAGE($Z72:$AA72)&gt;=6),"Likely",IF(OR($X72&gt;6,AND($X72=6,AVERAGE($Z72:$AA72)&gt;=3),AND($X72&gt;=5,AVERAGE($Z72:$AA72)&gt;=5),AVERAGE($X72,$Z72:$AA72)&gt;5),"Possible","Unlikely")))</f>
        <v>Unlikely</v>
      </c>
      <c r="BW72" s="242" t="str">
        <f>IF(OR(AND(S72&gt;=6,U72+V72&gt;=12),S72&gt;7),"Start",IF(AND(S72&gt;=5,U72+V72&gt;=8),"Bench","aack!"))</f>
        <v>aack!</v>
      </c>
      <c r="BX72" s="242" t="str">
        <f>IF(OR(AND(X72&gt;=6,Z72+AA72&gt;=12),X72&gt;7),"Start",IF(AND(X72&gt;=5,Z72+AA72&gt;=8),"Bench","aack!"))</f>
        <v>aack!</v>
      </c>
      <c r="BY72" s="242" t="str">
        <f>IF(S72&gt;5,"ML",IF(S72=5,"AAA",IF(S72=4,"AA",IF(S72=3,"A","SS-A"))))</f>
        <v>A</v>
      </c>
      <c r="BZ72" s="242">
        <f>S72-X72</f>
        <v>-1</v>
      </c>
      <c r="CA72" s="242">
        <f>T72-Y72</f>
        <v>0</v>
      </c>
      <c r="CB72" s="242">
        <f>U72-Z72</f>
        <v>0</v>
      </c>
      <c r="CC72" s="242">
        <f>V72-AA72</f>
        <v>-1</v>
      </c>
      <c r="CD72" s="242">
        <f>W72-AB72</f>
        <v>0</v>
      </c>
      <c r="CE72" s="242">
        <f>SUM(BZ72:CD72)</f>
        <v>-2</v>
      </c>
      <c r="CF72" s="242">
        <f>X72+Z72+AA72</f>
        <v>13</v>
      </c>
      <c r="CG72" s="242">
        <f>X72+Z72</f>
        <v>7</v>
      </c>
      <c r="CH72" s="242">
        <f>X72+AA72</f>
        <v>10</v>
      </c>
      <c r="CI72" s="242" t="str">
        <f>IF(L72&gt;24,"Now - Age",IF(S72&gt;6,"Now",IF(X72&lt;6,"With Dev",MIN(X72-S72,7-S72))))</f>
        <v>With Dev</v>
      </c>
      <c r="CJ72" s="257" t="str">
        <f>IF(AG72&lt;&gt;"-","X","")</f>
        <v/>
      </c>
      <c r="CK72" s="257" t="str">
        <f>IF(AND(AH72&lt;&gt;"-",AH72&gt;5),"X","")</f>
        <v/>
      </c>
      <c r="CL72" s="257" t="str">
        <f>IF(AND(AI72&lt;&gt;"-",AI72&gt;5),"X","")</f>
        <v/>
      </c>
      <c r="CM72" s="257" t="str">
        <f>IF(AND(AJ72&lt;&gt;"-",AJ72&gt;4,AC72&gt;6),"X","")</f>
        <v/>
      </c>
      <c r="CN72" s="257" t="str">
        <f>IF(AND(AK72&lt;&gt;"-",AK72&gt;5,AC72&gt;5),"X","")</f>
        <v/>
      </c>
      <c r="CO72" s="257" t="str">
        <f>IF(AND(AL72&lt;&gt;"-",AL72&gt;3),"X","")</f>
        <v>X</v>
      </c>
      <c r="CP72" s="257" t="str">
        <f>IF(AND(AM72&lt;&gt;"-",AM72&gt;6),"X","")</f>
        <v/>
      </c>
      <c r="CQ72" s="257" t="str">
        <f>IF(AND(AN72&lt;&gt;"-",AN72&gt;5,AD72&gt;6),"X","")</f>
        <v/>
      </c>
      <c r="CR72" s="257" t="str">
        <f>IF(COUNTBLANK(CJ72:CQ72)=8,"X","")</f>
        <v/>
      </c>
    </row>
    <row r="73" spans="1:96" s="306" customFormat="1" x14ac:dyDescent="0.25">
      <c r="A73" s="240" t="str">
        <f>H73&amp;" "&amp;I73</f>
        <v>Alejandro Cardona</v>
      </c>
      <c r="B73" s="240" t="str">
        <f>IF(ISERROR(VLOOKUP(A73,AMA!$C$3:$C$24,1,FALSE)),IF(ISERROR(VLOOKUP(A73,'END-AAA'!$C$6:$C$33,1,FALSE)),IF(ISERROR(VLOOKUP(A73,'DB-AA'!$C$6:$C$33,1,FALSE)),IF(ISERROR(VLOOKUP(A73,'UTR-A'!$C$6:$C$33,1,FALSE)),IF(ISERROR(VLOOKUP(A73,'FAI-S A'!$C$6:$C$33,1,FALSE)),"","S A"),"A"),"AA"),"AAA"),"ML")</f>
        <v/>
      </c>
      <c r="C73" s="241"/>
      <c r="D73" s="242" t="str">
        <f>IF(BL73=1,3,IF(BM73=1,4,IF(BJ73=1,1,IF(BN73=1,5,IF(BK73=1,2,IF(BO73=1,6,IF(BP73=1,7,IF(BQ73=1,8,IF(BR73=1,9,"-")))))))))</f>
        <v>-</v>
      </c>
      <c r="E73" s="242" t="str">
        <f>IF(BC73=1,3,IF(BD73=1,4,IF(BA73=1,1,IF(BE73=1,5,IF(BB73=1,2,IF(BF73=1,6,IF(BG73=1,7,IF(BH73=1,8,IF(BI73=1,9,"-")))))))))</f>
        <v>-</v>
      </c>
      <c r="F73" s="242" t="str">
        <f>IF(OR(OR(Q73="Very High",Q73="High"),AND(OR(Q73="Very High",Q73="High",Q73="Normal"),OR(R73="Very High",R73="High"))),"K","T")</f>
        <v>T</v>
      </c>
      <c r="G73" s="242" t="s">
        <v>76</v>
      </c>
      <c r="H73" s="242" t="s">
        <v>839</v>
      </c>
      <c r="I73" s="242" t="s">
        <v>840</v>
      </c>
      <c r="J73" s="242" t="s">
        <v>769</v>
      </c>
      <c r="K73" s="242" t="s">
        <v>186</v>
      </c>
      <c r="L73" s="242">
        <v>28</v>
      </c>
      <c r="M73" s="242" t="s">
        <v>83</v>
      </c>
      <c r="N73" s="242" t="s">
        <v>83</v>
      </c>
      <c r="O73" s="242" t="s">
        <v>808</v>
      </c>
      <c r="P73" s="243" t="s">
        <v>808</v>
      </c>
      <c r="Q73" s="242" t="s">
        <v>201</v>
      </c>
      <c r="R73" s="243" t="s">
        <v>200</v>
      </c>
      <c r="S73" s="242">
        <v>3</v>
      </c>
      <c r="T73" s="242">
        <v>3</v>
      </c>
      <c r="U73" s="242">
        <v>3</v>
      </c>
      <c r="V73" s="242">
        <v>5</v>
      </c>
      <c r="W73" s="243">
        <v>3</v>
      </c>
      <c r="X73" s="242">
        <v>4</v>
      </c>
      <c r="Y73" s="242">
        <v>3</v>
      </c>
      <c r="Z73" s="242">
        <v>3</v>
      </c>
      <c r="AA73" s="242">
        <v>6</v>
      </c>
      <c r="AB73" s="243">
        <v>4</v>
      </c>
      <c r="AC73" s="242">
        <v>9</v>
      </c>
      <c r="AD73" s="242">
        <v>8</v>
      </c>
      <c r="AE73" s="242">
        <v>1</v>
      </c>
      <c r="AF73" s="242" t="s">
        <v>32</v>
      </c>
      <c r="AG73" s="242" t="s">
        <v>32</v>
      </c>
      <c r="AH73" s="242" t="s">
        <v>32</v>
      </c>
      <c r="AI73" s="242">
        <v>6</v>
      </c>
      <c r="AJ73" s="242">
        <v>8</v>
      </c>
      <c r="AK73" s="242">
        <v>6</v>
      </c>
      <c r="AL73" s="242" t="s">
        <v>32</v>
      </c>
      <c r="AM73" s="242" t="s">
        <v>32</v>
      </c>
      <c r="AN73" s="243" t="s">
        <v>32</v>
      </c>
      <c r="AO73" s="242">
        <v>9</v>
      </c>
      <c r="AP73" s="242">
        <v>10</v>
      </c>
      <c r="AQ73" s="243">
        <v>6</v>
      </c>
      <c r="AR73" s="244" t="s">
        <v>32</v>
      </c>
      <c r="AS73" s="243" t="s">
        <v>33</v>
      </c>
      <c r="AT73" s="248" t="s">
        <v>779</v>
      </c>
      <c r="AU7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2.1666666666666665</v>
      </c>
      <c r="AV73" s="246" t="str">
        <f>IF(AU73&gt;9,"SuperStar",IF(AU73&gt;8,"Star",IF(AU73&gt;6.5,"GoodReg",IF(AU73&gt;5,"Reg",IF(AU73&gt;4,"Bench","Minors")))))</f>
        <v>Minors</v>
      </c>
      <c r="AW73" s="245">
        <f>AVERAGE(X73,Z73,AA73)+IF(OR(X73&gt;7,AND(X73&gt;5,AA73&gt;5)),0.5,0)+IF(Z73&gt;7,0.25,0)+IF(X73&lt;6,-0.5*(6-X73),0)</f>
        <v>3.333333333333333</v>
      </c>
      <c r="AX73" s="245" t="str">
        <f>IF(AW73&gt;9,"SuperStar",IF(AW73&gt;8,"Star",IF(AW73&gt;6.5,"GoodReg",IF(AW73&gt;5,"Reg",IF(AW73&gt;4,"Bench","Minors")))))</f>
        <v>Minors</v>
      </c>
      <c r="AY73" s="246">
        <f>MIN(AU73+(MAX(0,25-L73))^1.5,AW73)</f>
        <v>2.1666666666666665</v>
      </c>
      <c r="AZ73" s="246" t="str">
        <f>IF(AY73&gt;9,"SuperStar",IF(AY73&gt;8,"Star",IF(AY73&gt;6.5,"GoodReg",IF(AY73&gt;5,"Reg",IF(AY73&gt;4,"Bench","Minors")))))</f>
        <v>Minors</v>
      </c>
      <c r="BA73" s="247">
        <f>IF(AND(OR(S73+V73&gt;12,AND(S73&gt;6,V73&gt;6)),AO73&gt;6,OR(AP73&gt;=AO73,AP73&gt;6)),1,0)</f>
        <v>0</v>
      </c>
      <c r="BB73" s="248">
        <f>IF(OR(AND(S73&gt;6,W73&gt;6),S73+V73&gt;12),1,0)</f>
        <v>0</v>
      </c>
      <c r="BC73" s="248">
        <f>IF(AND(S73&gt;6,U73&gt;6,V73&gt;6),1,0)</f>
        <v>0</v>
      </c>
      <c r="BD73" s="248">
        <f>IF(AND(U73&gt;7,OR(S73&gt;6,V73&gt;6)),1,0)</f>
        <v>0</v>
      </c>
      <c r="BE73" s="248">
        <f>IF(AND(U73&gt;6,OR(S73&gt;6,V73&gt;6)),1,0)</f>
        <v>0</v>
      </c>
      <c r="BF73" s="248">
        <f>IF(AND(OR(S73&gt;6,U73&gt;6),OR(S73&gt;6,V73&gt;6)),1,0)</f>
        <v>0</v>
      </c>
      <c r="BG73" s="248">
        <f>IF(AND(S73&gt;4,OR(S73&gt;6,U73&gt;6,V73&gt;6)),1,0)</f>
        <v>0</v>
      </c>
      <c r="BH73" s="248">
        <f>IF(AND(S73&gt;4,OR(S73&gt;6,T73&gt;6,U73&gt;6,V73&gt;6)),1,0)</f>
        <v>0</v>
      </c>
      <c r="BI73" s="243">
        <f>IF(AND(S73&gt;4,MAX(S73:W73)&gt;6),1,0)</f>
        <v>0</v>
      </c>
      <c r="BJ73" s="247">
        <f>IF(AND(OR(X73+AA73&gt;12,AND(X73&gt;6,AA73&gt;6)),AO73&gt;6,OR(AP73&gt;=AO73,AP73&gt;6)),1,0)</f>
        <v>0</v>
      </c>
      <c r="BK73" s="248">
        <f>IF(OR(AND(X73&gt;6,AB73&gt;6),X73+AA73&gt;12),1,0)</f>
        <v>0</v>
      </c>
      <c r="BL73" s="248">
        <f>IF(AND(X73&gt;6,Z73&gt;6,AA73&gt;6),1,0)</f>
        <v>0</v>
      </c>
      <c r="BM73" s="248">
        <f>IF(AND(Z73&gt;7,OR(X73&gt;6,AA73&gt;6)),1,0)</f>
        <v>0</v>
      </c>
      <c r="BN73" s="248">
        <f>IF(AND(Z73&gt;6,OR(X73&gt;6,AA73&gt;6)),1,0)</f>
        <v>0</v>
      </c>
      <c r="BO73" s="248">
        <f>IF(AND(OR(X73&gt;6,Z73&gt;6),OR(X73&gt;6,AA73&gt;6)),1,0)</f>
        <v>0</v>
      </c>
      <c r="BP73" s="248">
        <f>IF(AND(X73&gt;4,OR(X73&gt;6,Z73&gt;6,AA73&gt;6)),1,0)</f>
        <v>0</v>
      </c>
      <c r="BQ73" s="248">
        <f>IF(AND(X73&gt;4,OR(X73&gt;6,Y73&gt;6,Z73&gt;6,AA73&gt;6)),1,0)</f>
        <v>0</v>
      </c>
      <c r="BR73" s="243">
        <f>IF(AND(X73&gt;4,MAX(X73:AB73)&gt;6),1,0)</f>
        <v>0</v>
      </c>
      <c r="BS73" s="243">
        <f>IF(AVERAGE(AO73:AP73)&gt;9,1,0)+IF(AVERAGE(AO73:AP73)&gt;7,1,0)+IF(AO73&gt;7,1,0)+IF(AP73&gt;7,1,0)+IF(AQ73&gt;8,1,0)+IF(AQ73&gt;6,1,0)</f>
        <v>4</v>
      </c>
      <c r="BT73" s="249">
        <f>IF(OR(MAX(AG73,AH73,AL73,AN73)&gt;6,MAX(AI73,AJ73,AK73,AM73)&gt;7),2,IF(MAX(AG73:AN73)&gt;4,1,0))</f>
        <v>2</v>
      </c>
      <c r="BU73" s="242" t="str">
        <f>IF(AS73=1,"Yes","")</f>
        <v/>
      </c>
      <c r="BV73" s="241" t="str">
        <f>IF($B73="ML","There",IF(AND($X73&gt;=6,AVERAGE($Z73:$AA73)&gt;=6),"Likely",IF(OR($X73&gt;6,AND($X73=6,AVERAGE($Z73:$AA73)&gt;=3),AND($X73&gt;=5,AVERAGE($Z73:$AA73)&gt;=5),AVERAGE($X73,$Z73:$AA73)&gt;5),"Possible","Unlikely")))</f>
        <v>Unlikely</v>
      </c>
      <c r="BW73" s="242" t="str">
        <f>IF(OR(AND(S73&gt;=6,U73+V73&gt;=12),S73&gt;7),"Start",IF(AND(S73&gt;=5,U73+V73&gt;=8),"Bench","aack!"))</f>
        <v>aack!</v>
      </c>
      <c r="BX73" s="242" t="str">
        <f>IF(OR(AND(X73&gt;=6,Z73+AA73&gt;=12),X73&gt;7),"Start",IF(AND(X73&gt;=5,Z73+AA73&gt;=8),"Bench","aack!"))</f>
        <v>aack!</v>
      </c>
      <c r="BY73" s="242" t="str">
        <f>IF(S73&gt;5,"ML",IF(S73=5,"AAA",IF(S73=4,"AA",IF(S73=3,"A","SS-A"))))</f>
        <v>A</v>
      </c>
      <c r="BZ73" s="242">
        <f>S73-X73</f>
        <v>-1</v>
      </c>
      <c r="CA73" s="242">
        <f>T73-Y73</f>
        <v>0</v>
      </c>
      <c r="CB73" s="242">
        <f>U73-Z73</f>
        <v>0</v>
      </c>
      <c r="CC73" s="242">
        <f>V73-AA73</f>
        <v>-1</v>
      </c>
      <c r="CD73" s="242">
        <f>W73-AB73</f>
        <v>-1</v>
      </c>
      <c r="CE73" s="242">
        <f>SUM(BZ73:CD73)</f>
        <v>-3</v>
      </c>
      <c r="CF73" s="242">
        <f>X73+Z73+AA73</f>
        <v>13</v>
      </c>
      <c r="CG73" s="242">
        <f>X73+Z73</f>
        <v>7</v>
      </c>
      <c r="CH73" s="242">
        <f>X73+AA73</f>
        <v>10</v>
      </c>
      <c r="CI73" s="242" t="str">
        <f>IF(L73&gt;24,"Now - Age",IF(S73&gt;6,"Now",IF(X73&lt;6,"With Dev",MIN(X73-S73,7-S73))))</f>
        <v>Now - Age</v>
      </c>
      <c r="CJ73" s="257" t="str">
        <f>IF(AG73&lt;&gt;"-","X","")</f>
        <v/>
      </c>
      <c r="CK73" s="257" t="str">
        <f>IF(AND(AH73&lt;&gt;"-",AH73&gt;5),"X","")</f>
        <v/>
      </c>
      <c r="CL73" s="257" t="str">
        <f>IF(AND(AI73&lt;&gt;"-",AI73&gt;5),"X","")</f>
        <v>X</v>
      </c>
      <c r="CM73" s="257" t="str">
        <f>IF(AND(AJ73&lt;&gt;"-",AJ73&gt;4,AC73&gt;6),"X","")</f>
        <v>X</v>
      </c>
      <c r="CN73" s="257" t="str">
        <f>IF(AND(AK73&lt;&gt;"-",AK73&gt;5,AC73&gt;5),"X","")</f>
        <v>X</v>
      </c>
      <c r="CO73" s="257" t="str">
        <f>IF(AND(AL73&lt;&gt;"-",AL73&gt;3),"X","")</f>
        <v/>
      </c>
      <c r="CP73" s="257" t="str">
        <f>IF(AND(AM73&lt;&gt;"-",AM73&gt;6),"X","")</f>
        <v/>
      </c>
      <c r="CQ73" s="257" t="str">
        <f>IF(AND(AN73&lt;&gt;"-",AN73&gt;5,AD73&gt;6),"X","")</f>
        <v/>
      </c>
      <c r="CR73" s="257" t="str">
        <f>IF(COUNTBLANK(CJ73:CQ73)=8,"X","")</f>
        <v/>
      </c>
    </row>
    <row r="74" spans="1:96" s="306" customFormat="1" x14ac:dyDescent="0.25">
      <c r="A74" s="240" t="str">
        <f>H74&amp;" "&amp;I74</f>
        <v>Ron Medina</v>
      </c>
      <c r="B74" s="240" t="str">
        <f>IF(ISERROR(VLOOKUP(A74,AMA!$C$3:$C$24,1,FALSE)),IF(ISERROR(VLOOKUP(A74,'END-AAA'!$C$6:$C$33,1,FALSE)),IF(ISERROR(VLOOKUP(A74,'DB-AA'!$C$6:$C$33,1,FALSE)),IF(ISERROR(VLOOKUP(A74,'UTR-A'!$C$6:$C$33,1,FALSE)),IF(ISERROR(VLOOKUP(A74,'FAI-S A'!$C$6:$C$33,1,FALSE)),"","S A"),"A"),"AA"),"AAA"),"ML")</f>
        <v/>
      </c>
      <c r="C74" s="241"/>
      <c r="D74" s="242">
        <f>IF(BL74=1,3,IF(BM74=1,4,IF(BJ74=1,1,IF(BN74=1,5,IF(BK74=1,2,IF(BO74=1,6,IF(BP74=1,7,IF(BQ74=1,8,IF(BR74=1,9,"-")))))))))</f>
        <v>8</v>
      </c>
      <c r="E74" s="242" t="str">
        <f>IF(BC74=1,3,IF(BD74=1,4,IF(BA74=1,1,IF(BE74=1,5,IF(BB74=1,2,IF(BF74=1,6,IF(BG74=1,7,IF(BH74=1,8,IF(BI74=1,9,"-")))))))))</f>
        <v>-</v>
      </c>
      <c r="F74" s="242" t="str">
        <f>IF(OR(OR(Q74="Very High",Q74="High"),AND(OR(Q74="Very High",Q74="High",Q74="Normal"),OR(R74="Very High",R74="High"))),"K","T")</f>
        <v>T</v>
      </c>
      <c r="G74" s="242" t="s">
        <v>74</v>
      </c>
      <c r="H74" s="242" t="s">
        <v>498</v>
      </c>
      <c r="I74" s="242" t="s">
        <v>854</v>
      </c>
      <c r="J74" s="242" t="s">
        <v>814</v>
      </c>
      <c r="K74" s="242" t="s">
        <v>187</v>
      </c>
      <c r="L74" s="242">
        <v>22</v>
      </c>
      <c r="M74" s="242" t="s">
        <v>83</v>
      </c>
      <c r="N74" s="242" t="s">
        <v>83</v>
      </c>
      <c r="O74" s="242" t="s">
        <v>803</v>
      </c>
      <c r="P74" s="243" t="s">
        <v>764</v>
      </c>
      <c r="Q74" s="242" t="s">
        <v>200</v>
      </c>
      <c r="R74" s="243" t="s">
        <v>200</v>
      </c>
      <c r="S74" s="242">
        <v>4</v>
      </c>
      <c r="T74" s="242">
        <v>7</v>
      </c>
      <c r="U74" s="242">
        <v>3</v>
      </c>
      <c r="V74" s="242">
        <v>2</v>
      </c>
      <c r="W74" s="243">
        <v>5</v>
      </c>
      <c r="X74" s="242">
        <v>6</v>
      </c>
      <c r="Y74" s="242">
        <v>8</v>
      </c>
      <c r="Z74" s="242">
        <v>4</v>
      </c>
      <c r="AA74" s="242">
        <v>4</v>
      </c>
      <c r="AB74" s="243">
        <v>6</v>
      </c>
      <c r="AC74" s="242">
        <v>4</v>
      </c>
      <c r="AD74" s="242">
        <v>1</v>
      </c>
      <c r="AE74" s="242">
        <v>1</v>
      </c>
      <c r="AF74" s="242" t="s">
        <v>32</v>
      </c>
      <c r="AG74" s="242" t="s">
        <v>32</v>
      </c>
      <c r="AH74" s="242" t="s">
        <v>32</v>
      </c>
      <c r="AI74" s="242">
        <v>3</v>
      </c>
      <c r="AJ74" s="242">
        <v>1</v>
      </c>
      <c r="AK74" s="242" t="s">
        <v>32</v>
      </c>
      <c r="AL74" s="242" t="s">
        <v>32</v>
      </c>
      <c r="AM74" s="242" t="s">
        <v>32</v>
      </c>
      <c r="AN74" s="243" t="s">
        <v>32</v>
      </c>
      <c r="AO74" s="242">
        <v>10</v>
      </c>
      <c r="AP74" s="242">
        <v>10</v>
      </c>
      <c r="AQ74" s="243">
        <v>10</v>
      </c>
      <c r="AR74" s="244" t="s">
        <v>32</v>
      </c>
      <c r="AS74" s="243" t="s">
        <v>33</v>
      </c>
      <c r="AT74" s="248" t="s">
        <v>779</v>
      </c>
      <c r="AU74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</v>
      </c>
      <c r="AV74" s="246" t="str">
        <f>IF(AU74&gt;9,"SuperStar",IF(AU74&gt;8,"Star",IF(AU74&gt;6.5,"GoodReg",IF(AU74&gt;5,"Reg",IF(AU74&gt;4,"Bench","Minors")))))</f>
        <v>Minors</v>
      </c>
      <c r="AW74" s="245">
        <f>AVERAGE(X74,Z74,AA74)+IF(OR(X74&gt;7,AND(X74&gt;5,AA74&gt;5)),0.5,0)+IF(Z74&gt;7,0.25,0)+IF(X74&lt;6,-0.5*(6-X74),0)</f>
        <v>4.666666666666667</v>
      </c>
      <c r="AX74" s="245" t="str">
        <f>IF(AW74&gt;9,"SuperStar",IF(AW74&gt;8,"Star",IF(AW74&gt;6.5,"GoodReg",IF(AW74&gt;5,"Reg",IF(AW74&gt;4,"Bench","Minors")))))</f>
        <v>Bench</v>
      </c>
      <c r="AY74" s="246">
        <f>MIN(AU74+(MAX(0,25-L74))^1.5,AW74)</f>
        <v>4.666666666666667</v>
      </c>
      <c r="AZ74" s="246" t="str">
        <f>IF(AY74&gt;9,"SuperStar",IF(AY74&gt;8,"Star",IF(AY74&gt;6.5,"GoodReg",IF(AY74&gt;5,"Reg",IF(AY74&gt;4,"Bench","Minors")))))</f>
        <v>Bench</v>
      </c>
      <c r="BA74" s="247">
        <f>IF(AND(OR(S74+V74&gt;12,AND(S74&gt;6,V74&gt;6)),AO74&gt;6,OR(AP74&gt;=AO74,AP74&gt;6)),1,0)</f>
        <v>0</v>
      </c>
      <c r="BB74" s="248">
        <f>IF(OR(AND(S74&gt;6,W74&gt;6),S74+V74&gt;12),1,0)</f>
        <v>0</v>
      </c>
      <c r="BC74" s="248">
        <f>IF(AND(S74&gt;6,U74&gt;6,V74&gt;6),1,0)</f>
        <v>0</v>
      </c>
      <c r="BD74" s="248">
        <f>IF(AND(U74&gt;7,OR(S74&gt;6,V74&gt;6)),1,0)</f>
        <v>0</v>
      </c>
      <c r="BE74" s="248">
        <f>IF(AND(U74&gt;6,OR(S74&gt;6,V74&gt;6)),1,0)</f>
        <v>0</v>
      </c>
      <c r="BF74" s="248">
        <f>IF(AND(OR(S74&gt;6,U74&gt;6),OR(S74&gt;6,V74&gt;6)),1,0)</f>
        <v>0</v>
      </c>
      <c r="BG74" s="248">
        <f>IF(AND(S74&gt;4,OR(S74&gt;6,U74&gt;6,V74&gt;6)),1,0)</f>
        <v>0</v>
      </c>
      <c r="BH74" s="248">
        <f>IF(AND(S74&gt;4,OR(S74&gt;6,T74&gt;6,U74&gt;6,V74&gt;6)),1,0)</f>
        <v>0</v>
      </c>
      <c r="BI74" s="243">
        <f>IF(AND(S74&gt;4,MAX(S74:W74)&gt;6),1,0)</f>
        <v>0</v>
      </c>
      <c r="BJ74" s="247">
        <f>IF(AND(OR(X74+AA74&gt;12,AND(X74&gt;6,AA74&gt;6)),AO74&gt;6,OR(AP74&gt;=AO74,AP74&gt;6)),1,0)</f>
        <v>0</v>
      </c>
      <c r="BK74" s="248">
        <f>IF(OR(AND(X74&gt;6,AB74&gt;6),X74+AA74&gt;12),1,0)</f>
        <v>0</v>
      </c>
      <c r="BL74" s="248">
        <f>IF(AND(X74&gt;6,Z74&gt;6,AA74&gt;6),1,0)</f>
        <v>0</v>
      </c>
      <c r="BM74" s="248">
        <f>IF(AND(Z74&gt;7,OR(X74&gt;6,AA74&gt;6)),1,0)</f>
        <v>0</v>
      </c>
      <c r="BN74" s="248">
        <f>IF(AND(Z74&gt;6,OR(X74&gt;6,AA74&gt;6)),1,0)</f>
        <v>0</v>
      </c>
      <c r="BO74" s="248">
        <f>IF(AND(OR(X74&gt;6,Z74&gt;6),OR(X74&gt;6,AA74&gt;6)),1,0)</f>
        <v>0</v>
      </c>
      <c r="BP74" s="248">
        <f>IF(AND(X74&gt;4,OR(X74&gt;6,Z74&gt;6,AA74&gt;6)),1,0)</f>
        <v>0</v>
      </c>
      <c r="BQ74" s="248">
        <f>IF(AND(X74&gt;4,OR(X74&gt;6,Y74&gt;6,Z74&gt;6,AA74&gt;6)),1,0)</f>
        <v>1</v>
      </c>
      <c r="BR74" s="243">
        <f>IF(AND(X74&gt;4,MAX(X74:AB74)&gt;6),1,0)</f>
        <v>1</v>
      </c>
      <c r="BS74" s="243">
        <f>IF(AVERAGE(AO74:AP74)&gt;9,1,0)+IF(AVERAGE(AO74:AP74)&gt;7,1,0)+IF(AO74&gt;7,1,0)+IF(AP74&gt;7,1,0)+IF(AQ74&gt;8,1,0)+IF(AQ74&gt;6,1,0)</f>
        <v>6</v>
      </c>
      <c r="BT74" s="249">
        <f>IF(OR(MAX(AG74,AH74,AL74,AN74)&gt;6,MAX(AI74,AJ74,AK74,AM74)&gt;7),2,IF(MAX(AG74:AN74)&gt;4,1,0))</f>
        <v>0</v>
      </c>
      <c r="BU74" s="242" t="str">
        <f>IF(AS74=1,"Yes","")</f>
        <v/>
      </c>
      <c r="BV74" s="241" t="str">
        <f>IF($B74="ML","There",IF(AND($X74&gt;=6,AVERAGE($Z74:$AA74)&gt;=6),"Likely",IF(OR($X74&gt;6,AND($X74=6,AVERAGE($Z74:$AA74)&gt;=3),AND($X74&gt;=5,AVERAGE($Z74:$AA74)&gt;=5),AVERAGE($X74,$Z74:$AA74)&gt;5),"Possible","Unlikely")))</f>
        <v>Possible</v>
      </c>
      <c r="BW74" s="242" t="str">
        <f>IF(OR(AND(S74&gt;=6,U74+V74&gt;=12),S74&gt;7),"Start",IF(AND(S74&gt;=5,U74+V74&gt;=8),"Bench","aack!"))</f>
        <v>aack!</v>
      </c>
      <c r="BX74" s="242" t="str">
        <f>IF(OR(AND(X74&gt;=6,Z74+AA74&gt;=12),X74&gt;7),"Start",IF(AND(X74&gt;=5,Z74+AA74&gt;=8),"Bench","aack!"))</f>
        <v>Bench</v>
      </c>
      <c r="BY74" s="242" t="str">
        <f>IF(S74&gt;5,"ML",IF(S74=5,"AAA",IF(S74=4,"AA",IF(S74=3,"A","SS-A"))))</f>
        <v>AA</v>
      </c>
      <c r="BZ74" s="242">
        <f>S74-X74</f>
        <v>-2</v>
      </c>
      <c r="CA74" s="242">
        <f>T74-Y74</f>
        <v>-1</v>
      </c>
      <c r="CB74" s="242">
        <f>U74-Z74</f>
        <v>-1</v>
      </c>
      <c r="CC74" s="242">
        <f>V74-AA74</f>
        <v>-2</v>
      </c>
      <c r="CD74" s="242">
        <f>W74-AB74</f>
        <v>-1</v>
      </c>
      <c r="CE74" s="242">
        <f>SUM(BZ74:CD74)</f>
        <v>-7</v>
      </c>
      <c r="CF74" s="242">
        <f>X74+Z74+AA74</f>
        <v>14</v>
      </c>
      <c r="CG74" s="242">
        <f>X74+Z74</f>
        <v>10</v>
      </c>
      <c r="CH74" s="242">
        <f>X74+AA74</f>
        <v>10</v>
      </c>
      <c r="CI74" s="242">
        <f>IF(L74&gt;24,"Now - Age",IF(S74&gt;6,"Now",IF(X74&lt;6,"With Dev",MIN(X74-S74,7-S74))))</f>
        <v>2</v>
      </c>
      <c r="CJ74" s="257" t="str">
        <f>IF(AG74&lt;&gt;"-","X","")</f>
        <v/>
      </c>
      <c r="CK74" s="257" t="str">
        <f>IF(AND(AH74&lt;&gt;"-",AH74&gt;5),"X","")</f>
        <v/>
      </c>
      <c r="CL74" s="257" t="str">
        <f>IF(AND(AI74&lt;&gt;"-",AI74&gt;5),"X","")</f>
        <v/>
      </c>
      <c r="CM74" s="257" t="str">
        <f>IF(AND(AJ74&lt;&gt;"-",AJ74&gt;4,AC74&gt;6),"X","")</f>
        <v/>
      </c>
      <c r="CN74" s="257" t="str">
        <f>IF(AND(AK74&lt;&gt;"-",AK74&gt;5,AC74&gt;5),"X","")</f>
        <v/>
      </c>
      <c r="CO74" s="257" t="str">
        <f>IF(AND(AL74&lt;&gt;"-",AL74&gt;3),"X","")</f>
        <v/>
      </c>
      <c r="CP74" s="257" t="str">
        <f>IF(AND(AM74&lt;&gt;"-",AM74&gt;6),"X","")</f>
        <v/>
      </c>
      <c r="CQ74" s="257" t="str">
        <f>IF(AND(AN74&lt;&gt;"-",AN74&gt;5,AD74&gt;6),"X","")</f>
        <v/>
      </c>
      <c r="CR74" s="257" t="str">
        <f>IF(COUNTBLANK(CJ74:CQ74)=8,"X","")</f>
        <v>X</v>
      </c>
    </row>
    <row r="75" spans="1:96" s="306" customFormat="1" x14ac:dyDescent="0.25">
      <c r="A75" s="240" t="str">
        <f>H75&amp;" "&amp;I75</f>
        <v>Toribio Maggessi</v>
      </c>
      <c r="B75" s="240" t="str">
        <f>IF(ISERROR(VLOOKUP(A75,AMA!$C$3:$C$24,1,FALSE)),IF(ISERROR(VLOOKUP(A75,'END-AAA'!$C$6:$C$33,1,FALSE)),IF(ISERROR(VLOOKUP(A75,'DB-AA'!$C$6:$C$33,1,FALSE)),IF(ISERROR(VLOOKUP(A75,'UTR-A'!$C$6:$C$33,1,FALSE)),IF(ISERROR(VLOOKUP(A75,'FAI-S A'!$C$6:$C$33,1,FALSE)),"","S A"),"A"),"AA"),"AAA"),"ML")</f>
        <v/>
      </c>
      <c r="C75" s="241"/>
      <c r="D75" s="242" t="str">
        <f>IF(BL75=1,3,IF(BM75=1,4,IF(BJ75=1,1,IF(BN75=1,5,IF(BK75=1,2,IF(BO75=1,6,IF(BP75=1,7,IF(BQ75=1,8,IF(BR75=1,9,"-")))))))))</f>
        <v>-</v>
      </c>
      <c r="E75" s="242" t="str">
        <f>IF(BC75=1,3,IF(BD75=1,4,IF(BA75=1,1,IF(BE75=1,5,IF(BB75=1,2,IF(BF75=1,6,IF(BG75=1,7,IF(BH75=1,8,IF(BI75=1,9,"-")))))))))</f>
        <v>-</v>
      </c>
      <c r="F75" s="242" t="str">
        <f>IF(OR(OR(Q75="Very High",Q75="High"),AND(OR(Q75="Very High",Q75="High",Q75="Normal"),OR(R75="Very High",R75="High"))),"K","T")</f>
        <v>T</v>
      </c>
      <c r="G75" s="242" t="s">
        <v>78</v>
      </c>
      <c r="H75" s="242" t="s">
        <v>852</v>
      </c>
      <c r="I75" s="242" t="s">
        <v>853</v>
      </c>
      <c r="J75" s="242" t="s">
        <v>802</v>
      </c>
      <c r="K75" s="242" t="s">
        <v>277</v>
      </c>
      <c r="L75" s="242">
        <v>21</v>
      </c>
      <c r="M75" s="242" t="s">
        <v>83</v>
      </c>
      <c r="N75" s="242" t="s">
        <v>83</v>
      </c>
      <c r="O75" s="242" t="s">
        <v>808</v>
      </c>
      <c r="P75" s="243" t="s">
        <v>764</v>
      </c>
      <c r="Q75" s="242" t="s">
        <v>200</v>
      </c>
      <c r="R75" s="243" t="s">
        <v>200</v>
      </c>
      <c r="S75" s="242">
        <v>4</v>
      </c>
      <c r="T75" s="242">
        <v>3</v>
      </c>
      <c r="U75" s="242">
        <v>3</v>
      </c>
      <c r="V75" s="242">
        <v>2</v>
      </c>
      <c r="W75" s="243">
        <v>5</v>
      </c>
      <c r="X75" s="242">
        <v>5</v>
      </c>
      <c r="Y75" s="242">
        <v>5</v>
      </c>
      <c r="Z75" s="242">
        <v>3</v>
      </c>
      <c r="AA75" s="242">
        <v>5</v>
      </c>
      <c r="AB75" s="243">
        <v>5</v>
      </c>
      <c r="AC75" s="242">
        <v>9</v>
      </c>
      <c r="AD75" s="242">
        <v>10</v>
      </c>
      <c r="AE75" s="242">
        <v>1</v>
      </c>
      <c r="AF75" s="242" t="s">
        <v>32</v>
      </c>
      <c r="AG75" s="242" t="s">
        <v>32</v>
      </c>
      <c r="AH75" s="242" t="s">
        <v>32</v>
      </c>
      <c r="AI75" s="242" t="s">
        <v>32</v>
      </c>
      <c r="AJ75" s="242" t="s">
        <v>32</v>
      </c>
      <c r="AK75" s="242" t="s">
        <v>32</v>
      </c>
      <c r="AL75" s="242">
        <v>2</v>
      </c>
      <c r="AM75" s="242">
        <v>7</v>
      </c>
      <c r="AN75" s="243">
        <v>8</v>
      </c>
      <c r="AO75" s="242">
        <v>10</v>
      </c>
      <c r="AP75" s="242">
        <v>10</v>
      </c>
      <c r="AQ75" s="243">
        <v>9</v>
      </c>
      <c r="AR75" s="244" t="s">
        <v>32</v>
      </c>
      <c r="AS75" s="243" t="s">
        <v>33</v>
      </c>
      <c r="AT75" s="248" t="s">
        <v>779</v>
      </c>
      <c r="AU75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</v>
      </c>
      <c r="AV75" s="246" t="str">
        <f>IF(AU75&gt;9,"SuperStar",IF(AU75&gt;8,"Star",IF(AU75&gt;6.5,"GoodReg",IF(AU75&gt;5,"Reg",IF(AU75&gt;4,"Bench","Minors")))))</f>
        <v>Minors</v>
      </c>
      <c r="AW75" s="245">
        <f>AVERAGE(X75,Z75,AA75)+IF(OR(X75&gt;7,AND(X75&gt;5,AA75&gt;5)),0.5,0)+IF(Z75&gt;7,0.25,0)+IF(X75&lt;6,-0.5*(6-X75),0)</f>
        <v>3.833333333333333</v>
      </c>
      <c r="AX75" s="245" t="str">
        <f>IF(AW75&gt;9,"SuperStar",IF(AW75&gt;8,"Star",IF(AW75&gt;6.5,"GoodReg",IF(AW75&gt;5,"Reg",IF(AW75&gt;4,"Bench","Minors")))))</f>
        <v>Minors</v>
      </c>
      <c r="AY75" s="246">
        <f>MIN(AU75+(MAX(0,25-L75))^1.5,AW75)</f>
        <v>3.833333333333333</v>
      </c>
      <c r="AZ75" s="246" t="str">
        <f>IF(AY75&gt;9,"SuperStar",IF(AY75&gt;8,"Star",IF(AY75&gt;6.5,"GoodReg",IF(AY75&gt;5,"Reg",IF(AY75&gt;4,"Bench","Minors")))))</f>
        <v>Minors</v>
      </c>
      <c r="BA75" s="247">
        <f>IF(AND(OR(S75+V75&gt;12,AND(S75&gt;6,V75&gt;6)),AO75&gt;6,OR(AP75&gt;=AO75,AP75&gt;6)),1,0)</f>
        <v>0</v>
      </c>
      <c r="BB75" s="248">
        <f>IF(OR(AND(S75&gt;6,W75&gt;6),S75+V75&gt;12),1,0)</f>
        <v>0</v>
      </c>
      <c r="BC75" s="248">
        <f>IF(AND(S75&gt;6,U75&gt;6,V75&gt;6),1,0)</f>
        <v>0</v>
      </c>
      <c r="BD75" s="248">
        <f>IF(AND(U75&gt;7,OR(S75&gt;6,V75&gt;6)),1,0)</f>
        <v>0</v>
      </c>
      <c r="BE75" s="248">
        <f>IF(AND(U75&gt;6,OR(S75&gt;6,V75&gt;6)),1,0)</f>
        <v>0</v>
      </c>
      <c r="BF75" s="248">
        <f>IF(AND(OR(S75&gt;6,U75&gt;6),OR(S75&gt;6,V75&gt;6)),1,0)</f>
        <v>0</v>
      </c>
      <c r="BG75" s="248">
        <f>IF(AND(S75&gt;4,OR(S75&gt;6,U75&gt;6,V75&gt;6)),1,0)</f>
        <v>0</v>
      </c>
      <c r="BH75" s="248">
        <f>IF(AND(S75&gt;4,OR(S75&gt;6,T75&gt;6,U75&gt;6,V75&gt;6)),1,0)</f>
        <v>0</v>
      </c>
      <c r="BI75" s="243">
        <f>IF(AND(S75&gt;4,MAX(S75:W75)&gt;6),1,0)</f>
        <v>0</v>
      </c>
      <c r="BJ75" s="247">
        <f>IF(AND(OR(X75+AA75&gt;12,AND(X75&gt;6,AA75&gt;6)),AO75&gt;6,OR(AP75&gt;=AO75,AP75&gt;6)),1,0)</f>
        <v>0</v>
      </c>
      <c r="BK75" s="248">
        <f>IF(OR(AND(X75&gt;6,AB75&gt;6),X75+AA75&gt;12),1,0)</f>
        <v>0</v>
      </c>
      <c r="BL75" s="248">
        <f>IF(AND(X75&gt;6,Z75&gt;6,AA75&gt;6),1,0)</f>
        <v>0</v>
      </c>
      <c r="BM75" s="248">
        <f>IF(AND(Z75&gt;7,OR(X75&gt;6,AA75&gt;6)),1,0)</f>
        <v>0</v>
      </c>
      <c r="BN75" s="248">
        <f>IF(AND(Z75&gt;6,OR(X75&gt;6,AA75&gt;6)),1,0)</f>
        <v>0</v>
      </c>
      <c r="BO75" s="248">
        <f>IF(AND(OR(X75&gt;6,Z75&gt;6),OR(X75&gt;6,AA75&gt;6)),1,0)</f>
        <v>0</v>
      </c>
      <c r="BP75" s="248">
        <f>IF(AND(X75&gt;4,OR(X75&gt;6,Z75&gt;6,AA75&gt;6)),1,0)</f>
        <v>0</v>
      </c>
      <c r="BQ75" s="248">
        <f>IF(AND(X75&gt;4,OR(X75&gt;6,Y75&gt;6,Z75&gt;6,AA75&gt;6)),1,0)</f>
        <v>0</v>
      </c>
      <c r="BR75" s="243">
        <f>IF(AND(X75&gt;4,MAX(X75:AB75)&gt;6),1,0)</f>
        <v>0</v>
      </c>
      <c r="BS75" s="243">
        <f>IF(AVERAGE(AO75:AP75)&gt;9,1,0)+IF(AVERAGE(AO75:AP75)&gt;7,1,0)+IF(AO75&gt;7,1,0)+IF(AP75&gt;7,1,0)+IF(AQ75&gt;8,1,0)+IF(AQ75&gt;6,1,0)</f>
        <v>6</v>
      </c>
      <c r="BT75" s="249">
        <f>IF(OR(MAX(AG75,AH75,AL75,AN75)&gt;6,MAX(AI75,AJ75,AK75,AM75)&gt;7),2,IF(MAX(AG75:AN75)&gt;4,1,0))</f>
        <v>2</v>
      </c>
      <c r="BU75" s="242" t="str">
        <f>IF(AS75=1,"Yes","")</f>
        <v/>
      </c>
      <c r="BV75" s="241" t="str">
        <f>IF($B75="ML","There",IF(AND($X75&gt;=6,AVERAGE($Z75:$AA75)&gt;=6),"Likely",IF(OR($X75&gt;6,AND($X75=6,AVERAGE($Z75:$AA75)&gt;=3),AND($X75&gt;=5,AVERAGE($Z75:$AA75)&gt;=5),AVERAGE($X75,$Z75:$AA75)&gt;5),"Possible","Unlikely")))</f>
        <v>Unlikely</v>
      </c>
      <c r="BW75" s="242" t="str">
        <f>IF(OR(AND(S75&gt;=6,U75+V75&gt;=12),S75&gt;7),"Start",IF(AND(S75&gt;=5,U75+V75&gt;=8),"Bench","aack!"))</f>
        <v>aack!</v>
      </c>
      <c r="BX75" s="242" t="str">
        <f>IF(OR(AND(X75&gt;=6,Z75+AA75&gt;=12),X75&gt;7),"Start",IF(AND(X75&gt;=5,Z75+AA75&gt;=8),"Bench","aack!"))</f>
        <v>Bench</v>
      </c>
      <c r="BY75" s="242" t="str">
        <f>IF(S75&gt;5,"ML",IF(S75=5,"AAA",IF(S75=4,"AA",IF(S75=3,"A","SS-A"))))</f>
        <v>AA</v>
      </c>
      <c r="BZ75" s="242">
        <f>S75-X75</f>
        <v>-1</v>
      </c>
      <c r="CA75" s="242">
        <f>T75-Y75</f>
        <v>-2</v>
      </c>
      <c r="CB75" s="242">
        <f>U75-Z75</f>
        <v>0</v>
      </c>
      <c r="CC75" s="242">
        <f>V75-AA75</f>
        <v>-3</v>
      </c>
      <c r="CD75" s="242">
        <f>W75-AB75</f>
        <v>0</v>
      </c>
      <c r="CE75" s="242">
        <f>SUM(BZ75:CD75)</f>
        <v>-6</v>
      </c>
      <c r="CF75" s="242">
        <f>X75+Z75+AA75</f>
        <v>13</v>
      </c>
      <c r="CG75" s="242">
        <f>X75+Z75</f>
        <v>8</v>
      </c>
      <c r="CH75" s="242">
        <f>X75+AA75</f>
        <v>10</v>
      </c>
      <c r="CI75" s="242" t="str">
        <f>IF(L75&gt;24,"Now - Age",IF(S75&gt;6,"Now",IF(X75&lt;6,"With Dev",MIN(X75-S75,7-S75))))</f>
        <v>With Dev</v>
      </c>
      <c r="CJ75" s="257" t="str">
        <f>IF(AG75&lt;&gt;"-","X","")</f>
        <v/>
      </c>
      <c r="CK75" s="257" t="str">
        <f>IF(AND(AH75&lt;&gt;"-",AH75&gt;5),"X","")</f>
        <v/>
      </c>
      <c r="CL75" s="257" t="str">
        <f>IF(AND(AI75&lt;&gt;"-",AI75&gt;5),"X","")</f>
        <v/>
      </c>
      <c r="CM75" s="257" t="str">
        <f>IF(AND(AJ75&lt;&gt;"-",AJ75&gt;4,AC75&gt;6),"X","")</f>
        <v/>
      </c>
      <c r="CN75" s="257" t="str">
        <f>IF(AND(AK75&lt;&gt;"-",AK75&gt;5,AC75&gt;5),"X","")</f>
        <v/>
      </c>
      <c r="CO75" s="257" t="str">
        <f>IF(AND(AL75&lt;&gt;"-",AL75&gt;3),"X","")</f>
        <v/>
      </c>
      <c r="CP75" s="257" t="str">
        <f>IF(AND(AM75&lt;&gt;"-",AM75&gt;6),"X","")</f>
        <v>X</v>
      </c>
      <c r="CQ75" s="257" t="str">
        <f>IF(AND(AN75&lt;&gt;"-",AN75&gt;5,AD75&gt;6),"X","")</f>
        <v>X</v>
      </c>
      <c r="CR75" s="257" t="str">
        <f>IF(COUNTBLANK(CJ75:CQ75)=8,"X","")</f>
        <v/>
      </c>
    </row>
    <row r="76" spans="1:96" s="306" customFormat="1" x14ac:dyDescent="0.25">
      <c r="A76" s="240" t="str">
        <f>H76&amp;" "&amp;I76</f>
        <v>Tokimasa Nan</v>
      </c>
      <c r="B76" s="240" t="str">
        <f>IF(ISERROR(VLOOKUP(A76,AMA!$C$3:$C$24,1,FALSE)),IF(ISERROR(VLOOKUP(A76,'END-AAA'!$C$6:$C$33,1,FALSE)),IF(ISERROR(VLOOKUP(A76,'DB-AA'!$C$6:$C$33,1,FALSE)),IF(ISERROR(VLOOKUP(A76,'UTR-A'!$C$6:$C$33,1,FALSE)),IF(ISERROR(VLOOKUP(A76,'FAI-S A'!$C$6:$C$33,1,FALSE)),"","S A"),"A"),"AA"),"AAA"),"ML")</f>
        <v/>
      </c>
      <c r="C76" s="241"/>
      <c r="D76" s="242" t="str">
        <f>IF(BL76=1,3,IF(BM76=1,4,IF(BJ76=1,1,IF(BN76=1,5,IF(BK76=1,2,IF(BO76=1,6,IF(BP76=1,7,IF(BQ76=1,8,IF(BR76=1,9,"-")))))))))</f>
        <v>-</v>
      </c>
      <c r="E76" s="242" t="str">
        <f>IF(BC76=1,3,IF(BD76=1,4,IF(BA76=1,1,IF(BE76=1,5,IF(BB76=1,2,IF(BF76=1,6,IF(BG76=1,7,IF(BH76=1,8,IF(BI76=1,9,"-")))))))))</f>
        <v>-</v>
      </c>
      <c r="F76" s="242" t="str">
        <f>IF(OR(OR(Q76="Very High",Q76="High"),AND(OR(Q76="Very High",Q76="High",Q76="Normal"),OR(R76="Very High",R76="High"))),"K","T")</f>
        <v>T</v>
      </c>
      <c r="G76" s="242" t="s">
        <v>78</v>
      </c>
      <c r="H76" s="242" t="s">
        <v>822</v>
      </c>
      <c r="I76" s="242" t="s">
        <v>823</v>
      </c>
      <c r="J76" s="242" t="s">
        <v>814</v>
      </c>
      <c r="K76" s="242" t="s">
        <v>187</v>
      </c>
      <c r="L76" s="242">
        <v>25</v>
      </c>
      <c r="M76" s="242" t="s">
        <v>83</v>
      </c>
      <c r="N76" s="242" t="s">
        <v>83</v>
      </c>
      <c r="O76" s="242" t="s">
        <v>808</v>
      </c>
      <c r="P76" s="243" t="s">
        <v>808</v>
      </c>
      <c r="Q76" s="242" t="s">
        <v>201</v>
      </c>
      <c r="R76" s="243" t="s">
        <v>199</v>
      </c>
      <c r="S76" s="242">
        <v>4</v>
      </c>
      <c r="T76" s="242">
        <v>4</v>
      </c>
      <c r="U76" s="242">
        <v>2</v>
      </c>
      <c r="V76" s="242">
        <v>3</v>
      </c>
      <c r="W76" s="243">
        <v>7</v>
      </c>
      <c r="X76" s="242">
        <v>4</v>
      </c>
      <c r="Y76" s="242">
        <v>4</v>
      </c>
      <c r="Z76" s="242">
        <v>2</v>
      </c>
      <c r="AA76" s="242">
        <v>4</v>
      </c>
      <c r="AB76" s="243">
        <v>7</v>
      </c>
      <c r="AC76" s="242">
        <v>2</v>
      </c>
      <c r="AD76" s="242">
        <v>6</v>
      </c>
      <c r="AE76" s="242">
        <v>1</v>
      </c>
      <c r="AF76" s="242" t="s">
        <v>32</v>
      </c>
      <c r="AG76" s="242" t="s">
        <v>32</v>
      </c>
      <c r="AH76" s="242" t="s">
        <v>32</v>
      </c>
      <c r="AI76" s="242" t="s">
        <v>32</v>
      </c>
      <c r="AJ76" s="242" t="s">
        <v>32</v>
      </c>
      <c r="AK76" s="242" t="s">
        <v>32</v>
      </c>
      <c r="AL76" s="242">
        <v>2</v>
      </c>
      <c r="AM76" s="242">
        <v>6</v>
      </c>
      <c r="AN76" s="243">
        <v>7</v>
      </c>
      <c r="AO76" s="242">
        <v>10</v>
      </c>
      <c r="AP76" s="242">
        <v>10</v>
      </c>
      <c r="AQ76" s="243">
        <v>10</v>
      </c>
      <c r="AR76" s="244" t="s">
        <v>32</v>
      </c>
      <c r="AS76" s="243" t="s">
        <v>33</v>
      </c>
      <c r="AT76" s="248" t="s">
        <v>199</v>
      </c>
      <c r="AU76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</v>
      </c>
      <c r="AV76" s="246" t="str">
        <f>IF(AU76&gt;9,"SuperStar",IF(AU76&gt;8,"Star",IF(AU76&gt;6.5,"GoodReg",IF(AU76&gt;5,"Reg",IF(AU76&gt;4,"Bench","Minors")))))</f>
        <v>Minors</v>
      </c>
      <c r="AW76" s="245">
        <f>AVERAGE(X76,Z76,AA76)+IF(OR(X76&gt;7,AND(X76&gt;5,AA76&gt;5)),0.5,0)+IF(Z76&gt;7,0.25,0)+IF(X76&lt;6,-0.5*(6-X76),0)</f>
        <v>2.3333333333333335</v>
      </c>
      <c r="AX76" s="245" t="str">
        <f>IF(AW76&gt;9,"SuperStar",IF(AW76&gt;8,"Star",IF(AW76&gt;6.5,"GoodReg",IF(AW76&gt;5,"Reg",IF(AW76&gt;4,"Bench","Minors")))))</f>
        <v>Minors</v>
      </c>
      <c r="AY76" s="246">
        <f>MIN(AU76+(MAX(0,25-L76))^1.5,AW76)</f>
        <v>2</v>
      </c>
      <c r="AZ76" s="246" t="str">
        <f>IF(AY76&gt;9,"SuperStar",IF(AY76&gt;8,"Star",IF(AY76&gt;6.5,"GoodReg",IF(AY76&gt;5,"Reg",IF(AY76&gt;4,"Bench","Minors")))))</f>
        <v>Minors</v>
      </c>
      <c r="BA76" s="247">
        <f>IF(AND(OR(S76+V76&gt;12,AND(S76&gt;6,V76&gt;6)),AO76&gt;6,OR(AP76&gt;=AO76,AP76&gt;6)),1,0)</f>
        <v>0</v>
      </c>
      <c r="BB76" s="248">
        <f>IF(OR(AND(S76&gt;6,W76&gt;6),S76+V76&gt;12),1,0)</f>
        <v>0</v>
      </c>
      <c r="BC76" s="248">
        <f>IF(AND(S76&gt;6,U76&gt;6,V76&gt;6),1,0)</f>
        <v>0</v>
      </c>
      <c r="BD76" s="248">
        <f>IF(AND(U76&gt;7,OR(S76&gt;6,V76&gt;6)),1,0)</f>
        <v>0</v>
      </c>
      <c r="BE76" s="248">
        <f>IF(AND(U76&gt;6,OR(S76&gt;6,V76&gt;6)),1,0)</f>
        <v>0</v>
      </c>
      <c r="BF76" s="248">
        <f>IF(AND(OR(S76&gt;6,U76&gt;6),OR(S76&gt;6,V76&gt;6)),1,0)</f>
        <v>0</v>
      </c>
      <c r="BG76" s="248">
        <f>IF(AND(S76&gt;4,OR(S76&gt;6,U76&gt;6,V76&gt;6)),1,0)</f>
        <v>0</v>
      </c>
      <c r="BH76" s="248">
        <f>IF(AND(S76&gt;4,OR(S76&gt;6,T76&gt;6,U76&gt;6,V76&gt;6)),1,0)</f>
        <v>0</v>
      </c>
      <c r="BI76" s="243">
        <f>IF(AND(S76&gt;4,MAX(S76:W76)&gt;6),1,0)</f>
        <v>0</v>
      </c>
      <c r="BJ76" s="247">
        <f>IF(AND(OR(X76+AA76&gt;12,AND(X76&gt;6,AA76&gt;6)),AO76&gt;6,OR(AP76&gt;=AO76,AP76&gt;6)),1,0)</f>
        <v>0</v>
      </c>
      <c r="BK76" s="248">
        <f>IF(OR(AND(X76&gt;6,AB76&gt;6),X76+AA76&gt;12),1,0)</f>
        <v>0</v>
      </c>
      <c r="BL76" s="248">
        <f>IF(AND(X76&gt;6,Z76&gt;6,AA76&gt;6),1,0)</f>
        <v>0</v>
      </c>
      <c r="BM76" s="248">
        <f>IF(AND(Z76&gt;7,OR(X76&gt;6,AA76&gt;6)),1,0)</f>
        <v>0</v>
      </c>
      <c r="BN76" s="248">
        <f>IF(AND(Z76&gt;6,OR(X76&gt;6,AA76&gt;6)),1,0)</f>
        <v>0</v>
      </c>
      <c r="BO76" s="248">
        <f>IF(AND(OR(X76&gt;6,Z76&gt;6),OR(X76&gt;6,AA76&gt;6)),1,0)</f>
        <v>0</v>
      </c>
      <c r="BP76" s="248">
        <f>IF(AND(X76&gt;4,OR(X76&gt;6,Z76&gt;6,AA76&gt;6)),1,0)</f>
        <v>0</v>
      </c>
      <c r="BQ76" s="248">
        <f>IF(AND(X76&gt;4,OR(X76&gt;6,Y76&gt;6,Z76&gt;6,AA76&gt;6)),1,0)</f>
        <v>0</v>
      </c>
      <c r="BR76" s="243">
        <f>IF(AND(X76&gt;4,MAX(X76:AB76)&gt;6),1,0)</f>
        <v>0</v>
      </c>
      <c r="BS76" s="243">
        <f>IF(AVERAGE(AO76:AP76)&gt;9,1,0)+IF(AVERAGE(AO76:AP76)&gt;7,1,0)+IF(AO76&gt;7,1,0)+IF(AP76&gt;7,1,0)+IF(AQ76&gt;8,1,0)+IF(AQ76&gt;6,1,0)</f>
        <v>6</v>
      </c>
      <c r="BT76" s="249">
        <f>IF(OR(MAX(AG76,AH76,AL76,AN76)&gt;6,MAX(AI76,AJ76,AK76,AM76)&gt;7),2,IF(MAX(AG76:AN76)&gt;4,1,0))</f>
        <v>2</v>
      </c>
      <c r="BU76" s="242" t="str">
        <f>IF(AS76=1,"Yes","")</f>
        <v/>
      </c>
      <c r="BV76" s="241" t="str">
        <f>IF($B76="ML","There",IF(AND($X76&gt;=6,AVERAGE($Z76:$AA76)&gt;=6),"Likely",IF(OR($X76&gt;6,AND($X76=6,AVERAGE($Z76:$AA76)&gt;=3),AND($X76&gt;=5,AVERAGE($Z76:$AA76)&gt;=5),AVERAGE($X76,$Z76:$AA76)&gt;5),"Possible","Unlikely")))</f>
        <v>Unlikely</v>
      </c>
      <c r="BW76" s="242" t="str">
        <f>IF(OR(AND(S76&gt;=6,U76+V76&gt;=12),S76&gt;7),"Start",IF(AND(S76&gt;=5,U76+V76&gt;=8),"Bench","aack!"))</f>
        <v>aack!</v>
      </c>
      <c r="BX76" s="242" t="str">
        <f>IF(OR(AND(X76&gt;=6,Z76+AA76&gt;=12),X76&gt;7),"Start",IF(AND(X76&gt;=5,Z76+AA76&gt;=8),"Bench","aack!"))</f>
        <v>aack!</v>
      </c>
      <c r="BY76" s="242" t="str">
        <f>IF(S76&gt;5,"ML",IF(S76=5,"AAA",IF(S76=4,"AA",IF(S76=3,"A","SS-A"))))</f>
        <v>AA</v>
      </c>
      <c r="BZ76" s="242">
        <f>S76-X76</f>
        <v>0</v>
      </c>
      <c r="CA76" s="242">
        <f>T76-Y76</f>
        <v>0</v>
      </c>
      <c r="CB76" s="242">
        <f>U76-Z76</f>
        <v>0</v>
      </c>
      <c r="CC76" s="242">
        <f>V76-AA76</f>
        <v>-1</v>
      </c>
      <c r="CD76" s="242">
        <f>W76-AB76</f>
        <v>0</v>
      </c>
      <c r="CE76" s="242">
        <f>SUM(BZ76:CD76)</f>
        <v>-1</v>
      </c>
      <c r="CF76" s="242">
        <f>X76+Z76+AA76</f>
        <v>10</v>
      </c>
      <c r="CG76" s="242">
        <f>X76+Z76</f>
        <v>6</v>
      </c>
      <c r="CH76" s="242">
        <f>X76+AA76</f>
        <v>8</v>
      </c>
      <c r="CI76" s="242" t="str">
        <f>IF(L76&gt;24,"Now - Age",IF(S76&gt;6,"Now",IF(X76&lt;6,"With Dev",MIN(X76-S76,7-S76))))</f>
        <v>Now - Age</v>
      </c>
      <c r="CJ76" s="257" t="str">
        <f>IF(AG76&lt;&gt;"-","X","")</f>
        <v/>
      </c>
      <c r="CK76" s="257" t="str">
        <f>IF(AND(AH76&lt;&gt;"-",AH76&gt;5),"X","")</f>
        <v/>
      </c>
      <c r="CL76" s="257" t="str">
        <f>IF(AND(AI76&lt;&gt;"-",AI76&gt;5),"X","")</f>
        <v/>
      </c>
      <c r="CM76" s="257" t="str">
        <f>IF(AND(AJ76&lt;&gt;"-",AJ76&gt;4,AC76&gt;6),"X","")</f>
        <v/>
      </c>
      <c r="CN76" s="257" t="str">
        <f>IF(AND(AK76&lt;&gt;"-",AK76&gt;5,AC76&gt;5),"X","")</f>
        <v/>
      </c>
      <c r="CO76" s="257" t="str">
        <f>IF(AND(AL76&lt;&gt;"-",AL76&gt;3),"X","")</f>
        <v/>
      </c>
      <c r="CP76" s="257" t="str">
        <f>IF(AND(AM76&lt;&gt;"-",AM76&gt;6),"X","")</f>
        <v/>
      </c>
      <c r="CQ76" s="257" t="str">
        <f>IF(AND(AN76&lt;&gt;"-",AN76&gt;5,AD76&gt;6),"X","")</f>
        <v/>
      </c>
      <c r="CR76" s="257" t="str">
        <f>IF(COUNTBLANK(CJ76:CQ76)=8,"X","")</f>
        <v>X</v>
      </c>
    </row>
    <row r="77" spans="1:96" s="306" customFormat="1" x14ac:dyDescent="0.25">
      <c r="A77" s="240" t="str">
        <f>H77&amp;" "&amp;I77</f>
        <v>Mu-sang Park</v>
      </c>
      <c r="B77" s="240" t="str">
        <f>IF(ISERROR(VLOOKUP(A77,AMA!$C$3:$C$24,1,FALSE)),IF(ISERROR(VLOOKUP(A77,'END-AAA'!$C$6:$C$33,1,FALSE)),IF(ISERROR(VLOOKUP(A77,'DB-AA'!$C$6:$C$33,1,FALSE)),IF(ISERROR(VLOOKUP(A77,'UTR-A'!$C$6:$C$33,1,FALSE)),IF(ISERROR(VLOOKUP(A77,'FAI-S A'!$C$6:$C$33,1,FALSE)),"","S A"),"A"),"AA"),"AAA"),"ML")</f>
        <v/>
      </c>
      <c r="C77" s="241"/>
      <c r="D77" s="242" t="str">
        <f>IF(BL77=1,3,IF(BM77=1,4,IF(BJ77=1,1,IF(BN77=1,5,IF(BK77=1,2,IF(BO77=1,6,IF(BP77=1,7,IF(BQ77=1,8,IF(BR77=1,9,"-")))))))))</f>
        <v>-</v>
      </c>
      <c r="E77" s="242" t="str">
        <f>IF(BC77=1,3,IF(BD77=1,4,IF(BA77=1,1,IF(BE77=1,5,IF(BB77=1,2,IF(BF77=1,6,IF(BG77=1,7,IF(BH77=1,8,IF(BI77=1,9,"-")))))))))</f>
        <v>-</v>
      </c>
      <c r="F77" s="242" t="str">
        <f>IF(OR(OR(Q77="Very High",Q77="High"),AND(OR(Q77="Very High",Q77="High",Q77="Normal"),OR(R77="Very High",R77="High"))),"K","T")</f>
        <v>K</v>
      </c>
      <c r="G77" s="242" t="s">
        <v>75</v>
      </c>
      <c r="H77" s="242" t="s">
        <v>856</v>
      </c>
      <c r="I77" s="242" t="s">
        <v>408</v>
      </c>
      <c r="J77" s="242" t="s">
        <v>814</v>
      </c>
      <c r="K77" s="242" t="s">
        <v>187</v>
      </c>
      <c r="L77" s="242">
        <v>23</v>
      </c>
      <c r="M77" s="242" t="s">
        <v>83</v>
      </c>
      <c r="N77" s="242" t="s">
        <v>83</v>
      </c>
      <c r="O77" s="242" t="s">
        <v>808</v>
      </c>
      <c r="P77" s="243" t="s">
        <v>808</v>
      </c>
      <c r="Q77" s="242" t="s">
        <v>199</v>
      </c>
      <c r="R77" s="243" t="s">
        <v>201</v>
      </c>
      <c r="S77" s="242">
        <v>4</v>
      </c>
      <c r="T77" s="242">
        <v>5</v>
      </c>
      <c r="U77" s="242">
        <v>2</v>
      </c>
      <c r="V77" s="242">
        <v>3</v>
      </c>
      <c r="W77" s="243">
        <v>6</v>
      </c>
      <c r="X77" s="242">
        <v>4</v>
      </c>
      <c r="Y77" s="242">
        <v>5</v>
      </c>
      <c r="Z77" s="242">
        <v>2</v>
      </c>
      <c r="AA77" s="242">
        <v>3</v>
      </c>
      <c r="AB77" s="243">
        <v>6</v>
      </c>
      <c r="AC77" s="242">
        <v>10</v>
      </c>
      <c r="AD77" s="242">
        <v>9</v>
      </c>
      <c r="AE77" s="242">
        <v>1</v>
      </c>
      <c r="AF77" s="242" t="s">
        <v>32</v>
      </c>
      <c r="AG77" s="242" t="s">
        <v>32</v>
      </c>
      <c r="AH77" s="242">
        <v>8</v>
      </c>
      <c r="AI77" s="242">
        <v>2</v>
      </c>
      <c r="AJ77" s="242">
        <v>7</v>
      </c>
      <c r="AK77" s="242" t="s">
        <v>32</v>
      </c>
      <c r="AL77" s="242" t="s">
        <v>32</v>
      </c>
      <c r="AM77" s="242" t="s">
        <v>32</v>
      </c>
      <c r="AN77" s="243" t="s">
        <v>32</v>
      </c>
      <c r="AO77" s="242">
        <v>5</v>
      </c>
      <c r="AP77" s="242">
        <v>6</v>
      </c>
      <c r="AQ77" s="243">
        <v>3</v>
      </c>
      <c r="AR77" s="244" t="s">
        <v>32</v>
      </c>
      <c r="AS77" s="243" t="s">
        <v>33</v>
      </c>
      <c r="AT77" s="248" t="s">
        <v>779</v>
      </c>
      <c r="AU77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2</v>
      </c>
      <c r="AV77" s="246" t="str">
        <f>IF(AU77&gt;9,"SuperStar",IF(AU77&gt;8,"Star",IF(AU77&gt;6.5,"GoodReg",IF(AU77&gt;5,"Reg",IF(AU77&gt;4,"Bench","Minors")))))</f>
        <v>Minors</v>
      </c>
      <c r="AW77" s="245">
        <f>AVERAGE(X77,Z77,AA77)+IF(OR(X77&gt;7,AND(X77&gt;5,AA77&gt;5)),0.5,0)+IF(Z77&gt;7,0.25,0)+IF(X77&lt;6,-0.5*(6-X77),0)</f>
        <v>2</v>
      </c>
      <c r="AX77" s="245" t="str">
        <f>IF(AW77&gt;9,"SuperStar",IF(AW77&gt;8,"Star",IF(AW77&gt;6.5,"GoodReg",IF(AW77&gt;5,"Reg",IF(AW77&gt;4,"Bench","Minors")))))</f>
        <v>Minors</v>
      </c>
      <c r="AY77" s="246">
        <f>MIN(AU77+(MAX(0,25-L77))^1.5,AW77)</f>
        <v>2</v>
      </c>
      <c r="AZ77" s="246" t="str">
        <f>IF(AY77&gt;9,"SuperStar",IF(AY77&gt;8,"Star",IF(AY77&gt;6.5,"GoodReg",IF(AY77&gt;5,"Reg",IF(AY77&gt;4,"Bench","Minors")))))</f>
        <v>Minors</v>
      </c>
      <c r="BA77" s="247">
        <f>IF(AND(OR(S77+V77&gt;12,AND(S77&gt;6,V77&gt;6)),AO77&gt;6,OR(AP77&gt;=AO77,AP77&gt;6)),1,0)</f>
        <v>0</v>
      </c>
      <c r="BB77" s="248">
        <f>IF(OR(AND(S77&gt;6,W77&gt;6),S77+V77&gt;12),1,0)</f>
        <v>0</v>
      </c>
      <c r="BC77" s="248">
        <f>IF(AND(S77&gt;6,U77&gt;6,V77&gt;6),1,0)</f>
        <v>0</v>
      </c>
      <c r="BD77" s="248">
        <f>IF(AND(U77&gt;7,OR(S77&gt;6,V77&gt;6)),1,0)</f>
        <v>0</v>
      </c>
      <c r="BE77" s="248">
        <f>IF(AND(U77&gt;6,OR(S77&gt;6,V77&gt;6)),1,0)</f>
        <v>0</v>
      </c>
      <c r="BF77" s="248">
        <f>IF(AND(OR(S77&gt;6,U77&gt;6),OR(S77&gt;6,V77&gt;6)),1,0)</f>
        <v>0</v>
      </c>
      <c r="BG77" s="248">
        <f>IF(AND(S77&gt;4,OR(S77&gt;6,U77&gt;6,V77&gt;6)),1,0)</f>
        <v>0</v>
      </c>
      <c r="BH77" s="248">
        <f>IF(AND(S77&gt;4,OR(S77&gt;6,T77&gt;6,U77&gt;6,V77&gt;6)),1,0)</f>
        <v>0</v>
      </c>
      <c r="BI77" s="243">
        <f>IF(AND(S77&gt;4,MAX(S77:W77)&gt;6),1,0)</f>
        <v>0</v>
      </c>
      <c r="BJ77" s="247">
        <f>IF(AND(OR(X77+AA77&gt;12,AND(X77&gt;6,AA77&gt;6)),AO77&gt;6,OR(AP77&gt;=AO77,AP77&gt;6)),1,0)</f>
        <v>0</v>
      </c>
      <c r="BK77" s="248">
        <f>IF(OR(AND(X77&gt;6,AB77&gt;6),X77+AA77&gt;12),1,0)</f>
        <v>0</v>
      </c>
      <c r="BL77" s="248">
        <f>IF(AND(X77&gt;6,Z77&gt;6,AA77&gt;6),1,0)</f>
        <v>0</v>
      </c>
      <c r="BM77" s="248">
        <f>IF(AND(Z77&gt;7,OR(X77&gt;6,AA77&gt;6)),1,0)</f>
        <v>0</v>
      </c>
      <c r="BN77" s="248">
        <f>IF(AND(Z77&gt;6,OR(X77&gt;6,AA77&gt;6)),1,0)</f>
        <v>0</v>
      </c>
      <c r="BO77" s="248">
        <f>IF(AND(OR(X77&gt;6,Z77&gt;6),OR(X77&gt;6,AA77&gt;6)),1,0)</f>
        <v>0</v>
      </c>
      <c r="BP77" s="248">
        <f>IF(AND(X77&gt;4,OR(X77&gt;6,Z77&gt;6,AA77&gt;6)),1,0)</f>
        <v>0</v>
      </c>
      <c r="BQ77" s="248">
        <f>IF(AND(X77&gt;4,OR(X77&gt;6,Y77&gt;6,Z77&gt;6,AA77&gt;6)),1,0)</f>
        <v>0</v>
      </c>
      <c r="BR77" s="243">
        <f>IF(AND(X77&gt;4,MAX(X77:AB77)&gt;6),1,0)</f>
        <v>0</v>
      </c>
      <c r="BS77" s="243">
        <f>IF(AVERAGE(AO77:AP77)&gt;9,1,0)+IF(AVERAGE(AO77:AP77)&gt;7,1,0)+IF(AO77&gt;7,1,0)+IF(AP77&gt;7,1,0)+IF(AQ77&gt;8,1,0)+IF(AQ77&gt;6,1,0)</f>
        <v>0</v>
      </c>
      <c r="BT77" s="249">
        <f>IF(OR(MAX(AG77,AH77,AL77,AN77)&gt;6,MAX(AI77,AJ77,AK77,AM77)&gt;7),2,IF(MAX(AG77:AN77)&gt;4,1,0))</f>
        <v>2</v>
      </c>
      <c r="BU77" s="242" t="str">
        <f>IF(AS77=1,"Yes","")</f>
        <v/>
      </c>
      <c r="BV77" s="241" t="str">
        <f>IF($B77="ML","There",IF(AND($X77&gt;=6,AVERAGE($Z77:$AA77)&gt;=6),"Likely",IF(OR($X77&gt;6,AND($X77=6,AVERAGE($Z77:$AA77)&gt;=3),AND($X77&gt;=5,AVERAGE($Z77:$AA77)&gt;=5),AVERAGE($X77,$Z77:$AA77)&gt;5),"Possible","Unlikely")))</f>
        <v>Unlikely</v>
      </c>
      <c r="BW77" s="242" t="str">
        <f>IF(OR(AND(S77&gt;=6,U77+V77&gt;=12),S77&gt;7),"Start",IF(AND(S77&gt;=5,U77+V77&gt;=8),"Bench","aack!"))</f>
        <v>aack!</v>
      </c>
      <c r="BX77" s="242" t="str">
        <f>IF(OR(AND(X77&gt;=6,Z77+AA77&gt;=12),X77&gt;7),"Start",IF(AND(X77&gt;=5,Z77+AA77&gt;=8),"Bench","aack!"))</f>
        <v>aack!</v>
      </c>
      <c r="BY77" s="242" t="str">
        <f>IF(S77&gt;5,"ML",IF(S77=5,"AAA",IF(S77=4,"AA",IF(S77=3,"A","SS-A"))))</f>
        <v>AA</v>
      </c>
      <c r="BZ77" s="242">
        <f>S77-X77</f>
        <v>0</v>
      </c>
      <c r="CA77" s="242">
        <f>T77-Y77</f>
        <v>0</v>
      </c>
      <c r="CB77" s="242">
        <f>U77-Z77</f>
        <v>0</v>
      </c>
      <c r="CC77" s="242">
        <f>V77-AA77</f>
        <v>0</v>
      </c>
      <c r="CD77" s="242">
        <f>W77-AB77</f>
        <v>0</v>
      </c>
      <c r="CE77" s="242">
        <f>SUM(BZ77:CD77)</f>
        <v>0</v>
      </c>
      <c r="CF77" s="242">
        <f>X77+Z77+AA77</f>
        <v>9</v>
      </c>
      <c r="CG77" s="242">
        <f>X77+Z77</f>
        <v>6</v>
      </c>
      <c r="CH77" s="242">
        <f>X77+AA77</f>
        <v>7</v>
      </c>
      <c r="CI77" s="242" t="str">
        <f>IF(L77&gt;24,"Now - Age",IF(S77&gt;6,"Now",IF(X77&lt;6,"With Dev",MIN(X77-S77,7-S77))))</f>
        <v>With Dev</v>
      </c>
      <c r="CJ77" s="257" t="str">
        <f>IF(AG77&lt;&gt;"-","X","")</f>
        <v/>
      </c>
      <c r="CK77" s="257" t="str">
        <f>IF(AND(AH77&lt;&gt;"-",AH77&gt;5),"X","")</f>
        <v>X</v>
      </c>
      <c r="CL77" s="257" t="str">
        <f>IF(AND(AI77&lt;&gt;"-",AI77&gt;5),"X","")</f>
        <v/>
      </c>
      <c r="CM77" s="257" t="str">
        <f>IF(AND(AJ77&lt;&gt;"-",AJ77&gt;4,AC77&gt;6),"X","")</f>
        <v>X</v>
      </c>
      <c r="CN77" s="257" t="str">
        <f>IF(AND(AK77&lt;&gt;"-",AK77&gt;5,AC77&gt;5),"X","")</f>
        <v/>
      </c>
      <c r="CO77" s="257" t="str">
        <f>IF(AND(AL77&lt;&gt;"-",AL77&gt;3),"X","")</f>
        <v/>
      </c>
      <c r="CP77" s="257" t="str">
        <f>IF(AND(AM77&lt;&gt;"-",AM77&gt;6),"X","")</f>
        <v/>
      </c>
      <c r="CQ77" s="257" t="str">
        <f>IF(AND(AN77&lt;&gt;"-",AN77&gt;5,AD77&gt;6),"X","")</f>
        <v/>
      </c>
      <c r="CR77" s="257" t="str">
        <f>IF(COUNTBLANK(CJ77:CQ77)=8,"X","")</f>
        <v/>
      </c>
    </row>
    <row r="78" spans="1:96" s="306" customFormat="1" x14ac:dyDescent="0.25">
      <c r="A78" s="240" t="str">
        <f>H78&amp;" "&amp;I78</f>
        <v>Connor MacMarquis</v>
      </c>
      <c r="B78" s="240" t="str">
        <f>IF(ISERROR(VLOOKUP(A78,AMA!$C$3:$C$24,1,FALSE)),IF(ISERROR(VLOOKUP(A78,'END-AAA'!$C$6:$C$33,1,FALSE)),IF(ISERROR(VLOOKUP(A78,'DB-AA'!$C$6:$C$33,1,FALSE)),IF(ISERROR(VLOOKUP(A78,'UTR-A'!$C$6:$C$33,1,FALSE)),IF(ISERROR(VLOOKUP(A78,'FAI-S A'!$C$6:$C$33,1,FALSE)),"","S A"),"A"),"AA"),"AAA"),"ML")</f>
        <v/>
      </c>
      <c r="C78" s="241"/>
      <c r="D78" s="242" t="str">
        <f>IF(BL78=1,3,IF(BM78=1,4,IF(BJ78=1,1,IF(BN78=1,5,IF(BK78=1,2,IF(BO78=1,6,IF(BP78=1,7,IF(BQ78=1,8,IF(BR78=1,9,"-")))))))))</f>
        <v>-</v>
      </c>
      <c r="E78" s="242" t="str">
        <f>IF(BC78=1,3,IF(BD78=1,4,IF(BA78=1,1,IF(BE78=1,5,IF(BB78=1,2,IF(BF78=1,6,IF(BG78=1,7,IF(BH78=1,8,IF(BI78=1,9,"-")))))))))</f>
        <v>-</v>
      </c>
      <c r="F78" s="242" t="str">
        <f>IF(OR(OR(Q78="Very High",Q78="High"),AND(OR(Q78="Very High",Q78="High",Q78="Normal"),OR(R78="Very High",R78="High"))),"K","T")</f>
        <v>T</v>
      </c>
      <c r="G78" s="242" t="s">
        <v>77</v>
      </c>
      <c r="H78" s="242" t="s">
        <v>877</v>
      </c>
      <c r="I78" s="242" t="s">
        <v>878</v>
      </c>
      <c r="J78" s="242" t="s">
        <v>810</v>
      </c>
      <c r="K78" s="242" t="s">
        <v>83</v>
      </c>
      <c r="L78" s="242">
        <v>20</v>
      </c>
      <c r="M78" s="242" t="s">
        <v>82</v>
      </c>
      <c r="N78" s="242" t="s">
        <v>82</v>
      </c>
      <c r="O78" s="242" t="s">
        <v>816</v>
      </c>
      <c r="P78" s="243" t="s">
        <v>773</v>
      </c>
      <c r="Q78" s="242" t="s">
        <v>201</v>
      </c>
      <c r="R78" s="243" t="s">
        <v>200</v>
      </c>
      <c r="S78" s="242">
        <v>3</v>
      </c>
      <c r="T78" s="242">
        <v>4</v>
      </c>
      <c r="U78" s="242">
        <v>3</v>
      </c>
      <c r="V78" s="242">
        <v>4</v>
      </c>
      <c r="W78" s="243">
        <v>1</v>
      </c>
      <c r="X78" s="242">
        <v>5</v>
      </c>
      <c r="Y78" s="242">
        <v>5</v>
      </c>
      <c r="Z78" s="242">
        <v>5</v>
      </c>
      <c r="AA78" s="242">
        <v>5</v>
      </c>
      <c r="AB78" s="243">
        <v>4</v>
      </c>
      <c r="AC78" s="242">
        <v>2</v>
      </c>
      <c r="AD78" s="242">
        <v>4</v>
      </c>
      <c r="AE78" s="242">
        <v>1</v>
      </c>
      <c r="AF78" s="242" t="s">
        <v>32</v>
      </c>
      <c r="AG78" s="242" t="s">
        <v>32</v>
      </c>
      <c r="AH78" s="242">
        <v>1</v>
      </c>
      <c r="AI78" s="242" t="s">
        <v>32</v>
      </c>
      <c r="AJ78" s="242" t="s">
        <v>32</v>
      </c>
      <c r="AK78" s="242" t="s">
        <v>32</v>
      </c>
      <c r="AL78" s="242">
        <v>3</v>
      </c>
      <c r="AM78" s="242" t="s">
        <v>32</v>
      </c>
      <c r="AN78" s="243" t="s">
        <v>32</v>
      </c>
      <c r="AO78" s="242">
        <v>4</v>
      </c>
      <c r="AP78" s="242">
        <v>4</v>
      </c>
      <c r="AQ78" s="243">
        <v>4</v>
      </c>
      <c r="AR78" s="244" t="s">
        <v>32</v>
      </c>
      <c r="AS78" s="243" t="s">
        <v>33</v>
      </c>
      <c r="AT78" s="248" t="s">
        <v>779</v>
      </c>
      <c r="AU78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1.8333333333333335</v>
      </c>
      <c r="AV78" s="246" t="str">
        <f>IF(AU78&gt;9,"SuperStar",IF(AU78&gt;8,"Star",IF(AU78&gt;6.5,"GoodReg",IF(AU78&gt;5,"Reg",IF(AU78&gt;4,"Bench","Minors")))))</f>
        <v>Minors</v>
      </c>
      <c r="AW78" s="245">
        <f>AVERAGE(X78,Z78,AA78)+IF(OR(X78&gt;7,AND(X78&gt;5,AA78&gt;5)),0.5,0)+IF(Z78&gt;7,0.25,0)+IF(X78&lt;6,-0.5*(6-X78),0)</f>
        <v>4.5</v>
      </c>
      <c r="AX78" s="245" t="str">
        <f>IF(AW78&gt;9,"SuperStar",IF(AW78&gt;8,"Star",IF(AW78&gt;6.5,"GoodReg",IF(AW78&gt;5,"Reg",IF(AW78&gt;4,"Bench","Minors")))))</f>
        <v>Bench</v>
      </c>
      <c r="AY78" s="246">
        <f>MIN(AU78+(MAX(0,25-L78))^1.5,AW78)</f>
        <v>4.5</v>
      </c>
      <c r="AZ78" s="246" t="str">
        <f>IF(AY78&gt;9,"SuperStar",IF(AY78&gt;8,"Star",IF(AY78&gt;6.5,"GoodReg",IF(AY78&gt;5,"Reg",IF(AY78&gt;4,"Bench","Minors")))))</f>
        <v>Bench</v>
      </c>
      <c r="BA78" s="247">
        <f>IF(AND(OR(S78+V78&gt;12,AND(S78&gt;6,V78&gt;6)),AO78&gt;6,OR(AP78&gt;=AO78,AP78&gt;6)),1,0)</f>
        <v>0</v>
      </c>
      <c r="BB78" s="248">
        <f>IF(OR(AND(S78&gt;6,W78&gt;6),S78+V78&gt;12),1,0)</f>
        <v>0</v>
      </c>
      <c r="BC78" s="248">
        <f>IF(AND(S78&gt;6,U78&gt;6,V78&gt;6),1,0)</f>
        <v>0</v>
      </c>
      <c r="BD78" s="248">
        <f>IF(AND(U78&gt;7,OR(S78&gt;6,V78&gt;6)),1,0)</f>
        <v>0</v>
      </c>
      <c r="BE78" s="248">
        <f>IF(AND(U78&gt;6,OR(S78&gt;6,V78&gt;6)),1,0)</f>
        <v>0</v>
      </c>
      <c r="BF78" s="248">
        <f>IF(AND(OR(S78&gt;6,U78&gt;6),OR(S78&gt;6,V78&gt;6)),1,0)</f>
        <v>0</v>
      </c>
      <c r="BG78" s="248">
        <f>IF(AND(S78&gt;4,OR(S78&gt;6,U78&gt;6,V78&gt;6)),1,0)</f>
        <v>0</v>
      </c>
      <c r="BH78" s="248">
        <f>IF(AND(S78&gt;4,OR(S78&gt;6,T78&gt;6,U78&gt;6,V78&gt;6)),1,0)</f>
        <v>0</v>
      </c>
      <c r="BI78" s="243">
        <f>IF(AND(S78&gt;4,MAX(S78:W78)&gt;6),1,0)</f>
        <v>0</v>
      </c>
      <c r="BJ78" s="247">
        <f>IF(AND(OR(X78+AA78&gt;12,AND(X78&gt;6,AA78&gt;6)),AO78&gt;6,OR(AP78&gt;=AO78,AP78&gt;6)),1,0)</f>
        <v>0</v>
      </c>
      <c r="BK78" s="248">
        <f>IF(OR(AND(X78&gt;6,AB78&gt;6),X78+AA78&gt;12),1,0)</f>
        <v>0</v>
      </c>
      <c r="BL78" s="248">
        <f>IF(AND(X78&gt;6,Z78&gt;6,AA78&gt;6),1,0)</f>
        <v>0</v>
      </c>
      <c r="BM78" s="248">
        <f>IF(AND(Z78&gt;7,OR(X78&gt;6,AA78&gt;6)),1,0)</f>
        <v>0</v>
      </c>
      <c r="BN78" s="248">
        <f>IF(AND(Z78&gt;6,OR(X78&gt;6,AA78&gt;6)),1,0)</f>
        <v>0</v>
      </c>
      <c r="BO78" s="248">
        <f>IF(AND(OR(X78&gt;6,Z78&gt;6),OR(X78&gt;6,AA78&gt;6)),1,0)</f>
        <v>0</v>
      </c>
      <c r="BP78" s="248">
        <f>IF(AND(X78&gt;4,OR(X78&gt;6,Z78&gt;6,AA78&gt;6)),1,0)</f>
        <v>0</v>
      </c>
      <c r="BQ78" s="248">
        <f>IF(AND(X78&gt;4,OR(X78&gt;6,Y78&gt;6,Z78&gt;6,AA78&gt;6)),1,0)</f>
        <v>0</v>
      </c>
      <c r="BR78" s="243">
        <f>IF(AND(X78&gt;4,MAX(X78:AB78)&gt;6),1,0)</f>
        <v>0</v>
      </c>
      <c r="BS78" s="243">
        <f>IF(AVERAGE(AO78:AP78)&gt;9,1,0)+IF(AVERAGE(AO78:AP78)&gt;7,1,0)+IF(AO78&gt;7,1,0)+IF(AP78&gt;7,1,0)+IF(AQ78&gt;8,1,0)+IF(AQ78&gt;6,1,0)</f>
        <v>0</v>
      </c>
      <c r="BT78" s="249">
        <f>IF(OR(MAX(AG78,AH78,AL78,AN78)&gt;6,MAX(AI78,AJ78,AK78,AM78)&gt;7),2,IF(MAX(AG78:AN78)&gt;4,1,0))</f>
        <v>0</v>
      </c>
      <c r="BU78" s="242" t="str">
        <f>IF(AS78=1,"Yes","")</f>
        <v/>
      </c>
      <c r="BV78" s="241" t="str">
        <f>IF($B78="ML","There",IF(AND($X78&gt;=6,AVERAGE($Z78:$AA78)&gt;=6),"Likely",IF(OR($X78&gt;6,AND($X78=6,AVERAGE($Z78:$AA78)&gt;=3),AND($X78&gt;=5,AVERAGE($Z78:$AA78)&gt;=5),AVERAGE($X78,$Z78:$AA78)&gt;5),"Possible","Unlikely")))</f>
        <v>Possible</v>
      </c>
      <c r="BW78" s="242" t="str">
        <f>IF(OR(AND(S78&gt;=6,U78+V78&gt;=12),S78&gt;7),"Start",IF(AND(S78&gt;=5,U78+V78&gt;=8),"Bench","aack!"))</f>
        <v>aack!</v>
      </c>
      <c r="BX78" s="242" t="str">
        <f>IF(OR(AND(X78&gt;=6,Z78+AA78&gt;=12),X78&gt;7),"Start",IF(AND(X78&gt;=5,Z78+AA78&gt;=8),"Bench","aack!"))</f>
        <v>Bench</v>
      </c>
      <c r="BY78" s="242" t="str">
        <f>IF(S78&gt;5,"ML",IF(S78=5,"AAA",IF(S78=4,"AA",IF(S78=3,"A","SS-A"))))</f>
        <v>A</v>
      </c>
      <c r="BZ78" s="242">
        <f>S78-X78</f>
        <v>-2</v>
      </c>
      <c r="CA78" s="242">
        <f>T78-Y78</f>
        <v>-1</v>
      </c>
      <c r="CB78" s="242">
        <f>U78-Z78</f>
        <v>-2</v>
      </c>
      <c r="CC78" s="242">
        <f>V78-AA78</f>
        <v>-1</v>
      </c>
      <c r="CD78" s="242">
        <f>W78-AB78</f>
        <v>-3</v>
      </c>
      <c r="CE78" s="242">
        <f>SUM(BZ78:CD78)</f>
        <v>-9</v>
      </c>
      <c r="CF78" s="242">
        <f>X78+Z78+AA78</f>
        <v>15</v>
      </c>
      <c r="CG78" s="242">
        <f>X78+Z78</f>
        <v>10</v>
      </c>
      <c r="CH78" s="242">
        <f>X78+AA78</f>
        <v>10</v>
      </c>
      <c r="CI78" s="242" t="str">
        <f>IF(L78&gt;24,"Now - Age",IF(S78&gt;6,"Now",IF(X78&lt;6,"With Dev",MIN(X78-S78,7-S78))))</f>
        <v>With Dev</v>
      </c>
      <c r="CJ78" s="257" t="str">
        <f>IF(AG78&lt;&gt;"-","X","")</f>
        <v/>
      </c>
      <c r="CK78" s="257" t="str">
        <f>IF(AND(AH78&lt;&gt;"-",AH78&gt;5),"X","")</f>
        <v/>
      </c>
      <c r="CL78" s="257" t="str">
        <f>IF(AND(AI78&lt;&gt;"-",AI78&gt;5),"X","")</f>
        <v/>
      </c>
      <c r="CM78" s="257" t="str">
        <f>IF(AND(AJ78&lt;&gt;"-",AJ78&gt;4,AC78&gt;6),"X","")</f>
        <v/>
      </c>
      <c r="CN78" s="257" t="str">
        <f>IF(AND(AK78&lt;&gt;"-",AK78&gt;5,AC78&gt;5),"X","")</f>
        <v/>
      </c>
      <c r="CO78" s="257" t="str">
        <f>IF(AND(AL78&lt;&gt;"-",AL78&gt;3),"X","")</f>
        <v/>
      </c>
      <c r="CP78" s="257" t="str">
        <f>IF(AND(AM78&lt;&gt;"-",AM78&gt;6),"X","")</f>
        <v/>
      </c>
      <c r="CQ78" s="257" t="str">
        <f>IF(AND(AN78&lt;&gt;"-",AN78&gt;5,AD78&gt;6),"X","")</f>
        <v/>
      </c>
      <c r="CR78" s="257" t="str">
        <f>IF(COUNTBLANK(CJ78:CQ78)=8,"X","")</f>
        <v>X</v>
      </c>
    </row>
    <row r="79" spans="1:96" s="306" customFormat="1" x14ac:dyDescent="0.25">
      <c r="A79" s="240" t="str">
        <f>H79&amp;" "&amp;I79</f>
        <v>Dennie Kruit</v>
      </c>
      <c r="B79" s="240" t="str">
        <f>IF(ISERROR(VLOOKUP(A79,AMA!$C$3:$C$24,1,FALSE)),IF(ISERROR(VLOOKUP(A79,'END-AAA'!$C$6:$C$33,1,FALSE)),IF(ISERROR(VLOOKUP(A79,'DB-AA'!$C$6:$C$33,1,FALSE)),IF(ISERROR(VLOOKUP(A79,'UTR-A'!$C$6:$C$33,1,FALSE)),IF(ISERROR(VLOOKUP(A79,'FAI-S A'!$C$6:$C$33,1,FALSE)),"","S A"),"A"),"AA"),"AAA"),"ML")</f>
        <v/>
      </c>
      <c r="C79" s="241"/>
      <c r="D79" s="242" t="str">
        <f>IF(BL79=1,3,IF(BM79=1,4,IF(BJ79=1,1,IF(BN79=1,5,IF(BK79=1,2,IF(BO79=1,6,IF(BP79=1,7,IF(BQ79=1,8,IF(BR79=1,9,"-")))))))))</f>
        <v>-</v>
      </c>
      <c r="E79" s="242" t="str">
        <f>IF(BC79=1,3,IF(BD79=1,4,IF(BA79=1,1,IF(BE79=1,5,IF(BB79=1,2,IF(BF79=1,6,IF(BG79=1,7,IF(BH79=1,8,IF(BI79=1,9,"-")))))))))</f>
        <v>-</v>
      </c>
      <c r="F79" s="242" t="str">
        <f>IF(OR(OR(Q79="Very High",Q79="High"),AND(OR(Q79="Very High",Q79="High",Q79="Normal"),OR(R79="Very High",R79="High"))),"K","T")</f>
        <v>K</v>
      </c>
      <c r="G79" s="242" t="s">
        <v>78</v>
      </c>
      <c r="H79" s="242" t="s">
        <v>850</v>
      </c>
      <c r="I79" s="242" t="s">
        <v>851</v>
      </c>
      <c r="J79" s="242" t="s">
        <v>814</v>
      </c>
      <c r="K79" s="242" t="s">
        <v>187</v>
      </c>
      <c r="L79" s="242">
        <v>23</v>
      </c>
      <c r="M79" s="242" t="s">
        <v>82</v>
      </c>
      <c r="N79" s="242" t="s">
        <v>82</v>
      </c>
      <c r="O79" s="242" t="s">
        <v>808</v>
      </c>
      <c r="P79" s="243" t="s">
        <v>808</v>
      </c>
      <c r="Q79" s="242" t="s">
        <v>199</v>
      </c>
      <c r="R79" s="243" t="s">
        <v>199</v>
      </c>
      <c r="S79" s="242">
        <v>4</v>
      </c>
      <c r="T79" s="242">
        <v>4</v>
      </c>
      <c r="U79" s="242">
        <v>2</v>
      </c>
      <c r="V79" s="242">
        <v>2</v>
      </c>
      <c r="W79" s="243">
        <v>5</v>
      </c>
      <c r="X79" s="242">
        <v>4</v>
      </c>
      <c r="Y79" s="242">
        <v>4</v>
      </c>
      <c r="Z79" s="242">
        <v>2</v>
      </c>
      <c r="AA79" s="242">
        <v>4</v>
      </c>
      <c r="AB79" s="243">
        <v>6</v>
      </c>
      <c r="AC79" s="242">
        <v>5</v>
      </c>
      <c r="AD79" s="242">
        <v>7</v>
      </c>
      <c r="AE79" s="242">
        <v>1</v>
      </c>
      <c r="AF79" s="242" t="s">
        <v>32</v>
      </c>
      <c r="AG79" s="242" t="s">
        <v>32</v>
      </c>
      <c r="AH79" s="242" t="s">
        <v>32</v>
      </c>
      <c r="AI79" s="242" t="s">
        <v>32</v>
      </c>
      <c r="AJ79" s="242" t="s">
        <v>32</v>
      </c>
      <c r="AK79" s="242" t="s">
        <v>32</v>
      </c>
      <c r="AL79" s="242">
        <v>9</v>
      </c>
      <c r="AM79" s="242">
        <v>5</v>
      </c>
      <c r="AN79" s="243" t="s">
        <v>32</v>
      </c>
      <c r="AO79" s="242">
        <v>10</v>
      </c>
      <c r="AP79" s="242">
        <v>10</v>
      </c>
      <c r="AQ79" s="243">
        <v>10</v>
      </c>
      <c r="AR79" s="244" t="s">
        <v>32</v>
      </c>
      <c r="AS79" s="243" t="s">
        <v>33</v>
      </c>
      <c r="AT79" s="248" t="s">
        <v>199</v>
      </c>
      <c r="AU79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1.6666666666666665</v>
      </c>
      <c r="AV79" s="246" t="str">
        <f>IF(AU79&gt;9,"SuperStar",IF(AU79&gt;8,"Star",IF(AU79&gt;6.5,"GoodReg",IF(AU79&gt;5,"Reg",IF(AU79&gt;4,"Bench","Minors")))))</f>
        <v>Minors</v>
      </c>
      <c r="AW79" s="245">
        <f>AVERAGE(X79,Z79,AA79)+IF(OR(X79&gt;7,AND(X79&gt;5,AA79&gt;5)),0.5,0)+IF(Z79&gt;7,0.25,0)+IF(X79&lt;6,-0.5*(6-X79),0)</f>
        <v>2.3333333333333335</v>
      </c>
      <c r="AX79" s="245" t="str">
        <f>IF(AW79&gt;9,"SuperStar",IF(AW79&gt;8,"Star",IF(AW79&gt;6.5,"GoodReg",IF(AW79&gt;5,"Reg",IF(AW79&gt;4,"Bench","Minors")))))</f>
        <v>Minors</v>
      </c>
      <c r="AY79" s="246">
        <f>MIN(AU79+(MAX(0,25-L79))^1.5,AW79)</f>
        <v>2.3333333333333335</v>
      </c>
      <c r="AZ79" s="246" t="str">
        <f>IF(AY79&gt;9,"SuperStar",IF(AY79&gt;8,"Star",IF(AY79&gt;6.5,"GoodReg",IF(AY79&gt;5,"Reg",IF(AY79&gt;4,"Bench","Minors")))))</f>
        <v>Minors</v>
      </c>
      <c r="BA79" s="247">
        <f>IF(AND(OR(S79+V79&gt;12,AND(S79&gt;6,V79&gt;6)),AO79&gt;6,OR(AP79&gt;=AO79,AP79&gt;6)),1,0)</f>
        <v>0</v>
      </c>
      <c r="BB79" s="248">
        <f>IF(OR(AND(S79&gt;6,W79&gt;6),S79+V79&gt;12),1,0)</f>
        <v>0</v>
      </c>
      <c r="BC79" s="248">
        <f>IF(AND(S79&gt;6,U79&gt;6,V79&gt;6),1,0)</f>
        <v>0</v>
      </c>
      <c r="BD79" s="248">
        <f>IF(AND(U79&gt;7,OR(S79&gt;6,V79&gt;6)),1,0)</f>
        <v>0</v>
      </c>
      <c r="BE79" s="248">
        <f>IF(AND(U79&gt;6,OR(S79&gt;6,V79&gt;6)),1,0)</f>
        <v>0</v>
      </c>
      <c r="BF79" s="248">
        <f>IF(AND(OR(S79&gt;6,U79&gt;6),OR(S79&gt;6,V79&gt;6)),1,0)</f>
        <v>0</v>
      </c>
      <c r="BG79" s="248">
        <f>IF(AND(S79&gt;4,OR(S79&gt;6,U79&gt;6,V79&gt;6)),1,0)</f>
        <v>0</v>
      </c>
      <c r="BH79" s="248">
        <f>IF(AND(S79&gt;4,OR(S79&gt;6,T79&gt;6,U79&gt;6,V79&gt;6)),1,0)</f>
        <v>0</v>
      </c>
      <c r="BI79" s="243">
        <f>IF(AND(S79&gt;4,MAX(S79:W79)&gt;6),1,0)</f>
        <v>0</v>
      </c>
      <c r="BJ79" s="247">
        <f>IF(AND(OR(X79+AA79&gt;12,AND(X79&gt;6,AA79&gt;6)),AO79&gt;6,OR(AP79&gt;=AO79,AP79&gt;6)),1,0)</f>
        <v>0</v>
      </c>
      <c r="BK79" s="248">
        <f>IF(OR(AND(X79&gt;6,AB79&gt;6),X79+AA79&gt;12),1,0)</f>
        <v>0</v>
      </c>
      <c r="BL79" s="248">
        <f>IF(AND(X79&gt;6,Z79&gt;6,AA79&gt;6),1,0)</f>
        <v>0</v>
      </c>
      <c r="BM79" s="248">
        <f>IF(AND(Z79&gt;7,OR(X79&gt;6,AA79&gt;6)),1,0)</f>
        <v>0</v>
      </c>
      <c r="BN79" s="248">
        <f>IF(AND(Z79&gt;6,OR(X79&gt;6,AA79&gt;6)),1,0)</f>
        <v>0</v>
      </c>
      <c r="BO79" s="248">
        <f>IF(AND(OR(X79&gt;6,Z79&gt;6),OR(X79&gt;6,AA79&gt;6)),1,0)</f>
        <v>0</v>
      </c>
      <c r="BP79" s="248">
        <f>IF(AND(X79&gt;4,OR(X79&gt;6,Z79&gt;6,AA79&gt;6)),1,0)</f>
        <v>0</v>
      </c>
      <c r="BQ79" s="248">
        <f>IF(AND(X79&gt;4,OR(X79&gt;6,Y79&gt;6,Z79&gt;6,AA79&gt;6)),1,0)</f>
        <v>0</v>
      </c>
      <c r="BR79" s="243">
        <f>IF(AND(X79&gt;4,MAX(X79:AB79)&gt;6),1,0)</f>
        <v>0</v>
      </c>
      <c r="BS79" s="243">
        <f>IF(AVERAGE(AO79:AP79)&gt;9,1,0)+IF(AVERAGE(AO79:AP79)&gt;7,1,0)+IF(AO79&gt;7,1,0)+IF(AP79&gt;7,1,0)+IF(AQ79&gt;8,1,0)+IF(AQ79&gt;6,1,0)</f>
        <v>6</v>
      </c>
      <c r="BT79" s="249">
        <f>IF(OR(MAX(AG79,AH79,AL79,AN79)&gt;6,MAX(AI79,AJ79,AK79,AM79)&gt;7),2,IF(MAX(AG79:AN79)&gt;4,1,0))</f>
        <v>2</v>
      </c>
      <c r="BU79" s="242" t="str">
        <f>IF(AS79=1,"Yes","")</f>
        <v/>
      </c>
      <c r="BV79" s="241" t="str">
        <f>IF($B79="ML","There",IF(AND($X79&gt;=6,AVERAGE($Z79:$AA79)&gt;=6),"Likely",IF(OR($X79&gt;6,AND($X79=6,AVERAGE($Z79:$AA79)&gt;=3),AND($X79&gt;=5,AVERAGE($Z79:$AA79)&gt;=5),AVERAGE($X79,$Z79:$AA79)&gt;5),"Possible","Unlikely")))</f>
        <v>Unlikely</v>
      </c>
      <c r="BW79" s="242" t="str">
        <f>IF(OR(AND(S79&gt;=6,U79+V79&gt;=12),S79&gt;7),"Start",IF(AND(S79&gt;=5,U79+V79&gt;=8),"Bench","aack!"))</f>
        <v>aack!</v>
      </c>
      <c r="BX79" s="242" t="str">
        <f>IF(OR(AND(X79&gt;=6,Z79+AA79&gt;=12),X79&gt;7),"Start",IF(AND(X79&gt;=5,Z79+AA79&gt;=8),"Bench","aack!"))</f>
        <v>aack!</v>
      </c>
      <c r="BY79" s="242" t="str">
        <f>IF(S79&gt;5,"ML",IF(S79=5,"AAA",IF(S79=4,"AA",IF(S79=3,"A","SS-A"))))</f>
        <v>AA</v>
      </c>
      <c r="BZ79" s="242">
        <f>S79-X79</f>
        <v>0</v>
      </c>
      <c r="CA79" s="242">
        <f>T79-Y79</f>
        <v>0</v>
      </c>
      <c r="CB79" s="242">
        <f>U79-Z79</f>
        <v>0</v>
      </c>
      <c r="CC79" s="242">
        <f>V79-AA79</f>
        <v>-2</v>
      </c>
      <c r="CD79" s="242">
        <f>W79-AB79</f>
        <v>-1</v>
      </c>
      <c r="CE79" s="242">
        <f>SUM(BZ79:CD79)</f>
        <v>-3</v>
      </c>
      <c r="CF79" s="242">
        <f>X79+Z79+AA79</f>
        <v>10</v>
      </c>
      <c r="CG79" s="242">
        <f>X79+Z79</f>
        <v>6</v>
      </c>
      <c r="CH79" s="242">
        <f>X79+AA79</f>
        <v>8</v>
      </c>
      <c r="CI79" s="242" t="str">
        <f>IF(L79&gt;24,"Now - Age",IF(S79&gt;6,"Now",IF(X79&lt;6,"With Dev",MIN(X79-S79,7-S79))))</f>
        <v>With Dev</v>
      </c>
      <c r="CJ79" s="257" t="str">
        <f>IF(AG79&lt;&gt;"-","X","")</f>
        <v/>
      </c>
      <c r="CK79" s="257" t="str">
        <f>IF(AND(AH79&lt;&gt;"-",AH79&gt;5),"X","")</f>
        <v/>
      </c>
      <c r="CL79" s="257" t="str">
        <f>IF(AND(AI79&lt;&gt;"-",AI79&gt;5),"X","")</f>
        <v/>
      </c>
      <c r="CM79" s="257" t="str">
        <f>IF(AND(AJ79&lt;&gt;"-",AJ79&gt;4,AC79&gt;6),"X","")</f>
        <v/>
      </c>
      <c r="CN79" s="257" t="str">
        <f>IF(AND(AK79&lt;&gt;"-",AK79&gt;5,AC79&gt;5),"X","")</f>
        <v/>
      </c>
      <c r="CO79" s="257" t="str">
        <f>IF(AND(AL79&lt;&gt;"-",AL79&gt;3),"X","")</f>
        <v>X</v>
      </c>
      <c r="CP79" s="257" t="str">
        <f>IF(AND(AM79&lt;&gt;"-",AM79&gt;6),"X","")</f>
        <v/>
      </c>
      <c r="CQ79" s="257" t="str">
        <f>IF(AND(AN79&lt;&gt;"-",AN79&gt;5,AD79&gt;6),"X","")</f>
        <v/>
      </c>
      <c r="CR79" s="257" t="str">
        <f>IF(COUNTBLANK(CJ79:CQ79)=8,"X","")</f>
        <v/>
      </c>
    </row>
    <row r="80" spans="1:96" s="306" customFormat="1" x14ac:dyDescent="0.25">
      <c r="A80" s="240" t="str">
        <f>H80&amp;" "&amp;I80</f>
        <v>Jorge Flores</v>
      </c>
      <c r="B80" s="240" t="str">
        <f>IF(ISERROR(VLOOKUP(A80,AMA!$C$3:$C$24,1,FALSE)),IF(ISERROR(VLOOKUP(A80,'END-AAA'!$C$6:$C$33,1,FALSE)),IF(ISERROR(VLOOKUP(A80,'DB-AA'!$C$6:$C$33,1,FALSE)),IF(ISERROR(VLOOKUP(A80,'UTR-A'!$C$6:$C$33,1,FALSE)),IF(ISERROR(VLOOKUP(A80,'FAI-S A'!$C$6:$C$33,1,FALSE)),"","S A"),"A"),"AA"),"AAA"),"ML")</f>
        <v/>
      </c>
      <c r="C80" s="241"/>
      <c r="D80" s="242" t="str">
        <f>IF(BL80=1,3,IF(BM80=1,4,IF(BJ80=1,1,IF(BN80=1,5,IF(BK80=1,2,IF(BO80=1,6,IF(BP80=1,7,IF(BQ80=1,8,IF(BR80=1,9,"-")))))))))</f>
        <v>-</v>
      </c>
      <c r="E80" s="242" t="str">
        <f>IF(BC80=1,3,IF(BD80=1,4,IF(BA80=1,1,IF(BE80=1,5,IF(BB80=1,2,IF(BF80=1,6,IF(BG80=1,7,IF(BH80=1,8,IF(BI80=1,9,"-")))))))))</f>
        <v>-</v>
      </c>
      <c r="F80" s="242" t="str">
        <f>IF(OR(OR(Q80="Very High",Q80="High"),AND(OR(Q80="Very High",Q80="High",Q80="Normal"),OR(R80="Very High",R80="High"))),"K","T")</f>
        <v>T</v>
      </c>
      <c r="G80" s="242" t="s">
        <v>76</v>
      </c>
      <c r="H80" s="242" t="s">
        <v>445</v>
      </c>
      <c r="I80" s="242" t="s">
        <v>469</v>
      </c>
      <c r="J80" s="242" t="s">
        <v>802</v>
      </c>
      <c r="K80" s="242" t="s">
        <v>277</v>
      </c>
      <c r="L80" s="242">
        <v>23</v>
      </c>
      <c r="M80" s="242" t="s">
        <v>83</v>
      </c>
      <c r="N80" s="242" t="s">
        <v>83</v>
      </c>
      <c r="O80" s="242" t="s">
        <v>808</v>
      </c>
      <c r="P80" s="243" t="s">
        <v>773</v>
      </c>
      <c r="Q80" s="242" t="s">
        <v>201</v>
      </c>
      <c r="R80" s="243" t="s">
        <v>200</v>
      </c>
      <c r="S80" s="242">
        <v>4</v>
      </c>
      <c r="T80" s="242">
        <v>5</v>
      </c>
      <c r="U80" s="242">
        <v>2</v>
      </c>
      <c r="V80" s="242">
        <v>2</v>
      </c>
      <c r="W80" s="243">
        <v>5</v>
      </c>
      <c r="X80" s="242">
        <v>4</v>
      </c>
      <c r="Y80" s="242">
        <v>5</v>
      </c>
      <c r="Z80" s="242">
        <v>2</v>
      </c>
      <c r="AA80" s="242">
        <v>3</v>
      </c>
      <c r="AB80" s="243">
        <v>5</v>
      </c>
      <c r="AC80" s="242">
        <v>7</v>
      </c>
      <c r="AD80" s="242">
        <v>6</v>
      </c>
      <c r="AE80" s="242">
        <v>1</v>
      </c>
      <c r="AF80" s="242" t="s">
        <v>32</v>
      </c>
      <c r="AG80" s="242" t="s">
        <v>32</v>
      </c>
      <c r="AH80" s="242">
        <v>1</v>
      </c>
      <c r="AI80" s="242">
        <v>3</v>
      </c>
      <c r="AJ80" s="242" t="s">
        <v>32</v>
      </c>
      <c r="AK80" s="242">
        <v>8</v>
      </c>
      <c r="AL80" s="242" t="s">
        <v>32</v>
      </c>
      <c r="AM80" s="242" t="s">
        <v>32</v>
      </c>
      <c r="AN80" s="243" t="s">
        <v>32</v>
      </c>
      <c r="AO80" s="242">
        <v>5</v>
      </c>
      <c r="AP80" s="242">
        <v>7</v>
      </c>
      <c r="AQ80" s="243">
        <v>6</v>
      </c>
      <c r="AR80" s="244" t="s">
        <v>32</v>
      </c>
      <c r="AS80" s="243">
        <v>0</v>
      </c>
      <c r="AT80" s="248" t="s">
        <v>199</v>
      </c>
      <c r="AU80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1.6666666666666665</v>
      </c>
      <c r="AV80" s="246" t="str">
        <f>IF(AU80&gt;9,"SuperStar",IF(AU80&gt;8,"Star",IF(AU80&gt;6.5,"GoodReg",IF(AU80&gt;5,"Reg",IF(AU80&gt;4,"Bench","Minors")))))</f>
        <v>Minors</v>
      </c>
      <c r="AW80" s="245">
        <f>AVERAGE(X80,Z80,AA80)+IF(OR(X80&gt;7,AND(X80&gt;5,AA80&gt;5)),0.5,0)+IF(Z80&gt;7,0.25,0)+IF(X80&lt;6,-0.5*(6-X80),0)</f>
        <v>2</v>
      </c>
      <c r="AX80" s="245" t="str">
        <f>IF(AW80&gt;9,"SuperStar",IF(AW80&gt;8,"Star",IF(AW80&gt;6.5,"GoodReg",IF(AW80&gt;5,"Reg",IF(AW80&gt;4,"Bench","Minors")))))</f>
        <v>Minors</v>
      </c>
      <c r="AY80" s="246">
        <f>MIN(AU80+(MAX(0,25-L80))^1.5,AW80)</f>
        <v>2</v>
      </c>
      <c r="AZ80" s="246" t="str">
        <f>IF(AY80&gt;9,"SuperStar",IF(AY80&gt;8,"Star",IF(AY80&gt;6.5,"GoodReg",IF(AY80&gt;5,"Reg",IF(AY80&gt;4,"Bench","Minors")))))</f>
        <v>Minors</v>
      </c>
      <c r="BA80" s="247">
        <f>IF(AND(OR(S80+V80&gt;12,AND(S80&gt;6,V80&gt;6)),AO80&gt;6,OR(AP80&gt;=AO80,AP80&gt;6)),1,0)</f>
        <v>0</v>
      </c>
      <c r="BB80" s="248">
        <f>IF(OR(AND(S80&gt;6,W80&gt;6),S80+V80&gt;12),1,0)</f>
        <v>0</v>
      </c>
      <c r="BC80" s="248">
        <f>IF(AND(S80&gt;6,U80&gt;6,V80&gt;6),1,0)</f>
        <v>0</v>
      </c>
      <c r="BD80" s="248">
        <f>IF(AND(U80&gt;7,OR(S80&gt;6,V80&gt;6)),1,0)</f>
        <v>0</v>
      </c>
      <c r="BE80" s="248">
        <f>IF(AND(U80&gt;6,OR(S80&gt;6,V80&gt;6)),1,0)</f>
        <v>0</v>
      </c>
      <c r="BF80" s="248">
        <f>IF(AND(OR(S80&gt;6,U80&gt;6),OR(S80&gt;6,V80&gt;6)),1,0)</f>
        <v>0</v>
      </c>
      <c r="BG80" s="248">
        <f>IF(AND(S80&gt;4,OR(S80&gt;6,U80&gt;6,V80&gt;6)),1,0)</f>
        <v>0</v>
      </c>
      <c r="BH80" s="248">
        <f>IF(AND(S80&gt;4,OR(S80&gt;6,T80&gt;6,U80&gt;6,V80&gt;6)),1,0)</f>
        <v>0</v>
      </c>
      <c r="BI80" s="243">
        <f>IF(AND(S80&gt;4,MAX(S80:W80)&gt;6),1,0)</f>
        <v>0</v>
      </c>
      <c r="BJ80" s="247">
        <f>IF(AND(OR(X80+AA80&gt;12,AND(X80&gt;6,AA80&gt;6)),AO80&gt;6,OR(AP80&gt;=AO80,AP80&gt;6)),1,0)</f>
        <v>0</v>
      </c>
      <c r="BK80" s="248">
        <f>IF(OR(AND(X80&gt;6,AB80&gt;6),X80+AA80&gt;12),1,0)</f>
        <v>0</v>
      </c>
      <c r="BL80" s="248">
        <f>IF(AND(X80&gt;6,Z80&gt;6,AA80&gt;6),1,0)</f>
        <v>0</v>
      </c>
      <c r="BM80" s="248">
        <f>IF(AND(Z80&gt;7,OR(X80&gt;6,AA80&gt;6)),1,0)</f>
        <v>0</v>
      </c>
      <c r="BN80" s="248">
        <f>IF(AND(Z80&gt;6,OR(X80&gt;6,AA80&gt;6)),1,0)</f>
        <v>0</v>
      </c>
      <c r="BO80" s="248">
        <f>IF(AND(OR(X80&gt;6,Z80&gt;6),OR(X80&gt;6,AA80&gt;6)),1,0)</f>
        <v>0</v>
      </c>
      <c r="BP80" s="248">
        <f>IF(AND(X80&gt;4,OR(X80&gt;6,Z80&gt;6,AA80&gt;6)),1,0)</f>
        <v>0</v>
      </c>
      <c r="BQ80" s="248">
        <f>IF(AND(X80&gt;4,OR(X80&gt;6,Y80&gt;6,Z80&gt;6,AA80&gt;6)),1,0)</f>
        <v>0</v>
      </c>
      <c r="BR80" s="243">
        <f>IF(AND(X80&gt;4,MAX(X80:AB80)&gt;6),1,0)</f>
        <v>0</v>
      </c>
      <c r="BS80" s="243">
        <f>IF(AVERAGE(AO80:AP80)&gt;9,1,0)+IF(AVERAGE(AO80:AP80)&gt;7,1,0)+IF(AO80&gt;7,1,0)+IF(AP80&gt;7,1,0)+IF(AQ80&gt;8,1,0)+IF(AQ80&gt;6,1,0)</f>
        <v>0</v>
      </c>
      <c r="BT80" s="249">
        <f>IF(OR(MAX(AG80,AH80,AL80,AN80)&gt;6,MAX(AI80,AJ80,AK80,AM80)&gt;7),2,IF(MAX(AG80:AN80)&gt;4,1,0))</f>
        <v>2</v>
      </c>
      <c r="BU80" s="242" t="str">
        <f>IF(AS80=1,"Yes","")</f>
        <v/>
      </c>
      <c r="BV80" s="241" t="str">
        <f>IF($B80="ML","There",IF(AND($X80&gt;=6,AVERAGE($Z80:$AA80)&gt;=6),"Likely",IF(OR($X80&gt;6,AND($X80=6,AVERAGE($Z80:$AA80)&gt;=3),AND($X80&gt;=5,AVERAGE($Z80:$AA80)&gt;=5),AVERAGE($X80,$Z80:$AA80)&gt;5),"Possible","Unlikely")))</f>
        <v>Unlikely</v>
      </c>
      <c r="BW80" s="242" t="str">
        <f>IF(OR(AND(S80&gt;=6,U80+V80&gt;=12),S80&gt;7),"Start",IF(AND(S80&gt;=5,U80+V80&gt;=8),"Bench","aack!"))</f>
        <v>aack!</v>
      </c>
      <c r="BX80" s="242" t="str">
        <f>IF(OR(AND(X80&gt;=6,Z80+AA80&gt;=12),X80&gt;7),"Start",IF(AND(X80&gt;=5,Z80+AA80&gt;=8),"Bench","aack!"))</f>
        <v>aack!</v>
      </c>
      <c r="BY80" s="242" t="str">
        <f>IF(S80&gt;5,"ML",IF(S80=5,"AAA",IF(S80=4,"AA",IF(S80=3,"A","SS-A"))))</f>
        <v>AA</v>
      </c>
      <c r="BZ80" s="242">
        <f>S80-X80</f>
        <v>0</v>
      </c>
      <c r="CA80" s="242">
        <f>T80-Y80</f>
        <v>0</v>
      </c>
      <c r="CB80" s="242">
        <f>U80-Z80</f>
        <v>0</v>
      </c>
      <c r="CC80" s="242">
        <f>V80-AA80</f>
        <v>-1</v>
      </c>
      <c r="CD80" s="242">
        <f>W80-AB80</f>
        <v>0</v>
      </c>
      <c r="CE80" s="242">
        <f>SUM(BZ80:CD80)</f>
        <v>-1</v>
      </c>
      <c r="CF80" s="242">
        <f>X80+Z80+AA80</f>
        <v>9</v>
      </c>
      <c r="CG80" s="242">
        <f>X80+Z80</f>
        <v>6</v>
      </c>
      <c r="CH80" s="242">
        <f>X80+AA80</f>
        <v>7</v>
      </c>
      <c r="CI80" s="242" t="str">
        <f>IF(L80&gt;24,"Now - Age",IF(S80&gt;6,"Now",IF(X80&lt;6,"With Dev",MIN(X80-S80,7-S80))))</f>
        <v>With Dev</v>
      </c>
      <c r="CJ80" s="257" t="str">
        <f>IF(AG80&lt;&gt;"-","X","")</f>
        <v/>
      </c>
      <c r="CK80" s="257" t="str">
        <f>IF(AND(AH80&lt;&gt;"-",AH80&gt;5),"X","")</f>
        <v/>
      </c>
      <c r="CL80" s="257" t="str">
        <f>IF(AND(AI80&lt;&gt;"-",AI80&gt;5),"X","")</f>
        <v/>
      </c>
      <c r="CM80" s="257" t="str">
        <f>IF(AND(AJ80&lt;&gt;"-",AJ80&gt;4,AC80&gt;6),"X","")</f>
        <v/>
      </c>
      <c r="CN80" s="257" t="str">
        <f>IF(AND(AK80&lt;&gt;"-",AK80&gt;5,AC80&gt;5),"X","")</f>
        <v>X</v>
      </c>
      <c r="CO80" s="257" t="str">
        <f>IF(AND(AL80&lt;&gt;"-",AL80&gt;3),"X","")</f>
        <v/>
      </c>
      <c r="CP80" s="257" t="str">
        <f>IF(AND(AM80&lt;&gt;"-",AM80&gt;6),"X","")</f>
        <v/>
      </c>
      <c r="CQ80" s="257" t="str">
        <f>IF(AND(AN80&lt;&gt;"-",AN80&gt;5,AD80&gt;6),"X","")</f>
        <v/>
      </c>
      <c r="CR80" s="257" t="str">
        <f>IF(COUNTBLANK(CJ80:CQ80)=8,"X","")</f>
        <v/>
      </c>
    </row>
    <row r="81" spans="1:96" s="306" customFormat="1" x14ac:dyDescent="0.25">
      <c r="A81" s="240" t="str">
        <f>H81&amp;" "&amp;I81</f>
        <v>Han-seung Kim</v>
      </c>
      <c r="B81" s="240" t="str">
        <f>IF(ISERROR(VLOOKUP(A81,AMA!$C$3:$C$24,1,FALSE)),IF(ISERROR(VLOOKUP(A81,'END-AAA'!$C$6:$C$33,1,FALSE)),IF(ISERROR(VLOOKUP(A81,'DB-AA'!$C$6:$C$33,1,FALSE)),IF(ISERROR(VLOOKUP(A81,'UTR-A'!$C$6:$C$33,1,FALSE)),IF(ISERROR(VLOOKUP(A81,'FAI-S A'!$C$6:$C$33,1,FALSE)),"","S A"),"A"),"AA"),"AAA"),"ML")</f>
        <v/>
      </c>
      <c r="C81" s="241"/>
      <c r="D81" s="242" t="str">
        <f>IF(BL81=1,3,IF(BM81=1,4,IF(BJ81=1,1,IF(BN81=1,5,IF(BK81=1,2,IF(BO81=1,6,IF(BP81=1,7,IF(BQ81=1,8,IF(BR81=1,9,"-")))))))))</f>
        <v>-</v>
      </c>
      <c r="E81" s="242" t="str">
        <f>IF(BC81=1,3,IF(BD81=1,4,IF(BA81=1,1,IF(BE81=1,5,IF(BB81=1,2,IF(BF81=1,6,IF(BG81=1,7,IF(BH81=1,8,IF(BI81=1,9,"-")))))))))</f>
        <v>-</v>
      </c>
      <c r="F81" s="242" t="str">
        <f>IF(OR(OR(Q81="Very High",Q81="High"),AND(OR(Q81="Very High",Q81="High",Q81="Normal"),OR(R81="Very High",R81="High"))),"K","T")</f>
        <v>K</v>
      </c>
      <c r="G81" s="242" t="s">
        <v>76</v>
      </c>
      <c r="H81" s="242" t="s">
        <v>1138</v>
      </c>
      <c r="I81" s="242" t="s">
        <v>426</v>
      </c>
      <c r="J81" s="242" t="s">
        <v>769</v>
      </c>
      <c r="K81" s="242" t="s">
        <v>186</v>
      </c>
      <c r="L81" s="242">
        <v>24</v>
      </c>
      <c r="M81" s="242" t="s">
        <v>83</v>
      </c>
      <c r="N81" s="242" t="s">
        <v>83</v>
      </c>
      <c r="O81" s="242" t="s">
        <v>808</v>
      </c>
      <c r="P81" s="243" t="s">
        <v>808</v>
      </c>
      <c r="Q81" s="242" t="s">
        <v>199</v>
      </c>
      <c r="R81" s="243" t="s">
        <v>199</v>
      </c>
      <c r="S81" s="242">
        <v>4</v>
      </c>
      <c r="T81" s="242">
        <v>4</v>
      </c>
      <c r="U81" s="242">
        <v>2</v>
      </c>
      <c r="V81" s="242">
        <v>2</v>
      </c>
      <c r="W81" s="243">
        <v>6</v>
      </c>
      <c r="X81" s="242">
        <v>4</v>
      </c>
      <c r="Y81" s="242">
        <v>4</v>
      </c>
      <c r="Z81" s="242">
        <v>2</v>
      </c>
      <c r="AA81" s="242">
        <v>3</v>
      </c>
      <c r="AB81" s="243">
        <v>6</v>
      </c>
      <c r="AC81" s="242">
        <v>8</v>
      </c>
      <c r="AD81" s="242">
        <v>8</v>
      </c>
      <c r="AE81" s="242">
        <v>1</v>
      </c>
      <c r="AF81" s="242" t="s">
        <v>32</v>
      </c>
      <c r="AG81" s="242" t="s">
        <v>32</v>
      </c>
      <c r="AH81" s="242">
        <v>5</v>
      </c>
      <c r="AI81" s="242">
        <v>8</v>
      </c>
      <c r="AJ81" s="242" t="s">
        <v>32</v>
      </c>
      <c r="AK81" s="242">
        <v>6</v>
      </c>
      <c r="AL81" s="242">
        <v>6</v>
      </c>
      <c r="AM81" s="242" t="s">
        <v>32</v>
      </c>
      <c r="AN81" s="243" t="s">
        <v>32</v>
      </c>
      <c r="AO81" s="242">
        <v>10</v>
      </c>
      <c r="AP81" s="242">
        <v>8</v>
      </c>
      <c r="AQ81" s="243">
        <v>4</v>
      </c>
      <c r="AR81" s="244" t="s">
        <v>32</v>
      </c>
      <c r="AS81" s="243" t="s">
        <v>33</v>
      </c>
      <c r="AT81" s="248" t="s">
        <v>779</v>
      </c>
      <c r="AU8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1.6666666666666665</v>
      </c>
      <c r="AV81" s="246" t="str">
        <f>IF(AU81&gt;9,"SuperStar",IF(AU81&gt;8,"Star",IF(AU81&gt;6.5,"GoodReg",IF(AU81&gt;5,"Reg",IF(AU81&gt;4,"Bench","Minors")))))</f>
        <v>Minors</v>
      </c>
      <c r="AW81" s="245">
        <f>AVERAGE(X81,Z81,AA81)+IF(OR(X81&gt;7,AND(X81&gt;5,AA81&gt;5)),0.5,0)+IF(Z81&gt;7,0.25,0)+IF(X81&lt;6,-0.5*(6-X81),0)</f>
        <v>2</v>
      </c>
      <c r="AX81" s="245" t="str">
        <f>IF(AW81&gt;9,"SuperStar",IF(AW81&gt;8,"Star",IF(AW81&gt;6.5,"GoodReg",IF(AW81&gt;5,"Reg",IF(AW81&gt;4,"Bench","Minors")))))</f>
        <v>Minors</v>
      </c>
      <c r="AY81" s="246">
        <f>MIN(AU81+(MAX(0,25-L81))^1.5,AW81)</f>
        <v>2</v>
      </c>
      <c r="AZ81" s="246" t="str">
        <f>IF(AY81&gt;9,"SuperStar",IF(AY81&gt;8,"Star",IF(AY81&gt;6.5,"GoodReg",IF(AY81&gt;5,"Reg",IF(AY81&gt;4,"Bench","Minors")))))</f>
        <v>Minors</v>
      </c>
      <c r="BA81" s="247">
        <f>IF(AND(OR(S81+V81&gt;12,AND(S81&gt;6,V81&gt;6)),AO81&gt;6,OR(AP81&gt;=AO81,AP81&gt;6)),1,0)</f>
        <v>0</v>
      </c>
      <c r="BB81" s="248">
        <f>IF(OR(AND(S81&gt;6,W81&gt;6),S81+V81&gt;12),1,0)</f>
        <v>0</v>
      </c>
      <c r="BC81" s="248">
        <f>IF(AND(S81&gt;6,U81&gt;6,V81&gt;6),1,0)</f>
        <v>0</v>
      </c>
      <c r="BD81" s="248">
        <f>IF(AND(U81&gt;7,OR(S81&gt;6,V81&gt;6)),1,0)</f>
        <v>0</v>
      </c>
      <c r="BE81" s="248">
        <f>IF(AND(U81&gt;6,OR(S81&gt;6,V81&gt;6)),1,0)</f>
        <v>0</v>
      </c>
      <c r="BF81" s="248">
        <f>IF(AND(OR(S81&gt;6,U81&gt;6),OR(S81&gt;6,V81&gt;6)),1,0)</f>
        <v>0</v>
      </c>
      <c r="BG81" s="248">
        <f>IF(AND(S81&gt;4,OR(S81&gt;6,U81&gt;6,V81&gt;6)),1,0)</f>
        <v>0</v>
      </c>
      <c r="BH81" s="248">
        <f>IF(AND(S81&gt;4,OR(S81&gt;6,T81&gt;6,U81&gt;6,V81&gt;6)),1,0)</f>
        <v>0</v>
      </c>
      <c r="BI81" s="243">
        <f>IF(AND(S81&gt;4,MAX(S81:W81)&gt;6),1,0)</f>
        <v>0</v>
      </c>
      <c r="BJ81" s="247">
        <f>IF(AND(OR(X81+AA81&gt;12,AND(X81&gt;6,AA81&gt;6)),AO81&gt;6,OR(AP81&gt;=AO81,AP81&gt;6)),1,0)</f>
        <v>0</v>
      </c>
      <c r="BK81" s="248">
        <f>IF(OR(AND(X81&gt;6,AB81&gt;6),X81+AA81&gt;12),1,0)</f>
        <v>0</v>
      </c>
      <c r="BL81" s="248">
        <f>IF(AND(X81&gt;6,Z81&gt;6,AA81&gt;6),1,0)</f>
        <v>0</v>
      </c>
      <c r="BM81" s="248">
        <f>IF(AND(Z81&gt;7,OR(X81&gt;6,AA81&gt;6)),1,0)</f>
        <v>0</v>
      </c>
      <c r="BN81" s="248">
        <f>IF(AND(Z81&gt;6,OR(X81&gt;6,AA81&gt;6)),1,0)</f>
        <v>0</v>
      </c>
      <c r="BO81" s="248">
        <f>IF(AND(OR(X81&gt;6,Z81&gt;6),OR(X81&gt;6,AA81&gt;6)),1,0)</f>
        <v>0</v>
      </c>
      <c r="BP81" s="248">
        <f>IF(AND(X81&gt;4,OR(X81&gt;6,Z81&gt;6,AA81&gt;6)),1,0)</f>
        <v>0</v>
      </c>
      <c r="BQ81" s="248">
        <f>IF(AND(X81&gt;4,OR(X81&gt;6,Y81&gt;6,Z81&gt;6,AA81&gt;6)),1,0)</f>
        <v>0</v>
      </c>
      <c r="BR81" s="243">
        <f>IF(AND(X81&gt;4,MAX(X81:AB81)&gt;6),1,0)</f>
        <v>0</v>
      </c>
      <c r="BS81" s="243">
        <f>IF(AVERAGE(AO81:AP81)&gt;9,1,0)+IF(AVERAGE(AO81:AP81)&gt;7,1,0)+IF(AO81&gt;7,1,0)+IF(AP81&gt;7,1,0)+IF(AQ81&gt;8,1,0)+IF(AQ81&gt;6,1,0)</f>
        <v>3</v>
      </c>
      <c r="BT81" s="249">
        <f>IF(OR(MAX(AG81,AH81,AL81,AN81)&gt;6,MAX(AI81,AJ81,AK81,AM81)&gt;7),2,IF(MAX(AG81:AN81)&gt;4,1,0))</f>
        <v>2</v>
      </c>
      <c r="BU81" s="242" t="str">
        <f>IF(AS81=1,"Yes","")</f>
        <v/>
      </c>
      <c r="BV81" s="241" t="str">
        <f>IF($B81="ML","There",IF(AND($X81&gt;=6,AVERAGE($Z81:$AA81)&gt;=6),"Likely",IF(OR($X81&gt;6,AND($X81=6,AVERAGE($Z81:$AA81)&gt;=3),AND($X81&gt;=5,AVERAGE($Z81:$AA81)&gt;=5),AVERAGE($X81,$Z81:$AA81)&gt;5),"Possible","Unlikely")))</f>
        <v>Unlikely</v>
      </c>
      <c r="BW81" s="242" t="str">
        <f>IF(OR(AND(S81&gt;=6,U81+V81&gt;=12),S81&gt;7),"Start",IF(AND(S81&gt;=5,U81+V81&gt;=8),"Bench","aack!"))</f>
        <v>aack!</v>
      </c>
      <c r="BX81" s="242" t="str">
        <f>IF(OR(AND(X81&gt;=6,Z81+AA81&gt;=12),X81&gt;7),"Start",IF(AND(X81&gt;=5,Z81+AA81&gt;=8),"Bench","aack!"))</f>
        <v>aack!</v>
      </c>
      <c r="BY81" s="242" t="str">
        <f>IF(S81&gt;5,"ML",IF(S81=5,"AAA",IF(S81=4,"AA",IF(S81=3,"A","SS-A"))))</f>
        <v>AA</v>
      </c>
      <c r="BZ81" s="242">
        <f>S81-X81</f>
        <v>0</v>
      </c>
      <c r="CA81" s="242">
        <f>T81-Y81</f>
        <v>0</v>
      </c>
      <c r="CB81" s="242">
        <f>U81-Z81</f>
        <v>0</v>
      </c>
      <c r="CC81" s="242">
        <f>V81-AA81</f>
        <v>-1</v>
      </c>
      <c r="CD81" s="242">
        <f>W81-AB81</f>
        <v>0</v>
      </c>
      <c r="CE81" s="242">
        <f>SUM(BZ81:CD81)</f>
        <v>-1</v>
      </c>
      <c r="CF81" s="242">
        <f>X81+Z81+AA81</f>
        <v>9</v>
      </c>
      <c r="CG81" s="242">
        <f>X81+Z81</f>
        <v>6</v>
      </c>
      <c r="CH81" s="242">
        <f>X81+AA81</f>
        <v>7</v>
      </c>
      <c r="CI81" s="242" t="str">
        <f>IF(L81&gt;24,"Now - Age",IF(S81&gt;6,"Now",IF(X81&lt;6,"With Dev",MIN(X81-S81,7-S81))))</f>
        <v>With Dev</v>
      </c>
      <c r="CJ81" s="257" t="str">
        <f>IF(AG81&lt;&gt;"-","X","")</f>
        <v/>
      </c>
      <c r="CK81" s="257" t="str">
        <f>IF(AND(AH81&lt;&gt;"-",AH81&gt;5),"X","")</f>
        <v/>
      </c>
      <c r="CL81" s="257" t="str">
        <f>IF(AND(AI81&lt;&gt;"-",AI81&gt;5),"X","")</f>
        <v>X</v>
      </c>
      <c r="CM81" s="257" t="str">
        <f>IF(AND(AJ81&lt;&gt;"-",AJ81&gt;4,AC81&gt;6),"X","")</f>
        <v/>
      </c>
      <c r="CN81" s="257" t="str">
        <f>IF(AND(AK81&lt;&gt;"-",AK81&gt;5,AC81&gt;5),"X","")</f>
        <v>X</v>
      </c>
      <c r="CO81" s="257" t="str">
        <f>IF(AND(AL81&lt;&gt;"-",AL81&gt;3),"X","")</f>
        <v>X</v>
      </c>
      <c r="CP81" s="257" t="str">
        <f>IF(AND(AM81&lt;&gt;"-",AM81&gt;6),"X","")</f>
        <v/>
      </c>
      <c r="CQ81" s="257" t="str">
        <f>IF(AND(AN81&lt;&gt;"-",AN81&gt;5,AD81&gt;6),"X","")</f>
        <v/>
      </c>
      <c r="CR81" s="257" t="str">
        <f>IF(COUNTBLANK(CJ81:CQ81)=8,"X","")</f>
        <v/>
      </c>
    </row>
    <row r="82" spans="1:96" s="306" customFormat="1" x14ac:dyDescent="0.25">
      <c r="A82" s="240" t="str">
        <f>H82&amp;" "&amp;I82</f>
        <v>Pete Harris</v>
      </c>
      <c r="B82" s="240" t="str">
        <f>IF(ISERROR(VLOOKUP(A82,AMA!$C$3:$C$24,1,FALSE)),IF(ISERROR(VLOOKUP(A82,'END-AAA'!$C$6:$C$33,1,FALSE)),IF(ISERROR(VLOOKUP(A82,'DB-AA'!$C$6:$C$33,1,FALSE)),IF(ISERROR(VLOOKUP(A82,'UTR-A'!$C$6:$C$33,1,FALSE)),IF(ISERROR(VLOOKUP(A82,'FAI-S A'!$C$6:$C$33,1,FALSE)),"","S A"),"A"),"AA"),"AAA"),"ML")</f>
        <v/>
      </c>
      <c r="C82" s="241"/>
      <c r="D82" s="242">
        <f>IF(BL82=1,3,IF(BM82=1,4,IF(BJ82=1,1,IF(BN82=1,5,IF(BK82=1,2,IF(BO82=1,6,IF(BP82=1,7,IF(BQ82=1,8,IF(BR82=1,9,"-")))))))))</f>
        <v>7</v>
      </c>
      <c r="E82" s="242" t="str">
        <f>IF(BC82=1,3,IF(BD82=1,4,IF(BA82=1,1,IF(BE82=1,5,IF(BB82=1,2,IF(BF82=1,6,IF(BG82=1,7,IF(BH82=1,8,IF(BI82=1,9,"-")))))))))</f>
        <v>-</v>
      </c>
      <c r="F82" s="242" t="str">
        <f>IF(OR(OR(Q82="Very High",Q82="High"),AND(OR(Q82="Very High",Q82="High",Q82="Normal"),OR(R82="Very High",R82="High"))),"K","T")</f>
        <v>T</v>
      </c>
      <c r="G82" s="242" t="s">
        <v>79</v>
      </c>
      <c r="H82" s="242" t="s">
        <v>895</v>
      </c>
      <c r="I82" s="242" t="s">
        <v>726</v>
      </c>
      <c r="J82" s="242" t="s">
        <v>810</v>
      </c>
      <c r="K82" s="242" t="s">
        <v>83</v>
      </c>
      <c r="L82" s="242">
        <v>19</v>
      </c>
      <c r="M82" s="242" t="s">
        <v>83</v>
      </c>
      <c r="N82" s="242" t="s">
        <v>83</v>
      </c>
      <c r="O82" s="242" t="s">
        <v>816</v>
      </c>
      <c r="P82" s="243" t="s">
        <v>773</v>
      </c>
      <c r="Q82" s="242" t="s">
        <v>200</v>
      </c>
      <c r="R82" s="243" t="s">
        <v>200</v>
      </c>
      <c r="S82" s="242">
        <v>3</v>
      </c>
      <c r="T82" s="242">
        <v>4</v>
      </c>
      <c r="U82" s="242">
        <v>2</v>
      </c>
      <c r="V82" s="242">
        <v>4</v>
      </c>
      <c r="W82" s="243">
        <v>1</v>
      </c>
      <c r="X82" s="242">
        <v>5</v>
      </c>
      <c r="Y82" s="242">
        <v>5</v>
      </c>
      <c r="Z82" s="242">
        <v>3</v>
      </c>
      <c r="AA82" s="242">
        <v>7</v>
      </c>
      <c r="AB82" s="243">
        <v>4</v>
      </c>
      <c r="AC82" s="242">
        <v>4</v>
      </c>
      <c r="AD82" s="242">
        <v>4</v>
      </c>
      <c r="AE82" s="242">
        <v>1</v>
      </c>
      <c r="AF82" s="242" t="s">
        <v>32</v>
      </c>
      <c r="AG82" s="242" t="s">
        <v>32</v>
      </c>
      <c r="AH82" s="242">
        <v>3</v>
      </c>
      <c r="AI82" s="242" t="s">
        <v>32</v>
      </c>
      <c r="AJ82" s="242" t="s">
        <v>32</v>
      </c>
      <c r="AK82" s="242" t="s">
        <v>32</v>
      </c>
      <c r="AL82" s="242" t="s">
        <v>32</v>
      </c>
      <c r="AM82" s="242">
        <v>1</v>
      </c>
      <c r="AN82" s="243">
        <v>4</v>
      </c>
      <c r="AO82" s="242">
        <v>7</v>
      </c>
      <c r="AP82" s="242">
        <v>10</v>
      </c>
      <c r="AQ82" s="243">
        <v>9</v>
      </c>
      <c r="AR82" s="244" t="s">
        <v>32</v>
      </c>
      <c r="AS82" s="243" t="s">
        <v>33</v>
      </c>
      <c r="AT82" s="248" t="s">
        <v>779</v>
      </c>
      <c r="AU8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1.5</v>
      </c>
      <c r="AV82" s="246" t="str">
        <f>IF(AU82&gt;9,"SuperStar",IF(AU82&gt;8,"Star",IF(AU82&gt;6.5,"GoodReg",IF(AU82&gt;5,"Reg",IF(AU82&gt;4,"Bench","Minors")))))</f>
        <v>Minors</v>
      </c>
      <c r="AW82" s="245">
        <f>AVERAGE(X82,Z82,AA82)+IF(OR(X82&gt;7,AND(X82&gt;5,AA82&gt;5)),0.5,0)+IF(Z82&gt;7,0.25,0)+IF(X82&lt;6,-0.5*(6-X82),0)</f>
        <v>4.5</v>
      </c>
      <c r="AX82" s="245" t="str">
        <f>IF(AW82&gt;9,"SuperStar",IF(AW82&gt;8,"Star",IF(AW82&gt;6.5,"GoodReg",IF(AW82&gt;5,"Reg",IF(AW82&gt;4,"Bench","Minors")))))</f>
        <v>Bench</v>
      </c>
      <c r="AY82" s="246">
        <f>MIN(AU82+(MAX(0,25-L82))^1.5,AW82)</f>
        <v>4.5</v>
      </c>
      <c r="AZ82" s="246" t="str">
        <f>IF(AY82&gt;9,"SuperStar",IF(AY82&gt;8,"Star",IF(AY82&gt;6.5,"GoodReg",IF(AY82&gt;5,"Reg",IF(AY82&gt;4,"Bench","Minors")))))</f>
        <v>Bench</v>
      </c>
      <c r="BA82" s="247">
        <f>IF(AND(OR(S82+V82&gt;12,AND(S82&gt;6,V82&gt;6)),AO82&gt;6,OR(AP82&gt;=AO82,AP82&gt;6)),1,0)</f>
        <v>0</v>
      </c>
      <c r="BB82" s="248">
        <f>IF(OR(AND(S82&gt;6,W82&gt;6),S82+V82&gt;12),1,0)</f>
        <v>0</v>
      </c>
      <c r="BC82" s="248">
        <f>IF(AND(S82&gt;6,U82&gt;6,V82&gt;6),1,0)</f>
        <v>0</v>
      </c>
      <c r="BD82" s="248">
        <f>IF(AND(U82&gt;7,OR(S82&gt;6,V82&gt;6)),1,0)</f>
        <v>0</v>
      </c>
      <c r="BE82" s="248">
        <f>IF(AND(U82&gt;6,OR(S82&gt;6,V82&gt;6)),1,0)</f>
        <v>0</v>
      </c>
      <c r="BF82" s="248">
        <f>IF(AND(OR(S82&gt;6,U82&gt;6),OR(S82&gt;6,V82&gt;6)),1,0)</f>
        <v>0</v>
      </c>
      <c r="BG82" s="248">
        <f>IF(AND(S82&gt;4,OR(S82&gt;6,U82&gt;6,V82&gt;6)),1,0)</f>
        <v>0</v>
      </c>
      <c r="BH82" s="248">
        <f>IF(AND(S82&gt;4,OR(S82&gt;6,T82&gt;6,U82&gt;6,V82&gt;6)),1,0)</f>
        <v>0</v>
      </c>
      <c r="BI82" s="243">
        <f>IF(AND(S82&gt;4,MAX(S82:W82)&gt;6),1,0)</f>
        <v>0</v>
      </c>
      <c r="BJ82" s="247">
        <f>IF(AND(OR(X82+AA82&gt;12,AND(X82&gt;6,AA82&gt;6)),AO82&gt;6,OR(AP82&gt;=AO82,AP82&gt;6)),1,0)</f>
        <v>0</v>
      </c>
      <c r="BK82" s="248">
        <f>IF(OR(AND(X82&gt;6,AB82&gt;6),X82+AA82&gt;12),1,0)</f>
        <v>0</v>
      </c>
      <c r="BL82" s="248">
        <f>IF(AND(X82&gt;6,Z82&gt;6,AA82&gt;6),1,0)</f>
        <v>0</v>
      </c>
      <c r="BM82" s="248">
        <f>IF(AND(Z82&gt;7,OR(X82&gt;6,AA82&gt;6)),1,0)</f>
        <v>0</v>
      </c>
      <c r="BN82" s="248">
        <f>IF(AND(Z82&gt;6,OR(X82&gt;6,AA82&gt;6)),1,0)</f>
        <v>0</v>
      </c>
      <c r="BO82" s="248">
        <f>IF(AND(OR(X82&gt;6,Z82&gt;6),OR(X82&gt;6,AA82&gt;6)),1,0)</f>
        <v>0</v>
      </c>
      <c r="BP82" s="248">
        <f>IF(AND(X82&gt;4,OR(X82&gt;6,Z82&gt;6,AA82&gt;6)),1,0)</f>
        <v>1</v>
      </c>
      <c r="BQ82" s="248">
        <f>IF(AND(X82&gt;4,OR(X82&gt;6,Y82&gt;6,Z82&gt;6,AA82&gt;6)),1,0)</f>
        <v>1</v>
      </c>
      <c r="BR82" s="243">
        <f>IF(AND(X82&gt;4,MAX(X82:AB82)&gt;6),1,0)</f>
        <v>1</v>
      </c>
      <c r="BS82" s="243">
        <f>IF(AVERAGE(AO82:AP82)&gt;9,1,0)+IF(AVERAGE(AO82:AP82)&gt;7,1,0)+IF(AO82&gt;7,1,0)+IF(AP82&gt;7,1,0)+IF(AQ82&gt;8,1,0)+IF(AQ82&gt;6,1,0)</f>
        <v>4</v>
      </c>
      <c r="BT82" s="249">
        <f>IF(OR(MAX(AG82,AH82,AL82,AN82)&gt;6,MAX(AI82,AJ82,AK82,AM82)&gt;7),2,IF(MAX(AG82:AN82)&gt;4,1,0))</f>
        <v>0</v>
      </c>
      <c r="BU82" s="242" t="str">
        <f>IF(AS82=1,"Yes","")</f>
        <v/>
      </c>
      <c r="BV82" s="241" t="str">
        <f>IF($B82="ML","There",IF(AND($X82&gt;=6,AVERAGE($Z82:$AA82)&gt;=6),"Likely",IF(OR($X82&gt;6,AND($X82=6,AVERAGE($Z82:$AA82)&gt;=3),AND($X82&gt;=5,AVERAGE($Z82:$AA82)&gt;=5),AVERAGE($X82,$Z82:$AA82)&gt;5),"Possible","Unlikely")))</f>
        <v>Possible</v>
      </c>
      <c r="BW82" s="242" t="str">
        <f>IF(OR(AND(S82&gt;=6,U82+V82&gt;=12),S82&gt;7),"Start",IF(AND(S82&gt;=5,U82+V82&gt;=8),"Bench","aack!"))</f>
        <v>aack!</v>
      </c>
      <c r="BX82" s="242" t="str">
        <f>IF(OR(AND(X82&gt;=6,Z82+AA82&gt;=12),X82&gt;7),"Start",IF(AND(X82&gt;=5,Z82+AA82&gt;=8),"Bench","aack!"))</f>
        <v>Bench</v>
      </c>
      <c r="BY82" s="242" t="str">
        <f>IF(S82&gt;5,"ML",IF(S82=5,"AAA",IF(S82=4,"AA",IF(S82=3,"A","SS-A"))))</f>
        <v>A</v>
      </c>
      <c r="BZ82" s="242">
        <f>S82-X82</f>
        <v>-2</v>
      </c>
      <c r="CA82" s="242">
        <f>T82-Y82</f>
        <v>-1</v>
      </c>
      <c r="CB82" s="242">
        <f>U82-Z82</f>
        <v>-1</v>
      </c>
      <c r="CC82" s="242">
        <f>V82-AA82</f>
        <v>-3</v>
      </c>
      <c r="CD82" s="242">
        <f>W82-AB82</f>
        <v>-3</v>
      </c>
      <c r="CE82" s="242">
        <f>SUM(BZ82:CD82)</f>
        <v>-10</v>
      </c>
      <c r="CF82" s="242">
        <f>X82+Z82+AA82</f>
        <v>15</v>
      </c>
      <c r="CG82" s="242">
        <f>X82+Z82</f>
        <v>8</v>
      </c>
      <c r="CH82" s="242">
        <f>X82+AA82</f>
        <v>12</v>
      </c>
      <c r="CI82" s="242" t="str">
        <f>IF(L82&gt;24,"Now - Age",IF(S82&gt;6,"Now",IF(X82&lt;6,"With Dev",MIN(X82-S82,7-S82))))</f>
        <v>With Dev</v>
      </c>
      <c r="CJ82" s="257" t="str">
        <f>IF(AG82&lt;&gt;"-","X","")</f>
        <v/>
      </c>
      <c r="CK82" s="257" t="str">
        <f>IF(AND(AH82&lt;&gt;"-",AH82&gt;5),"X","")</f>
        <v/>
      </c>
      <c r="CL82" s="257" t="str">
        <f>IF(AND(AI82&lt;&gt;"-",AI82&gt;5),"X","")</f>
        <v/>
      </c>
      <c r="CM82" s="257" t="str">
        <f>IF(AND(AJ82&lt;&gt;"-",AJ82&gt;4,AC82&gt;6),"X","")</f>
        <v/>
      </c>
      <c r="CN82" s="257" t="str">
        <f>IF(AND(AK82&lt;&gt;"-",AK82&gt;5,AC82&gt;5),"X","")</f>
        <v/>
      </c>
      <c r="CO82" s="257" t="str">
        <f>IF(AND(AL82&lt;&gt;"-",AL82&gt;3),"X","")</f>
        <v/>
      </c>
      <c r="CP82" s="257" t="str">
        <f>IF(AND(AM82&lt;&gt;"-",AM82&gt;6),"X","")</f>
        <v/>
      </c>
      <c r="CQ82" s="257" t="str">
        <f>IF(AND(AN82&lt;&gt;"-",AN82&gt;5,AD82&gt;6),"X","")</f>
        <v/>
      </c>
      <c r="CR82" s="257" t="str">
        <f>IF(COUNTBLANK(CJ82:CQ82)=8,"X","")</f>
        <v>X</v>
      </c>
    </row>
    <row r="83" spans="1:96" s="306" customFormat="1" x14ac:dyDescent="0.25">
      <c r="A83" s="240" t="str">
        <f>H83&amp;" "&amp;I83</f>
        <v>António Gómez</v>
      </c>
      <c r="B83" s="240" t="str">
        <f>IF(ISERROR(VLOOKUP(A83,AMA!$C$3:$C$24,1,FALSE)),IF(ISERROR(VLOOKUP(A83,'END-AAA'!$C$6:$C$33,1,FALSE)),IF(ISERROR(VLOOKUP(A83,'DB-AA'!$C$6:$C$33,1,FALSE)),IF(ISERROR(VLOOKUP(A83,'UTR-A'!$C$6:$C$33,1,FALSE)),IF(ISERROR(VLOOKUP(A83,'FAI-S A'!$C$6:$C$33,1,FALSE)),"","S A"),"A"),"AA"),"AAA"),"ML")</f>
        <v/>
      </c>
      <c r="C83" s="241"/>
      <c r="D83" s="242" t="str">
        <f>IF(BL83=1,3,IF(BM83=1,4,IF(BJ83=1,1,IF(BN83=1,5,IF(BK83=1,2,IF(BO83=1,6,IF(BP83=1,7,IF(BQ83=1,8,IF(BR83=1,9,"-")))))))))</f>
        <v>-</v>
      </c>
      <c r="E83" s="242" t="str">
        <f>IF(BC83=1,3,IF(BD83=1,4,IF(BA83=1,1,IF(BE83=1,5,IF(BB83=1,2,IF(BF83=1,6,IF(BG83=1,7,IF(BH83=1,8,IF(BI83=1,9,"-")))))))))</f>
        <v>-</v>
      </c>
      <c r="F83" s="242" t="str">
        <f>IF(OR(OR(Q83="Very High",Q83="High"),AND(OR(Q83="Very High",Q83="High",Q83="Normal"),OR(R83="Very High",R83="High"))),"K","T")</f>
        <v>T</v>
      </c>
      <c r="G83" s="242" t="s">
        <v>71</v>
      </c>
      <c r="H83" s="242" t="s">
        <v>717</v>
      </c>
      <c r="I83" s="242" t="s">
        <v>422</v>
      </c>
      <c r="J83" s="242" t="s">
        <v>802</v>
      </c>
      <c r="K83" s="242" t="s">
        <v>277</v>
      </c>
      <c r="L83" s="242">
        <v>20</v>
      </c>
      <c r="M83" s="242" t="s">
        <v>83</v>
      </c>
      <c r="N83" s="242" t="s">
        <v>83</v>
      </c>
      <c r="O83" s="242" t="s">
        <v>808</v>
      </c>
      <c r="P83" s="243" t="s">
        <v>773</v>
      </c>
      <c r="Q83" s="242" t="s">
        <v>200</v>
      </c>
      <c r="R83" s="243" t="s">
        <v>200</v>
      </c>
      <c r="S83" s="242">
        <v>3</v>
      </c>
      <c r="T83" s="242">
        <v>4</v>
      </c>
      <c r="U83" s="242">
        <v>2</v>
      </c>
      <c r="V83" s="242">
        <v>3</v>
      </c>
      <c r="W83" s="243">
        <v>3</v>
      </c>
      <c r="X83" s="242">
        <v>4</v>
      </c>
      <c r="Y83" s="242">
        <v>5</v>
      </c>
      <c r="Z83" s="242">
        <v>4</v>
      </c>
      <c r="AA83" s="242">
        <v>6</v>
      </c>
      <c r="AB83" s="243">
        <v>4</v>
      </c>
      <c r="AC83" s="242">
        <v>3</v>
      </c>
      <c r="AD83" s="242">
        <v>3</v>
      </c>
      <c r="AE83" s="242">
        <v>7</v>
      </c>
      <c r="AF83" s="242">
        <v>6</v>
      </c>
      <c r="AG83" s="242">
        <v>6</v>
      </c>
      <c r="AH83" s="242" t="s">
        <v>32</v>
      </c>
      <c r="AI83" s="242" t="s">
        <v>32</v>
      </c>
      <c r="AJ83" s="242" t="s">
        <v>32</v>
      </c>
      <c r="AK83" s="242" t="s">
        <v>32</v>
      </c>
      <c r="AL83" s="242" t="s">
        <v>32</v>
      </c>
      <c r="AM83" s="242" t="s">
        <v>32</v>
      </c>
      <c r="AN83" s="243" t="s">
        <v>32</v>
      </c>
      <c r="AO83" s="242">
        <v>2</v>
      </c>
      <c r="AP83" s="242">
        <v>1</v>
      </c>
      <c r="AQ83" s="243">
        <v>1</v>
      </c>
      <c r="AR83" s="244" t="s">
        <v>32</v>
      </c>
      <c r="AS83" s="243" t="s">
        <v>33</v>
      </c>
      <c r="AT83" s="248" t="s">
        <v>199</v>
      </c>
      <c r="AU8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1.1666666666666665</v>
      </c>
      <c r="AV83" s="246" t="str">
        <f>IF(AU83&gt;9,"SuperStar",IF(AU83&gt;8,"Star",IF(AU83&gt;6.5,"GoodReg",IF(AU83&gt;5,"Reg",IF(AU83&gt;4,"Bench","Minors")))))</f>
        <v>Minors</v>
      </c>
      <c r="AW83" s="245">
        <f>AVERAGE(X83,Z83,AA83)+IF(OR(X83&gt;7,AND(X83&gt;5,AA83&gt;5)),0.5,0)+IF(Z83&gt;7,0.25,0)+IF(X83&lt;6,-0.5*(6-X83),0)</f>
        <v>3.666666666666667</v>
      </c>
      <c r="AX83" s="245" t="str">
        <f>IF(AW83&gt;9,"SuperStar",IF(AW83&gt;8,"Star",IF(AW83&gt;6.5,"GoodReg",IF(AW83&gt;5,"Reg",IF(AW83&gt;4,"Bench","Minors")))))</f>
        <v>Minors</v>
      </c>
      <c r="AY83" s="246">
        <f>MIN(AU83+(MAX(0,25-L83))^1.5,AW83)</f>
        <v>3.666666666666667</v>
      </c>
      <c r="AZ83" s="246" t="str">
        <f>IF(AY83&gt;9,"SuperStar",IF(AY83&gt;8,"Star",IF(AY83&gt;6.5,"GoodReg",IF(AY83&gt;5,"Reg",IF(AY83&gt;4,"Bench","Minors")))))</f>
        <v>Minors</v>
      </c>
      <c r="BA83" s="247">
        <f>IF(AND(OR(S83+V83&gt;12,AND(S83&gt;6,V83&gt;6)),AO83&gt;6,OR(AP83&gt;=AO83,AP83&gt;6)),1,0)</f>
        <v>0</v>
      </c>
      <c r="BB83" s="248">
        <f>IF(OR(AND(S83&gt;6,W83&gt;6),S83+V83&gt;12),1,0)</f>
        <v>0</v>
      </c>
      <c r="BC83" s="248">
        <f>IF(AND(S83&gt;6,U83&gt;6,V83&gt;6),1,0)</f>
        <v>0</v>
      </c>
      <c r="BD83" s="248">
        <f>IF(AND(U83&gt;7,OR(S83&gt;6,V83&gt;6)),1,0)</f>
        <v>0</v>
      </c>
      <c r="BE83" s="248">
        <f>IF(AND(U83&gt;6,OR(S83&gt;6,V83&gt;6)),1,0)</f>
        <v>0</v>
      </c>
      <c r="BF83" s="248">
        <f>IF(AND(OR(S83&gt;6,U83&gt;6),OR(S83&gt;6,V83&gt;6)),1,0)</f>
        <v>0</v>
      </c>
      <c r="BG83" s="248">
        <f>IF(AND(S83&gt;4,OR(S83&gt;6,U83&gt;6,V83&gt;6)),1,0)</f>
        <v>0</v>
      </c>
      <c r="BH83" s="248">
        <f>IF(AND(S83&gt;4,OR(S83&gt;6,T83&gt;6,U83&gt;6,V83&gt;6)),1,0)</f>
        <v>0</v>
      </c>
      <c r="BI83" s="243">
        <f>IF(AND(S83&gt;4,MAX(S83:W83)&gt;6),1,0)</f>
        <v>0</v>
      </c>
      <c r="BJ83" s="247">
        <f>IF(AND(OR(X83+AA83&gt;12,AND(X83&gt;6,AA83&gt;6)),AO83&gt;6,OR(AP83&gt;=AO83,AP83&gt;6)),1,0)</f>
        <v>0</v>
      </c>
      <c r="BK83" s="248">
        <f>IF(OR(AND(X83&gt;6,AB83&gt;6),X83+AA83&gt;12),1,0)</f>
        <v>0</v>
      </c>
      <c r="BL83" s="248">
        <f>IF(AND(X83&gt;6,Z83&gt;6,AA83&gt;6),1,0)</f>
        <v>0</v>
      </c>
      <c r="BM83" s="248">
        <f>IF(AND(Z83&gt;7,OR(X83&gt;6,AA83&gt;6)),1,0)</f>
        <v>0</v>
      </c>
      <c r="BN83" s="248">
        <f>IF(AND(Z83&gt;6,OR(X83&gt;6,AA83&gt;6)),1,0)</f>
        <v>0</v>
      </c>
      <c r="BO83" s="248">
        <f>IF(AND(OR(X83&gt;6,Z83&gt;6),OR(X83&gt;6,AA83&gt;6)),1,0)</f>
        <v>0</v>
      </c>
      <c r="BP83" s="248">
        <f>IF(AND(X83&gt;4,OR(X83&gt;6,Z83&gt;6,AA83&gt;6)),1,0)</f>
        <v>0</v>
      </c>
      <c r="BQ83" s="248">
        <f>IF(AND(X83&gt;4,OR(X83&gt;6,Y83&gt;6,Z83&gt;6,AA83&gt;6)),1,0)</f>
        <v>0</v>
      </c>
      <c r="BR83" s="243">
        <f>IF(AND(X83&gt;4,MAX(X83:AB83)&gt;6),1,0)</f>
        <v>0</v>
      </c>
      <c r="BS83" s="243">
        <f>IF(AVERAGE(AO83:AP83)&gt;9,1,0)+IF(AVERAGE(AO83:AP83)&gt;7,1,0)+IF(AO83&gt;7,1,0)+IF(AP83&gt;7,1,0)+IF(AQ83&gt;8,1,0)+IF(AQ83&gt;6,1,0)</f>
        <v>0</v>
      </c>
      <c r="BT83" s="249">
        <f>IF(OR(MAX(AG83,AH83,AL83,AN83)&gt;6,MAX(AI83,AJ83,AK83,AM83)&gt;7),2,IF(MAX(AG83:AN83)&gt;4,1,0))</f>
        <v>1</v>
      </c>
      <c r="BU83" s="242" t="str">
        <f>IF(AS83=1,"Yes","")</f>
        <v/>
      </c>
      <c r="BV83" s="241" t="str">
        <f>IF($B83="ML","There",IF(AND($X83&gt;=6,AVERAGE($Z83:$AA83)&gt;=6),"Likely",IF(OR($X83&gt;6,AND($X83=6,AVERAGE($Z83:$AA83)&gt;=3),AND($X83&gt;=5,AVERAGE($Z83:$AA83)&gt;=5),AVERAGE($X83,$Z83:$AA83)&gt;5),"Possible","Unlikely")))</f>
        <v>Unlikely</v>
      </c>
      <c r="BW83" s="242" t="str">
        <f>IF(OR(AND(S83&gt;=6,U83+V83&gt;=12),S83&gt;7),"Start",IF(AND(S83&gt;=5,U83+V83&gt;=8),"Bench","aack!"))</f>
        <v>aack!</v>
      </c>
      <c r="BX83" s="242" t="str">
        <f>IF(OR(AND(X83&gt;=6,Z83+AA83&gt;=12),X83&gt;7),"Start",IF(AND(X83&gt;=5,Z83+AA83&gt;=8),"Bench","aack!"))</f>
        <v>aack!</v>
      </c>
      <c r="BY83" s="242" t="str">
        <f>IF(S83&gt;5,"ML",IF(S83=5,"AAA",IF(S83=4,"AA",IF(S83=3,"A","SS-A"))))</f>
        <v>A</v>
      </c>
      <c r="BZ83" s="242">
        <f>S83-X83</f>
        <v>-1</v>
      </c>
      <c r="CA83" s="242">
        <f>T83-Y83</f>
        <v>-1</v>
      </c>
      <c r="CB83" s="242">
        <f>U83-Z83</f>
        <v>-2</v>
      </c>
      <c r="CC83" s="242">
        <f>V83-AA83</f>
        <v>-3</v>
      </c>
      <c r="CD83" s="242">
        <f>W83-AB83</f>
        <v>-1</v>
      </c>
      <c r="CE83" s="242">
        <f>SUM(BZ83:CD83)</f>
        <v>-8</v>
      </c>
      <c r="CF83" s="242">
        <f>X83+Z83+AA83</f>
        <v>14</v>
      </c>
      <c r="CG83" s="242">
        <f>X83+Z83</f>
        <v>8</v>
      </c>
      <c r="CH83" s="242">
        <f>X83+AA83</f>
        <v>10</v>
      </c>
      <c r="CI83" s="242" t="str">
        <f>IF(L83&gt;24,"Now - Age",IF(S83&gt;6,"Now",IF(X83&lt;6,"With Dev",MIN(X83-S83,7-S83))))</f>
        <v>With Dev</v>
      </c>
      <c r="CJ83" s="257" t="str">
        <f>IF(AG83&lt;&gt;"-","X","")</f>
        <v>X</v>
      </c>
      <c r="CK83" s="257" t="str">
        <f>IF(AND(AH83&lt;&gt;"-",AH83&gt;5),"X","")</f>
        <v/>
      </c>
      <c r="CL83" s="257" t="str">
        <f>IF(AND(AI83&lt;&gt;"-",AI83&gt;5),"X","")</f>
        <v/>
      </c>
      <c r="CM83" s="257" t="str">
        <f>IF(AND(AJ83&lt;&gt;"-",AJ83&gt;4,AC83&gt;6),"X","")</f>
        <v/>
      </c>
      <c r="CN83" s="257" t="str">
        <f>IF(AND(AK83&lt;&gt;"-",AK83&gt;5,AC83&gt;5),"X","")</f>
        <v/>
      </c>
      <c r="CO83" s="257" t="str">
        <f>IF(AND(AL83&lt;&gt;"-",AL83&gt;3),"X","")</f>
        <v/>
      </c>
      <c r="CP83" s="257" t="str">
        <f>IF(AND(AM83&lt;&gt;"-",AM83&gt;6),"X","")</f>
        <v/>
      </c>
      <c r="CQ83" s="257" t="str">
        <f>IF(AND(AN83&lt;&gt;"-",AN83&gt;5,AD83&gt;6),"X","")</f>
        <v/>
      </c>
      <c r="CR83" s="257" t="str">
        <f>IF(COUNTBLANK(CJ83:CQ83)=8,"X","")</f>
        <v/>
      </c>
    </row>
    <row r="84" spans="1:96" s="306" customFormat="1" x14ac:dyDescent="0.25">
      <c r="A84" s="240" t="str">
        <f>H84&amp;" "&amp;I84</f>
        <v>Yaichiro Matsumoto</v>
      </c>
      <c r="B84" s="240" t="str">
        <f>IF(ISERROR(VLOOKUP(A84,AMA!$C$3:$C$24,1,FALSE)),IF(ISERROR(VLOOKUP(A84,'END-AAA'!$C$6:$C$33,1,FALSE)),IF(ISERROR(VLOOKUP(A84,'DB-AA'!$C$6:$C$33,1,FALSE)),IF(ISERROR(VLOOKUP(A84,'UTR-A'!$C$6:$C$33,1,FALSE)),IF(ISERROR(VLOOKUP(A84,'FAI-S A'!$C$6:$C$33,1,FALSE)),"","S A"),"A"),"AA"),"AAA"),"ML")</f>
        <v/>
      </c>
      <c r="C84" s="241"/>
      <c r="D84" s="242" t="str">
        <f>IF(BL84=1,3,IF(BM84=1,4,IF(BJ84=1,1,IF(BN84=1,5,IF(BK84=1,2,IF(BO84=1,6,IF(BP84=1,7,IF(BQ84=1,8,IF(BR84=1,9,"-")))))))))</f>
        <v>-</v>
      </c>
      <c r="E84" s="242" t="str">
        <f>IF(BC84=1,3,IF(BD84=1,4,IF(BA84=1,1,IF(BE84=1,5,IF(BB84=1,2,IF(BF84=1,6,IF(BG84=1,7,IF(BH84=1,8,IF(BI84=1,9,"-")))))))))</f>
        <v>-</v>
      </c>
      <c r="F84" s="242" t="str">
        <f>IF(OR(OR(Q84="Very High",Q84="High"),AND(OR(Q84="Very High",Q84="High",Q84="Normal"),OR(R84="Very High",R84="High"))),"K","T")</f>
        <v>K</v>
      </c>
      <c r="G84" s="242" t="s">
        <v>77</v>
      </c>
      <c r="H84" s="242" t="s">
        <v>902</v>
      </c>
      <c r="I84" s="242" t="s">
        <v>903</v>
      </c>
      <c r="J84" s="242" t="s">
        <v>810</v>
      </c>
      <c r="K84" s="242" t="s">
        <v>83</v>
      </c>
      <c r="L84" s="242">
        <v>19</v>
      </c>
      <c r="M84" s="242" t="s">
        <v>82</v>
      </c>
      <c r="N84" s="242" t="s">
        <v>82</v>
      </c>
      <c r="O84" s="242" t="s">
        <v>816</v>
      </c>
      <c r="P84" s="243" t="s">
        <v>773</v>
      </c>
      <c r="Q84" s="242" t="s">
        <v>199</v>
      </c>
      <c r="R84" s="243" t="s">
        <v>200</v>
      </c>
      <c r="S84" s="242">
        <v>3</v>
      </c>
      <c r="T84" s="242">
        <v>5</v>
      </c>
      <c r="U84" s="242">
        <v>2</v>
      </c>
      <c r="V84" s="242">
        <v>3</v>
      </c>
      <c r="W84" s="243">
        <v>2</v>
      </c>
      <c r="X84" s="242">
        <v>4</v>
      </c>
      <c r="Y84" s="242">
        <v>5</v>
      </c>
      <c r="Z84" s="242">
        <v>2</v>
      </c>
      <c r="AA84" s="242">
        <v>5</v>
      </c>
      <c r="AB84" s="243">
        <v>4</v>
      </c>
      <c r="AC84" s="242">
        <v>5</v>
      </c>
      <c r="AD84" s="242">
        <v>7</v>
      </c>
      <c r="AE84" s="242">
        <v>1</v>
      </c>
      <c r="AF84" s="242" t="s">
        <v>32</v>
      </c>
      <c r="AG84" s="242" t="s">
        <v>32</v>
      </c>
      <c r="AH84" s="242">
        <v>6</v>
      </c>
      <c r="AI84" s="242" t="s">
        <v>32</v>
      </c>
      <c r="AJ84" s="242" t="s">
        <v>32</v>
      </c>
      <c r="AK84" s="242" t="s">
        <v>32</v>
      </c>
      <c r="AL84" s="242">
        <v>5</v>
      </c>
      <c r="AM84" s="242" t="s">
        <v>32</v>
      </c>
      <c r="AN84" s="243" t="s">
        <v>32</v>
      </c>
      <c r="AO84" s="242">
        <v>10</v>
      </c>
      <c r="AP84" s="242">
        <v>6</v>
      </c>
      <c r="AQ84" s="243">
        <v>7</v>
      </c>
      <c r="AR84" s="244" t="s">
        <v>32</v>
      </c>
      <c r="AS84" s="243" t="s">
        <v>33</v>
      </c>
      <c r="AT84" s="248" t="s">
        <v>779</v>
      </c>
      <c r="AU84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1.1666666666666665</v>
      </c>
      <c r="AV84" s="246" t="str">
        <f>IF(AU84&gt;9,"SuperStar",IF(AU84&gt;8,"Star",IF(AU84&gt;6.5,"GoodReg",IF(AU84&gt;5,"Reg",IF(AU84&gt;4,"Bench","Minors")))))</f>
        <v>Minors</v>
      </c>
      <c r="AW84" s="245">
        <f>AVERAGE(X84,Z84,AA84)+IF(OR(X84&gt;7,AND(X84&gt;5,AA84&gt;5)),0.5,0)+IF(Z84&gt;7,0.25,0)+IF(X84&lt;6,-0.5*(6-X84),0)</f>
        <v>2.6666666666666665</v>
      </c>
      <c r="AX84" s="245" t="str">
        <f>IF(AW84&gt;9,"SuperStar",IF(AW84&gt;8,"Star",IF(AW84&gt;6.5,"GoodReg",IF(AW84&gt;5,"Reg",IF(AW84&gt;4,"Bench","Minors")))))</f>
        <v>Minors</v>
      </c>
      <c r="AY84" s="246">
        <f>MIN(AU84+(MAX(0,25-L84))^1.5,AW84)</f>
        <v>2.6666666666666665</v>
      </c>
      <c r="AZ84" s="246" t="str">
        <f>IF(AY84&gt;9,"SuperStar",IF(AY84&gt;8,"Star",IF(AY84&gt;6.5,"GoodReg",IF(AY84&gt;5,"Reg",IF(AY84&gt;4,"Bench","Minors")))))</f>
        <v>Minors</v>
      </c>
      <c r="BA84" s="247">
        <f>IF(AND(OR(S84+V84&gt;12,AND(S84&gt;6,V84&gt;6)),AO84&gt;6,OR(AP84&gt;=AO84,AP84&gt;6)),1,0)</f>
        <v>0</v>
      </c>
      <c r="BB84" s="248">
        <f>IF(OR(AND(S84&gt;6,W84&gt;6),S84+V84&gt;12),1,0)</f>
        <v>0</v>
      </c>
      <c r="BC84" s="248">
        <f>IF(AND(S84&gt;6,U84&gt;6,V84&gt;6),1,0)</f>
        <v>0</v>
      </c>
      <c r="BD84" s="248">
        <f>IF(AND(U84&gt;7,OR(S84&gt;6,V84&gt;6)),1,0)</f>
        <v>0</v>
      </c>
      <c r="BE84" s="248">
        <f>IF(AND(U84&gt;6,OR(S84&gt;6,V84&gt;6)),1,0)</f>
        <v>0</v>
      </c>
      <c r="BF84" s="248">
        <f>IF(AND(OR(S84&gt;6,U84&gt;6),OR(S84&gt;6,V84&gt;6)),1,0)</f>
        <v>0</v>
      </c>
      <c r="BG84" s="248">
        <f>IF(AND(S84&gt;4,OR(S84&gt;6,U84&gt;6,V84&gt;6)),1,0)</f>
        <v>0</v>
      </c>
      <c r="BH84" s="248">
        <f>IF(AND(S84&gt;4,OR(S84&gt;6,T84&gt;6,U84&gt;6,V84&gt;6)),1,0)</f>
        <v>0</v>
      </c>
      <c r="BI84" s="243">
        <f>IF(AND(S84&gt;4,MAX(S84:W84)&gt;6),1,0)</f>
        <v>0</v>
      </c>
      <c r="BJ84" s="247">
        <f>IF(AND(OR(X84+AA84&gt;12,AND(X84&gt;6,AA84&gt;6)),AO84&gt;6,OR(AP84&gt;=AO84,AP84&gt;6)),1,0)</f>
        <v>0</v>
      </c>
      <c r="BK84" s="248">
        <f>IF(OR(AND(X84&gt;6,AB84&gt;6),X84+AA84&gt;12),1,0)</f>
        <v>0</v>
      </c>
      <c r="BL84" s="248">
        <f>IF(AND(X84&gt;6,Z84&gt;6,AA84&gt;6),1,0)</f>
        <v>0</v>
      </c>
      <c r="BM84" s="248">
        <f>IF(AND(Z84&gt;7,OR(X84&gt;6,AA84&gt;6)),1,0)</f>
        <v>0</v>
      </c>
      <c r="BN84" s="248">
        <f>IF(AND(Z84&gt;6,OR(X84&gt;6,AA84&gt;6)),1,0)</f>
        <v>0</v>
      </c>
      <c r="BO84" s="248">
        <f>IF(AND(OR(X84&gt;6,Z84&gt;6),OR(X84&gt;6,AA84&gt;6)),1,0)</f>
        <v>0</v>
      </c>
      <c r="BP84" s="248">
        <f>IF(AND(X84&gt;4,OR(X84&gt;6,Z84&gt;6,AA84&gt;6)),1,0)</f>
        <v>0</v>
      </c>
      <c r="BQ84" s="248">
        <f>IF(AND(X84&gt;4,OR(X84&gt;6,Y84&gt;6,Z84&gt;6,AA84&gt;6)),1,0)</f>
        <v>0</v>
      </c>
      <c r="BR84" s="243">
        <f>IF(AND(X84&gt;4,MAX(X84:AB84)&gt;6),1,0)</f>
        <v>0</v>
      </c>
      <c r="BS84" s="243">
        <f>IF(AVERAGE(AO84:AP84)&gt;9,1,0)+IF(AVERAGE(AO84:AP84)&gt;7,1,0)+IF(AO84&gt;7,1,0)+IF(AP84&gt;7,1,0)+IF(AQ84&gt;8,1,0)+IF(AQ84&gt;6,1,0)</f>
        <v>3</v>
      </c>
      <c r="BT84" s="249">
        <f>IF(OR(MAX(AG84,AH84,AL84,AN84)&gt;6,MAX(AI84,AJ84,AK84,AM84)&gt;7),2,IF(MAX(AG84:AN84)&gt;4,1,0))</f>
        <v>1</v>
      </c>
      <c r="BU84" s="242" t="str">
        <f>IF(AS84=1,"Yes","")</f>
        <v/>
      </c>
      <c r="BV84" s="241" t="str">
        <f>IF($B84="ML","There",IF(AND($X84&gt;=6,AVERAGE($Z84:$AA84)&gt;=6),"Likely",IF(OR($X84&gt;6,AND($X84=6,AVERAGE($Z84:$AA84)&gt;=3),AND($X84&gt;=5,AVERAGE($Z84:$AA84)&gt;=5),AVERAGE($X84,$Z84:$AA84)&gt;5),"Possible","Unlikely")))</f>
        <v>Unlikely</v>
      </c>
      <c r="BW84" s="242" t="str">
        <f>IF(OR(AND(S84&gt;=6,U84+V84&gt;=12),S84&gt;7),"Start",IF(AND(S84&gt;=5,U84+V84&gt;=8),"Bench","aack!"))</f>
        <v>aack!</v>
      </c>
      <c r="BX84" s="242" t="str">
        <f>IF(OR(AND(X84&gt;=6,Z84+AA84&gt;=12),X84&gt;7),"Start",IF(AND(X84&gt;=5,Z84+AA84&gt;=8),"Bench","aack!"))</f>
        <v>aack!</v>
      </c>
      <c r="BY84" s="242" t="str">
        <f>IF(S84&gt;5,"ML",IF(S84=5,"AAA",IF(S84=4,"AA",IF(S84=3,"A","SS-A"))))</f>
        <v>A</v>
      </c>
      <c r="BZ84" s="242">
        <f>S84-X84</f>
        <v>-1</v>
      </c>
      <c r="CA84" s="242">
        <f>T84-Y84</f>
        <v>0</v>
      </c>
      <c r="CB84" s="242">
        <f>U84-Z84</f>
        <v>0</v>
      </c>
      <c r="CC84" s="242">
        <f>V84-AA84</f>
        <v>-2</v>
      </c>
      <c r="CD84" s="242">
        <f>W84-AB84</f>
        <v>-2</v>
      </c>
      <c r="CE84" s="242">
        <f>SUM(BZ84:CD84)</f>
        <v>-5</v>
      </c>
      <c r="CF84" s="242">
        <f>X84+Z84+AA84</f>
        <v>11</v>
      </c>
      <c r="CG84" s="242">
        <f>X84+Z84</f>
        <v>6</v>
      </c>
      <c r="CH84" s="242">
        <f>X84+AA84</f>
        <v>9</v>
      </c>
      <c r="CI84" s="242" t="str">
        <f>IF(L84&gt;24,"Now - Age",IF(S84&gt;6,"Now",IF(X84&lt;6,"With Dev",MIN(X84-S84,7-S84))))</f>
        <v>With Dev</v>
      </c>
      <c r="CJ84" s="257" t="str">
        <f>IF(AG84&lt;&gt;"-","X","")</f>
        <v/>
      </c>
      <c r="CK84" s="257" t="str">
        <f>IF(AND(AH84&lt;&gt;"-",AH84&gt;5),"X","")</f>
        <v>X</v>
      </c>
      <c r="CL84" s="257" t="str">
        <f>IF(AND(AI84&lt;&gt;"-",AI84&gt;5),"X","")</f>
        <v/>
      </c>
      <c r="CM84" s="257" t="str">
        <f>IF(AND(AJ84&lt;&gt;"-",AJ84&gt;4,AC84&gt;6),"X","")</f>
        <v/>
      </c>
      <c r="CN84" s="257" t="str">
        <f>IF(AND(AK84&lt;&gt;"-",AK84&gt;5,AC84&gt;5),"X","")</f>
        <v/>
      </c>
      <c r="CO84" s="257" t="str">
        <f>IF(AND(AL84&lt;&gt;"-",AL84&gt;3),"X","")</f>
        <v>X</v>
      </c>
      <c r="CP84" s="257" t="str">
        <f>IF(AND(AM84&lt;&gt;"-",AM84&gt;6),"X","")</f>
        <v/>
      </c>
      <c r="CQ84" s="257" t="str">
        <f>IF(AND(AN84&lt;&gt;"-",AN84&gt;5,AD84&gt;6),"X","")</f>
        <v/>
      </c>
      <c r="CR84" s="257" t="str">
        <f>IF(COUNTBLANK(CJ84:CQ84)=8,"X","")</f>
        <v/>
      </c>
    </row>
    <row r="85" spans="1:96" s="306" customFormat="1" x14ac:dyDescent="0.25">
      <c r="A85" s="240" t="str">
        <f>H85&amp;" "&amp;I85</f>
        <v>Yong-hoon Pak</v>
      </c>
      <c r="B85" s="240" t="str">
        <f>IF(ISERROR(VLOOKUP(A85,AMA!$C$3:$C$24,1,FALSE)),IF(ISERROR(VLOOKUP(A85,'END-AAA'!$C$6:$C$33,1,FALSE)),IF(ISERROR(VLOOKUP(A85,'DB-AA'!$C$6:$C$33,1,FALSE)),IF(ISERROR(VLOOKUP(A85,'UTR-A'!$C$6:$C$33,1,FALSE)),IF(ISERROR(VLOOKUP(A85,'FAI-S A'!$C$6:$C$33,1,FALSE)),"","S A"),"A"),"AA"),"AAA"),"ML")</f>
        <v/>
      </c>
      <c r="C85" s="241"/>
      <c r="D85" s="242" t="str">
        <f>IF(BL85=1,3,IF(BM85=1,4,IF(BJ85=1,1,IF(BN85=1,5,IF(BK85=1,2,IF(BO85=1,6,IF(BP85=1,7,IF(BQ85=1,8,IF(BR85=1,9,"-")))))))))</f>
        <v>-</v>
      </c>
      <c r="E85" s="242" t="str">
        <f>IF(BC85=1,3,IF(BD85=1,4,IF(BA85=1,1,IF(BE85=1,5,IF(BB85=1,2,IF(BF85=1,6,IF(BG85=1,7,IF(BH85=1,8,IF(BI85=1,9,"-")))))))))</f>
        <v>-</v>
      </c>
      <c r="F85" s="242" t="str">
        <f>IF(OR(OR(Q85="Very High",Q85="High"),AND(OR(Q85="Very High",Q85="High",Q85="Normal"),OR(R85="Very High",R85="High"))),"K","T")</f>
        <v>T</v>
      </c>
      <c r="G85" s="242" t="s">
        <v>79</v>
      </c>
      <c r="H85" s="242" t="s">
        <v>906</v>
      </c>
      <c r="I85" s="242" t="s">
        <v>405</v>
      </c>
      <c r="J85" s="242" t="s">
        <v>810</v>
      </c>
      <c r="K85" s="242" t="s">
        <v>83</v>
      </c>
      <c r="L85" s="242">
        <v>20</v>
      </c>
      <c r="M85" s="242" t="s">
        <v>83</v>
      </c>
      <c r="N85" s="242" t="s">
        <v>83</v>
      </c>
      <c r="O85" s="242" t="s">
        <v>816</v>
      </c>
      <c r="P85" s="243" t="s">
        <v>808</v>
      </c>
      <c r="Q85" s="242" t="s">
        <v>200</v>
      </c>
      <c r="R85" s="243" t="s">
        <v>200</v>
      </c>
      <c r="S85" s="242">
        <v>3</v>
      </c>
      <c r="T85" s="242">
        <v>4</v>
      </c>
      <c r="U85" s="242">
        <v>3</v>
      </c>
      <c r="V85" s="242">
        <v>2</v>
      </c>
      <c r="W85" s="243">
        <v>2</v>
      </c>
      <c r="X85" s="242">
        <v>4</v>
      </c>
      <c r="Y85" s="242">
        <v>4</v>
      </c>
      <c r="Z85" s="242">
        <v>4</v>
      </c>
      <c r="AA85" s="242">
        <v>3</v>
      </c>
      <c r="AB85" s="243">
        <v>3</v>
      </c>
      <c r="AC85" s="242">
        <v>6</v>
      </c>
      <c r="AD85" s="242">
        <v>7</v>
      </c>
      <c r="AE85" s="242">
        <v>1</v>
      </c>
      <c r="AF85" s="242" t="s">
        <v>32</v>
      </c>
      <c r="AG85" s="242" t="s">
        <v>32</v>
      </c>
      <c r="AH85" s="242" t="s">
        <v>32</v>
      </c>
      <c r="AI85" s="242" t="s">
        <v>32</v>
      </c>
      <c r="AJ85" s="242" t="s">
        <v>32</v>
      </c>
      <c r="AK85" s="242" t="s">
        <v>32</v>
      </c>
      <c r="AL85" s="242">
        <v>3</v>
      </c>
      <c r="AM85" s="242">
        <v>1</v>
      </c>
      <c r="AN85" s="243">
        <v>4</v>
      </c>
      <c r="AO85" s="242">
        <v>3</v>
      </c>
      <c r="AP85" s="242">
        <v>5</v>
      </c>
      <c r="AQ85" s="243">
        <v>5</v>
      </c>
      <c r="AR85" s="244" t="s">
        <v>32</v>
      </c>
      <c r="AS85" s="243">
        <v>0</v>
      </c>
      <c r="AT85" s="248" t="s">
        <v>779</v>
      </c>
      <c r="AU85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1.1666666666666665</v>
      </c>
      <c r="AV85" s="246" t="str">
        <f>IF(AU85&gt;9,"SuperStar",IF(AU85&gt;8,"Star",IF(AU85&gt;6.5,"GoodReg",IF(AU85&gt;5,"Reg",IF(AU85&gt;4,"Bench","Minors")))))</f>
        <v>Minors</v>
      </c>
      <c r="AW85" s="245">
        <f>AVERAGE(X85,Z85,AA85)+IF(OR(X85&gt;7,AND(X85&gt;5,AA85&gt;5)),0.5,0)+IF(Z85&gt;7,0.25,0)+IF(X85&lt;6,-0.5*(6-X85),0)</f>
        <v>2.6666666666666665</v>
      </c>
      <c r="AX85" s="245" t="str">
        <f>IF(AW85&gt;9,"SuperStar",IF(AW85&gt;8,"Star",IF(AW85&gt;6.5,"GoodReg",IF(AW85&gt;5,"Reg",IF(AW85&gt;4,"Bench","Minors")))))</f>
        <v>Minors</v>
      </c>
      <c r="AY85" s="246">
        <f>MIN(AU85+(MAX(0,25-L85))^1.5,AW85)</f>
        <v>2.6666666666666665</v>
      </c>
      <c r="AZ85" s="246" t="str">
        <f>IF(AY85&gt;9,"SuperStar",IF(AY85&gt;8,"Star",IF(AY85&gt;6.5,"GoodReg",IF(AY85&gt;5,"Reg",IF(AY85&gt;4,"Bench","Minors")))))</f>
        <v>Minors</v>
      </c>
      <c r="BA85" s="247">
        <f>IF(AND(OR(S85+V85&gt;12,AND(S85&gt;6,V85&gt;6)),AO85&gt;6,OR(AP85&gt;=AO85,AP85&gt;6)),1,0)</f>
        <v>0</v>
      </c>
      <c r="BB85" s="248">
        <f>IF(OR(AND(S85&gt;6,W85&gt;6),S85+V85&gt;12),1,0)</f>
        <v>0</v>
      </c>
      <c r="BC85" s="248">
        <f>IF(AND(S85&gt;6,U85&gt;6,V85&gt;6),1,0)</f>
        <v>0</v>
      </c>
      <c r="BD85" s="248">
        <f>IF(AND(U85&gt;7,OR(S85&gt;6,V85&gt;6)),1,0)</f>
        <v>0</v>
      </c>
      <c r="BE85" s="248">
        <f>IF(AND(U85&gt;6,OR(S85&gt;6,V85&gt;6)),1,0)</f>
        <v>0</v>
      </c>
      <c r="BF85" s="248">
        <f>IF(AND(OR(S85&gt;6,U85&gt;6),OR(S85&gt;6,V85&gt;6)),1,0)</f>
        <v>0</v>
      </c>
      <c r="BG85" s="248">
        <f>IF(AND(S85&gt;4,OR(S85&gt;6,U85&gt;6,V85&gt;6)),1,0)</f>
        <v>0</v>
      </c>
      <c r="BH85" s="248">
        <f>IF(AND(S85&gt;4,OR(S85&gt;6,T85&gt;6,U85&gt;6,V85&gt;6)),1,0)</f>
        <v>0</v>
      </c>
      <c r="BI85" s="243">
        <f>IF(AND(S85&gt;4,MAX(S85:W85)&gt;6),1,0)</f>
        <v>0</v>
      </c>
      <c r="BJ85" s="247">
        <f>IF(AND(OR(X85+AA85&gt;12,AND(X85&gt;6,AA85&gt;6)),AO85&gt;6,OR(AP85&gt;=AO85,AP85&gt;6)),1,0)</f>
        <v>0</v>
      </c>
      <c r="BK85" s="248">
        <f>IF(OR(AND(X85&gt;6,AB85&gt;6),X85+AA85&gt;12),1,0)</f>
        <v>0</v>
      </c>
      <c r="BL85" s="248">
        <f>IF(AND(X85&gt;6,Z85&gt;6,AA85&gt;6),1,0)</f>
        <v>0</v>
      </c>
      <c r="BM85" s="248">
        <f>IF(AND(Z85&gt;7,OR(X85&gt;6,AA85&gt;6)),1,0)</f>
        <v>0</v>
      </c>
      <c r="BN85" s="248">
        <f>IF(AND(Z85&gt;6,OR(X85&gt;6,AA85&gt;6)),1,0)</f>
        <v>0</v>
      </c>
      <c r="BO85" s="248">
        <f>IF(AND(OR(X85&gt;6,Z85&gt;6),OR(X85&gt;6,AA85&gt;6)),1,0)</f>
        <v>0</v>
      </c>
      <c r="BP85" s="248">
        <f>IF(AND(X85&gt;4,OR(X85&gt;6,Z85&gt;6,AA85&gt;6)),1,0)</f>
        <v>0</v>
      </c>
      <c r="BQ85" s="248">
        <f>IF(AND(X85&gt;4,OR(X85&gt;6,Y85&gt;6,Z85&gt;6,AA85&gt;6)),1,0)</f>
        <v>0</v>
      </c>
      <c r="BR85" s="243">
        <f>IF(AND(X85&gt;4,MAX(X85:AB85)&gt;6),1,0)</f>
        <v>0</v>
      </c>
      <c r="BS85" s="243">
        <f>IF(AVERAGE(AO85:AP85)&gt;9,1,0)+IF(AVERAGE(AO85:AP85)&gt;7,1,0)+IF(AO85&gt;7,1,0)+IF(AP85&gt;7,1,0)+IF(AQ85&gt;8,1,0)+IF(AQ85&gt;6,1,0)</f>
        <v>0</v>
      </c>
      <c r="BT85" s="249">
        <f>IF(OR(MAX(AG85,AH85,AL85,AN85)&gt;6,MAX(AI85,AJ85,AK85,AM85)&gt;7),2,IF(MAX(AG85:AN85)&gt;4,1,0))</f>
        <v>0</v>
      </c>
      <c r="BU85" s="242" t="str">
        <f>IF(AS85=1,"Yes","")</f>
        <v/>
      </c>
      <c r="BV85" s="241" t="str">
        <f>IF($B85="ML","There",IF(AND($X85&gt;=6,AVERAGE($Z85:$AA85)&gt;=6),"Likely",IF(OR($X85&gt;6,AND($X85=6,AVERAGE($Z85:$AA85)&gt;=3),AND($X85&gt;=5,AVERAGE($Z85:$AA85)&gt;=5),AVERAGE($X85,$Z85:$AA85)&gt;5),"Possible","Unlikely")))</f>
        <v>Unlikely</v>
      </c>
      <c r="BW85" s="242" t="str">
        <f>IF(OR(AND(S85&gt;=6,U85+V85&gt;=12),S85&gt;7),"Start",IF(AND(S85&gt;=5,U85+V85&gt;=8),"Bench","aack!"))</f>
        <v>aack!</v>
      </c>
      <c r="BX85" s="242" t="str">
        <f>IF(OR(AND(X85&gt;=6,Z85+AA85&gt;=12),X85&gt;7),"Start",IF(AND(X85&gt;=5,Z85+AA85&gt;=8),"Bench","aack!"))</f>
        <v>aack!</v>
      </c>
      <c r="BY85" s="242" t="str">
        <f>IF(S85&gt;5,"ML",IF(S85=5,"AAA",IF(S85=4,"AA",IF(S85=3,"A","SS-A"))))</f>
        <v>A</v>
      </c>
      <c r="BZ85" s="242">
        <f>S85-X85</f>
        <v>-1</v>
      </c>
      <c r="CA85" s="242">
        <f>T85-Y85</f>
        <v>0</v>
      </c>
      <c r="CB85" s="242">
        <f>U85-Z85</f>
        <v>-1</v>
      </c>
      <c r="CC85" s="242">
        <f>V85-AA85</f>
        <v>-1</v>
      </c>
      <c r="CD85" s="242">
        <f>W85-AB85</f>
        <v>-1</v>
      </c>
      <c r="CE85" s="242">
        <f>SUM(BZ85:CD85)</f>
        <v>-4</v>
      </c>
      <c r="CF85" s="242">
        <f>X85+Z85+AA85</f>
        <v>11</v>
      </c>
      <c r="CG85" s="242">
        <f>X85+Z85</f>
        <v>8</v>
      </c>
      <c r="CH85" s="242">
        <f>X85+AA85</f>
        <v>7</v>
      </c>
      <c r="CI85" s="242" t="str">
        <f>IF(L85&gt;24,"Now - Age",IF(S85&gt;6,"Now",IF(X85&lt;6,"With Dev",MIN(X85-S85,7-S85))))</f>
        <v>With Dev</v>
      </c>
      <c r="CJ85" s="257" t="str">
        <f>IF(AG85&lt;&gt;"-","X","")</f>
        <v/>
      </c>
      <c r="CK85" s="257" t="str">
        <f>IF(AND(AH85&lt;&gt;"-",AH85&gt;5),"X","")</f>
        <v/>
      </c>
      <c r="CL85" s="257" t="str">
        <f>IF(AND(AI85&lt;&gt;"-",AI85&gt;5),"X","")</f>
        <v/>
      </c>
      <c r="CM85" s="257" t="str">
        <f>IF(AND(AJ85&lt;&gt;"-",AJ85&gt;4,AC85&gt;6),"X","")</f>
        <v/>
      </c>
      <c r="CN85" s="257" t="str">
        <f>IF(AND(AK85&lt;&gt;"-",AK85&gt;5,AC85&gt;5),"X","")</f>
        <v/>
      </c>
      <c r="CO85" s="257" t="str">
        <f>IF(AND(AL85&lt;&gt;"-",AL85&gt;3),"X","")</f>
        <v/>
      </c>
      <c r="CP85" s="257" t="str">
        <f>IF(AND(AM85&lt;&gt;"-",AM85&gt;6),"X","")</f>
        <v/>
      </c>
      <c r="CQ85" s="257" t="str">
        <f>IF(AND(AN85&lt;&gt;"-",AN85&gt;5,AD85&gt;6),"X","")</f>
        <v/>
      </c>
      <c r="CR85" s="257" t="str">
        <f>IF(COUNTBLANK(CJ85:CQ85)=8,"X","")</f>
        <v>X</v>
      </c>
    </row>
    <row r="86" spans="1:96" s="306" customFormat="1" x14ac:dyDescent="0.25">
      <c r="A86" s="240" t="str">
        <f>H86&amp;" "&amp;I86</f>
        <v>Dennis Chew</v>
      </c>
      <c r="B86" s="240" t="str">
        <f>IF(ISERROR(VLOOKUP(A86,AMA!$C$3:$C$24,1,FALSE)),IF(ISERROR(VLOOKUP(A86,'END-AAA'!$C$6:$C$33,1,FALSE)),IF(ISERROR(VLOOKUP(A86,'DB-AA'!$C$6:$C$33,1,FALSE)),IF(ISERROR(VLOOKUP(A86,'UTR-A'!$C$6:$C$33,1,FALSE)),IF(ISERROR(VLOOKUP(A86,'FAI-S A'!$C$6:$C$33,1,FALSE)),"","S A"),"A"),"AA"),"AAA"),"ML")</f>
        <v/>
      </c>
      <c r="C86" s="241"/>
      <c r="D86" s="242" t="str">
        <f>IF(BL86=1,3,IF(BM86=1,4,IF(BJ86=1,1,IF(BN86=1,5,IF(BK86=1,2,IF(BO86=1,6,IF(BP86=1,7,IF(BQ86=1,8,IF(BR86=1,9,"-")))))))))</f>
        <v>-</v>
      </c>
      <c r="E86" s="242" t="str">
        <f>IF(BC86=1,3,IF(BD86=1,4,IF(BA86=1,1,IF(BE86=1,5,IF(BB86=1,2,IF(BF86=1,6,IF(BG86=1,7,IF(BH86=1,8,IF(BI86=1,9,"-")))))))))</f>
        <v>-</v>
      </c>
      <c r="F86" s="242" t="str">
        <f>IF(OR(OR(Q86="Very High",Q86="High"),AND(OR(Q86="Very High",Q86="High",Q86="Normal"),OR(R86="Very High",R86="High"))),"K","T")</f>
        <v>K</v>
      </c>
      <c r="G86" s="242" t="s">
        <v>71</v>
      </c>
      <c r="H86" s="242" t="s">
        <v>888</v>
      </c>
      <c r="I86" s="242" t="s">
        <v>889</v>
      </c>
      <c r="J86" s="242" t="s">
        <v>810</v>
      </c>
      <c r="K86" s="242" t="s">
        <v>83</v>
      </c>
      <c r="L86" s="242">
        <v>20</v>
      </c>
      <c r="M86" s="242" t="s">
        <v>85</v>
      </c>
      <c r="N86" s="242" t="s">
        <v>83</v>
      </c>
      <c r="O86" s="242" t="s">
        <v>816</v>
      </c>
      <c r="P86" s="243" t="s">
        <v>764</v>
      </c>
      <c r="Q86" s="242" t="s">
        <v>199</v>
      </c>
      <c r="R86" s="243" t="s">
        <v>200</v>
      </c>
      <c r="S86" s="242">
        <v>2</v>
      </c>
      <c r="T86" s="242">
        <v>5</v>
      </c>
      <c r="U86" s="242">
        <v>3</v>
      </c>
      <c r="V86" s="242">
        <v>4</v>
      </c>
      <c r="W86" s="243">
        <v>1</v>
      </c>
      <c r="X86" s="242">
        <v>4</v>
      </c>
      <c r="Y86" s="242">
        <v>7</v>
      </c>
      <c r="Z86" s="242">
        <v>5</v>
      </c>
      <c r="AA86" s="242">
        <v>7</v>
      </c>
      <c r="AB86" s="243">
        <v>4</v>
      </c>
      <c r="AC86" s="242">
        <v>3</v>
      </c>
      <c r="AD86" s="242">
        <v>3</v>
      </c>
      <c r="AE86" s="242">
        <v>6</v>
      </c>
      <c r="AF86" s="242">
        <v>3</v>
      </c>
      <c r="AG86" s="242">
        <v>3</v>
      </c>
      <c r="AH86" s="242" t="s">
        <v>32</v>
      </c>
      <c r="AI86" s="242" t="s">
        <v>32</v>
      </c>
      <c r="AJ86" s="242" t="s">
        <v>32</v>
      </c>
      <c r="AK86" s="242" t="s">
        <v>32</v>
      </c>
      <c r="AL86" s="242" t="s">
        <v>32</v>
      </c>
      <c r="AM86" s="242" t="s">
        <v>32</v>
      </c>
      <c r="AN86" s="243" t="s">
        <v>32</v>
      </c>
      <c r="AO86" s="242">
        <v>3</v>
      </c>
      <c r="AP86" s="242">
        <v>3</v>
      </c>
      <c r="AQ86" s="243">
        <v>4</v>
      </c>
      <c r="AR86" s="244" t="s">
        <v>32</v>
      </c>
      <c r="AS86" s="243" t="s">
        <v>33</v>
      </c>
      <c r="AT86" s="248" t="s">
        <v>779</v>
      </c>
      <c r="AU86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</v>
      </c>
      <c r="AV86" s="246" t="str">
        <f>IF(AU86&gt;9,"SuperStar",IF(AU86&gt;8,"Star",IF(AU86&gt;6.5,"GoodReg",IF(AU86&gt;5,"Reg",IF(AU86&gt;4,"Bench","Minors")))))</f>
        <v>Minors</v>
      </c>
      <c r="AW86" s="245">
        <f>AVERAGE(X86,Z86,AA86)+IF(OR(X86&gt;7,AND(X86&gt;5,AA86&gt;5)),0.5,0)+IF(Z86&gt;7,0.25,0)+IF(X86&lt;6,-0.5*(6-X86),0)</f>
        <v>4.333333333333333</v>
      </c>
      <c r="AX86" s="245" t="str">
        <f>IF(AW86&gt;9,"SuperStar",IF(AW86&gt;8,"Star",IF(AW86&gt;6.5,"GoodReg",IF(AW86&gt;5,"Reg",IF(AW86&gt;4,"Bench","Minors")))))</f>
        <v>Bench</v>
      </c>
      <c r="AY86" s="246">
        <f>MIN(AU86+(MAX(0,25-L86))^1.5,AW86)</f>
        <v>4.333333333333333</v>
      </c>
      <c r="AZ86" s="246" t="str">
        <f>IF(AY86&gt;9,"SuperStar",IF(AY86&gt;8,"Star",IF(AY86&gt;6.5,"GoodReg",IF(AY86&gt;5,"Reg",IF(AY86&gt;4,"Bench","Minors")))))</f>
        <v>Bench</v>
      </c>
      <c r="BA86" s="247">
        <f>IF(AND(OR(S86+V86&gt;12,AND(S86&gt;6,V86&gt;6)),AO86&gt;6,OR(AP86&gt;=AO86,AP86&gt;6)),1,0)</f>
        <v>0</v>
      </c>
      <c r="BB86" s="248">
        <f>IF(OR(AND(S86&gt;6,W86&gt;6),S86+V86&gt;12),1,0)</f>
        <v>0</v>
      </c>
      <c r="BC86" s="248">
        <f>IF(AND(S86&gt;6,U86&gt;6,V86&gt;6),1,0)</f>
        <v>0</v>
      </c>
      <c r="BD86" s="248">
        <f>IF(AND(U86&gt;7,OR(S86&gt;6,V86&gt;6)),1,0)</f>
        <v>0</v>
      </c>
      <c r="BE86" s="248">
        <f>IF(AND(U86&gt;6,OR(S86&gt;6,V86&gt;6)),1,0)</f>
        <v>0</v>
      </c>
      <c r="BF86" s="248">
        <f>IF(AND(OR(S86&gt;6,U86&gt;6),OR(S86&gt;6,V86&gt;6)),1,0)</f>
        <v>0</v>
      </c>
      <c r="BG86" s="248">
        <f>IF(AND(S86&gt;4,OR(S86&gt;6,U86&gt;6,V86&gt;6)),1,0)</f>
        <v>0</v>
      </c>
      <c r="BH86" s="248">
        <f>IF(AND(S86&gt;4,OR(S86&gt;6,T86&gt;6,U86&gt;6,V86&gt;6)),1,0)</f>
        <v>0</v>
      </c>
      <c r="BI86" s="243">
        <f>IF(AND(S86&gt;4,MAX(S86:W86)&gt;6),1,0)</f>
        <v>0</v>
      </c>
      <c r="BJ86" s="247">
        <f>IF(AND(OR(X86+AA86&gt;12,AND(X86&gt;6,AA86&gt;6)),AO86&gt;6,OR(AP86&gt;=AO86,AP86&gt;6)),1,0)</f>
        <v>0</v>
      </c>
      <c r="BK86" s="248">
        <f>IF(OR(AND(X86&gt;6,AB86&gt;6),X86+AA86&gt;12),1,0)</f>
        <v>0</v>
      </c>
      <c r="BL86" s="248">
        <f>IF(AND(X86&gt;6,Z86&gt;6,AA86&gt;6),1,0)</f>
        <v>0</v>
      </c>
      <c r="BM86" s="248">
        <f>IF(AND(Z86&gt;7,OR(X86&gt;6,AA86&gt;6)),1,0)</f>
        <v>0</v>
      </c>
      <c r="BN86" s="248">
        <f>IF(AND(Z86&gt;6,OR(X86&gt;6,AA86&gt;6)),1,0)</f>
        <v>0</v>
      </c>
      <c r="BO86" s="248">
        <f>IF(AND(OR(X86&gt;6,Z86&gt;6),OR(X86&gt;6,AA86&gt;6)),1,0)</f>
        <v>0</v>
      </c>
      <c r="BP86" s="248">
        <f>IF(AND(X86&gt;4,OR(X86&gt;6,Z86&gt;6,AA86&gt;6)),1,0)</f>
        <v>0</v>
      </c>
      <c r="BQ86" s="248">
        <f>IF(AND(X86&gt;4,OR(X86&gt;6,Y86&gt;6,Z86&gt;6,AA86&gt;6)),1,0)</f>
        <v>0</v>
      </c>
      <c r="BR86" s="243">
        <f>IF(AND(X86&gt;4,MAX(X86:AB86)&gt;6),1,0)</f>
        <v>0</v>
      </c>
      <c r="BS86" s="243">
        <f>IF(AVERAGE(AO86:AP86)&gt;9,1,0)+IF(AVERAGE(AO86:AP86)&gt;7,1,0)+IF(AO86&gt;7,1,0)+IF(AP86&gt;7,1,0)+IF(AQ86&gt;8,1,0)+IF(AQ86&gt;6,1,0)</f>
        <v>0</v>
      </c>
      <c r="BT86" s="249">
        <f>IF(OR(MAX(AG86,AH86,AL86,AN86)&gt;6,MAX(AI86,AJ86,AK86,AM86)&gt;7),2,IF(MAX(AG86:AN86)&gt;4,1,0))</f>
        <v>0</v>
      </c>
      <c r="BU86" s="242" t="str">
        <f>IF(AS86=1,"Yes","")</f>
        <v/>
      </c>
      <c r="BV86" s="241" t="str">
        <f>IF($B86="ML","There",IF(AND($X86&gt;=6,AVERAGE($Z86:$AA86)&gt;=6),"Likely",IF(OR($X86&gt;6,AND($X86=6,AVERAGE($Z86:$AA86)&gt;=3),AND($X86&gt;=5,AVERAGE($Z86:$AA86)&gt;=5),AVERAGE($X86,$Z86:$AA86)&gt;5),"Possible","Unlikely")))</f>
        <v>Possible</v>
      </c>
      <c r="BW86" s="242" t="str">
        <f>IF(OR(AND(S86&gt;=6,U86+V86&gt;=12),S86&gt;7),"Start",IF(AND(S86&gt;=5,U86+V86&gt;=8),"Bench","aack!"))</f>
        <v>aack!</v>
      </c>
      <c r="BX86" s="242" t="str">
        <f>IF(OR(AND(X86&gt;=6,Z86+AA86&gt;=12),X86&gt;7),"Start",IF(AND(X86&gt;=5,Z86+AA86&gt;=8),"Bench","aack!"))</f>
        <v>aack!</v>
      </c>
      <c r="BY86" s="242" t="str">
        <f>IF(S86&gt;5,"ML",IF(S86=5,"AAA",IF(S86=4,"AA",IF(S86=3,"A","SS-A"))))</f>
        <v>SS-A</v>
      </c>
      <c r="BZ86" s="242">
        <f>S86-X86</f>
        <v>-2</v>
      </c>
      <c r="CA86" s="242">
        <f>T86-Y86</f>
        <v>-2</v>
      </c>
      <c r="CB86" s="242">
        <f>U86-Z86</f>
        <v>-2</v>
      </c>
      <c r="CC86" s="242">
        <f>V86-AA86</f>
        <v>-3</v>
      </c>
      <c r="CD86" s="242">
        <f>W86-AB86</f>
        <v>-3</v>
      </c>
      <c r="CE86" s="242">
        <f>SUM(BZ86:CD86)</f>
        <v>-12</v>
      </c>
      <c r="CF86" s="242">
        <f>X86+Z86+AA86</f>
        <v>16</v>
      </c>
      <c r="CG86" s="242">
        <f>X86+Z86</f>
        <v>9</v>
      </c>
      <c r="CH86" s="242">
        <f>X86+AA86</f>
        <v>11</v>
      </c>
      <c r="CI86" s="242" t="str">
        <f>IF(L86&gt;24,"Now - Age",IF(S86&gt;6,"Now",IF(X86&lt;6,"With Dev",MIN(X86-S86,7-S86))))</f>
        <v>With Dev</v>
      </c>
      <c r="CJ86" s="257" t="str">
        <f>IF(AG86&lt;&gt;"-","X","")</f>
        <v>X</v>
      </c>
      <c r="CK86" s="257" t="str">
        <f>IF(AND(AH86&lt;&gt;"-",AH86&gt;5),"X","")</f>
        <v/>
      </c>
      <c r="CL86" s="257" t="str">
        <f>IF(AND(AI86&lt;&gt;"-",AI86&gt;5),"X","")</f>
        <v/>
      </c>
      <c r="CM86" s="257" t="str">
        <f>IF(AND(AJ86&lt;&gt;"-",AJ86&gt;4,AC86&gt;6),"X","")</f>
        <v/>
      </c>
      <c r="CN86" s="257" t="str">
        <f>IF(AND(AK86&lt;&gt;"-",AK86&gt;5,AC86&gt;5),"X","")</f>
        <v/>
      </c>
      <c r="CO86" s="257" t="str">
        <f>IF(AND(AL86&lt;&gt;"-",AL86&gt;3),"X","")</f>
        <v/>
      </c>
      <c r="CP86" s="257" t="str">
        <f>IF(AND(AM86&lt;&gt;"-",AM86&gt;6),"X","")</f>
        <v/>
      </c>
      <c r="CQ86" s="257" t="str">
        <f>IF(AND(AN86&lt;&gt;"-",AN86&gt;5,AD86&gt;6),"X","")</f>
        <v/>
      </c>
      <c r="CR86" s="257" t="str">
        <f>IF(COUNTBLANK(CJ86:CQ86)=8,"X","")</f>
        <v/>
      </c>
    </row>
    <row r="87" spans="1:96" s="306" customFormat="1" x14ac:dyDescent="0.25">
      <c r="A87" s="240" t="str">
        <f>H87&amp;" "&amp;I87</f>
        <v>Jimmy Bettini</v>
      </c>
      <c r="B87" s="240" t="str">
        <f>IF(ISERROR(VLOOKUP(A87,AMA!$C$3:$C$24,1,FALSE)),IF(ISERROR(VLOOKUP(A87,'END-AAA'!$C$6:$C$33,1,FALSE)),IF(ISERROR(VLOOKUP(A87,'DB-AA'!$C$6:$C$33,1,FALSE)),IF(ISERROR(VLOOKUP(A87,'UTR-A'!$C$6:$C$33,1,FALSE)),IF(ISERROR(VLOOKUP(A87,'FAI-S A'!$C$6:$C$33,1,FALSE)),"","S A"),"A"),"AA"),"AAA"),"ML")</f>
        <v/>
      </c>
      <c r="C87" s="241"/>
      <c r="D87" s="242" t="str">
        <f>IF(BL87=1,3,IF(BM87=1,4,IF(BJ87=1,1,IF(BN87=1,5,IF(BK87=1,2,IF(BO87=1,6,IF(BP87=1,7,IF(BQ87=1,8,IF(BR87=1,9,"-")))))))))</f>
        <v>-</v>
      </c>
      <c r="E87" s="242" t="str">
        <f>IF(BC87=1,3,IF(BD87=1,4,IF(BA87=1,1,IF(BE87=1,5,IF(BB87=1,2,IF(BF87=1,6,IF(BG87=1,7,IF(BH87=1,8,IF(BI87=1,9,"-")))))))))</f>
        <v>-</v>
      </c>
      <c r="F87" s="242" t="str">
        <f>IF(OR(OR(Q87="Very High",Q87="High"),AND(OR(Q87="Very High",Q87="High",Q87="Normal"),OR(R87="Very High",R87="High"))),"K","T")</f>
        <v>T</v>
      </c>
      <c r="G87" s="242" t="s">
        <v>73</v>
      </c>
      <c r="H87" s="242" t="s">
        <v>727</v>
      </c>
      <c r="I87" s="242" t="s">
        <v>886</v>
      </c>
      <c r="J87" s="242" t="s">
        <v>810</v>
      </c>
      <c r="K87" s="242" t="s">
        <v>83</v>
      </c>
      <c r="L87" s="242">
        <v>20</v>
      </c>
      <c r="M87" s="242" t="s">
        <v>82</v>
      </c>
      <c r="N87" s="242" t="s">
        <v>82</v>
      </c>
      <c r="O87" s="242" t="s">
        <v>816</v>
      </c>
      <c r="P87" s="243" t="s">
        <v>808</v>
      </c>
      <c r="Q87" s="242" t="s">
        <v>201</v>
      </c>
      <c r="R87" s="243" t="s">
        <v>200</v>
      </c>
      <c r="S87" s="242">
        <v>2</v>
      </c>
      <c r="T87" s="242">
        <v>5</v>
      </c>
      <c r="U87" s="242">
        <v>2</v>
      </c>
      <c r="V87" s="242">
        <v>5</v>
      </c>
      <c r="W87" s="243">
        <v>1</v>
      </c>
      <c r="X87" s="242">
        <v>3</v>
      </c>
      <c r="Y87" s="242">
        <v>5</v>
      </c>
      <c r="Z87" s="242">
        <v>4</v>
      </c>
      <c r="AA87" s="242">
        <v>7</v>
      </c>
      <c r="AB87" s="243">
        <v>3</v>
      </c>
      <c r="AC87" s="242">
        <v>3</v>
      </c>
      <c r="AD87" s="242">
        <v>3</v>
      </c>
      <c r="AE87" s="242">
        <v>1</v>
      </c>
      <c r="AF87" s="242" t="s">
        <v>32</v>
      </c>
      <c r="AG87" s="242" t="s">
        <v>32</v>
      </c>
      <c r="AH87" s="242">
        <v>5</v>
      </c>
      <c r="AI87" s="242" t="s">
        <v>32</v>
      </c>
      <c r="AJ87" s="242" t="s">
        <v>32</v>
      </c>
      <c r="AK87" s="242" t="s">
        <v>32</v>
      </c>
      <c r="AL87" s="242" t="s">
        <v>32</v>
      </c>
      <c r="AM87" s="242" t="s">
        <v>32</v>
      </c>
      <c r="AN87" s="243" t="s">
        <v>32</v>
      </c>
      <c r="AO87" s="242">
        <v>2</v>
      </c>
      <c r="AP87" s="242">
        <v>2</v>
      </c>
      <c r="AQ87" s="243">
        <v>1</v>
      </c>
      <c r="AR87" s="244" t="s">
        <v>32</v>
      </c>
      <c r="AS87" s="243">
        <v>0</v>
      </c>
      <c r="AT87" s="248" t="s">
        <v>779</v>
      </c>
      <c r="AU87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</v>
      </c>
      <c r="AV87" s="246" t="str">
        <f>IF(AU87&gt;9,"SuperStar",IF(AU87&gt;8,"Star",IF(AU87&gt;6.5,"GoodReg",IF(AU87&gt;5,"Reg",IF(AU87&gt;4,"Bench","Minors")))))</f>
        <v>Minors</v>
      </c>
      <c r="AW87" s="245">
        <f>AVERAGE(X87,Z87,AA87)+IF(OR(X87&gt;7,AND(X87&gt;5,AA87&gt;5)),0.5,0)+IF(Z87&gt;7,0.25,0)+IF(X87&lt;6,-0.5*(6-X87),0)</f>
        <v>3.166666666666667</v>
      </c>
      <c r="AX87" s="245" t="str">
        <f>IF(AW87&gt;9,"SuperStar",IF(AW87&gt;8,"Star",IF(AW87&gt;6.5,"GoodReg",IF(AW87&gt;5,"Reg",IF(AW87&gt;4,"Bench","Minors")))))</f>
        <v>Minors</v>
      </c>
      <c r="AY87" s="246">
        <f>MIN(AU87+(MAX(0,25-L87))^1.5,AW87)</f>
        <v>3.166666666666667</v>
      </c>
      <c r="AZ87" s="246" t="str">
        <f>IF(AY87&gt;9,"SuperStar",IF(AY87&gt;8,"Star",IF(AY87&gt;6.5,"GoodReg",IF(AY87&gt;5,"Reg",IF(AY87&gt;4,"Bench","Minors")))))</f>
        <v>Minors</v>
      </c>
      <c r="BA87" s="247">
        <f>IF(AND(OR(S87+V87&gt;12,AND(S87&gt;6,V87&gt;6)),AO87&gt;6,OR(AP87&gt;=AO87,AP87&gt;6)),1,0)</f>
        <v>0</v>
      </c>
      <c r="BB87" s="248">
        <f>IF(OR(AND(S87&gt;6,W87&gt;6),S87+V87&gt;12),1,0)</f>
        <v>0</v>
      </c>
      <c r="BC87" s="248">
        <f>IF(AND(S87&gt;6,U87&gt;6,V87&gt;6),1,0)</f>
        <v>0</v>
      </c>
      <c r="BD87" s="248">
        <f>IF(AND(U87&gt;7,OR(S87&gt;6,V87&gt;6)),1,0)</f>
        <v>0</v>
      </c>
      <c r="BE87" s="248">
        <f>IF(AND(U87&gt;6,OR(S87&gt;6,V87&gt;6)),1,0)</f>
        <v>0</v>
      </c>
      <c r="BF87" s="248">
        <f>IF(AND(OR(S87&gt;6,U87&gt;6),OR(S87&gt;6,V87&gt;6)),1,0)</f>
        <v>0</v>
      </c>
      <c r="BG87" s="248">
        <f>IF(AND(S87&gt;4,OR(S87&gt;6,U87&gt;6,V87&gt;6)),1,0)</f>
        <v>0</v>
      </c>
      <c r="BH87" s="248">
        <f>IF(AND(S87&gt;4,OR(S87&gt;6,T87&gt;6,U87&gt;6,V87&gt;6)),1,0)</f>
        <v>0</v>
      </c>
      <c r="BI87" s="243">
        <f>IF(AND(S87&gt;4,MAX(S87:W87)&gt;6),1,0)</f>
        <v>0</v>
      </c>
      <c r="BJ87" s="247">
        <f>IF(AND(OR(X87+AA87&gt;12,AND(X87&gt;6,AA87&gt;6)),AO87&gt;6,OR(AP87&gt;=AO87,AP87&gt;6)),1,0)</f>
        <v>0</v>
      </c>
      <c r="BK87" s="248">
        <f>IF(OR(AND(X87&gt;6,AB87&gt;6),X87+AA87&gt;12),1,0)</f>
        <v>0</v>
      </c>
      <c r="BL87" s="248">
        <f>IF(AND(X87&gt;6,Z87&gt;6,AA87&gt;6),1,0)</f>
        <v>0</v>
      </c>
      <c r="BM87" s="248">
        <f>IF(AND(Z87&gt;7,OR(X87&gt;6,AA87&gt;6)),1,0)</f>
        <v>0</v>
      </c>
      <c r="BN87" s="248">
        <f>IF(AND(Z87&gt;6,OR(X87&gt;6,AA87&gt;6)),1,0)</f>
        <v>0</v>
      </c>
      <c r="BO87" s="248">
        <f>IF(AND(OR(X87&gt;6,Z87&gt;6),OR(X87&gt;6,AA87&gt;6)),1,0)</f>
        <v>0</v>
      </c>
      <c r="BP87" s="248">
        <f>IF(AND(X87&gt;4,OR(X87&gt;6,Z87&gt;6,AA87&gt;6)),1,0)</f>
        <v>0</v>
      </c>
      <c r="BQ87" s="248">
        <f>IF(AND(X87&gt;4,OR(X87&gt;6,Y87&gt;6,Z87&gt;6,AA87&gt;6)),1,0)</f>
        <v>0</v>
      </c>
      <c r="BR87" s="243">
        <f>IF(AND(X87&gt;4,MAX(X87:AB87)&gt;6),1,0)</f>
        <v>0</v>
      </c>
      <c r="BS87" s="243">
        <f>IF(AVERAGE(AO87:AP87)&gt;9,1,0)+IF(AVERAGE(AO87:AP87)&gt;7,1,0)+IF(AO87&gt;7,1,0)+IF(AP87&gt;7,1,0)+IF(AQ87&gt;8,1,0)+IF(AQ87&gt;6,1,0)</f>
        <v>0</v>
      </c>
      <c r="BT87" s="249">
        <f>IF(OR(MAX(AG87,AH87,AL87,AN87)&gt;6,MAX(AI87,AJ87,AK87,AM87)&gt;7),2,IF(MAX(AG87:AN87)&gt;4,1,0))</f>
        <v>1</v>
      </c>
      <c r="BU87" s="242" t="str">
        <f>IF(AS87=1,"Yes","")</f>
        <v/>
      </c>
      <c r="BV87" s="241" t="str">
        <f>IF($B87="ML","There",IF(AND($X87&gt;=6,AVERAGE($Z87:$AA87)&gt;=6),"Likely",IF(OR($X87&gt;6,AND($X87=6,AVERAGE($Z87:$AA87)&gt;=3),AND($X87&gt;=5,AVERAGE($Z87:$AA87)&gt;=5),AVERAGE($X87,$Z87:$AA87)&gt;5),"Possible","Unlikely")))</f>
        <v>Unlikely</v>
      </c>
      <c r="BW87" s="242" t="str">
        <f>IF(OR(AND(S87&gt;=6,U87+V87&gt;=12),S87&gt;7),"Start",IF(AND(S87&gt;=5,U87+V87&gt;=8),"Bench","aack!"))</f>
        <v>aack!</v>
      </c>
      <c r="BX87" s="242" t="str">
        <f>IF(OR(AND(X87&gt;=6,Z87+AA87&gt;=12),X87&gt;7),"Start",IF(AND(X87&gt;=5,Z87+AA87&gt;=8),"Bench","aack!"))</f>
        <v>aack!</v>
      </c>
      <c r="BY87" s="242" t="str">
        <f>IF(S87&gt;5,"ML",IF(S87=5,"AAA",IF(S87=4,"AA",IF(S87=3,"A","SS-A"))))</f>
        <v>SS-A</v>
      </c>
      <c r="BZ87" s="242">
        <f>S87-X87</f>
        <v>-1</v>
      </c>
      <c r="CA87" s="242">
        <f>T87-Y87</f>
        <v>0</v>
      </c>
      <c r="CB87" s="242">
        <f>U87-Z87</f>
        <v>-2</v>
      </c>
      <c r="CC87" s="242">
        <f>V87-AA87</f>
        <v>-2</v>
      </c>
      <c r="CD87" s="242">
        <f>W87-AB87</f>
        <v>-2</v>
      </c>
      <c r="CE87" s="242">
        <f>SUM(BZ87:CD87)</f>
        <v>-7</v>
      </c>
      <c r="CF87" s="242">
        <f>X87+Z87+AA87</f>
        <v>14</v>
      </c>
      <c r="CG87" s="242">
        <f>X87+Z87</f>
        <v>7</v>
      </c>
      <c r="CH87" s="242">
        <f>X87+AA87</f>
        <v>10</v>
      </c>
      <c r="CI87" s="242" t="str">
        <f>IF(L87&gt;24,"Now - Age",IF(S87&gt;6,"Now",IF(X87&lt;6,"With Dev",MIN(X87-S87,7-S87))))</f>
        <v>With Dev</v>
      </c>
      <c r="CJ87" s="257" t="str">
        <f>IF(AG87&lt;&gt;"-","X","")</f>
        <v/>
      </c>
      <c r="CK87" s="257" t="str">
        <f>IF(AND(AH87&lt;&gt;"-",AH87&gt;5),"X","")</f>
        <v/>
      </c>
      <c r="CL87" s="257" t="str">
        <f>IF(AND(AI87&lt;&gt;"-",AI87&gt;5),"X","")</f>
        <v/>
      </c>
      <c r="CM87" s="257" t="str">
        <f>IF(AND(AJ87&lt;&gt;"-",AJ87&gt;4,AC87&gt;6),"X","")</f>
        <v/>
      </c>
      <c r="CN87" s="257" t="str">
        <f>IF(AND(AK87&lt;&gt;"-",AK87&gt;5,AC87&gt;5),"X","")</f>
        <v/>
      </c>
      <c r="CO87" s="257" t="str">
        <f>IF(AND(AL87&lt;&gt;"-",AL87&gt;3),"X","")</f>
        <v/>
      </c>
      <c r="CP87" s="257" t="str">
        <f>IF(AND(AM87&lt;&gt;"-",AM87&gt;6),"X","")</f>
        <v/>
      </c>
      <c r="CQ87" s="257" t="str">
        <f>IF(AND(AN87&lt;&gt;"-",AN87&gt;5,AD87&gt;6),"X","")</f>
        <v/>
      </c>
      <c r="CR87" s="257" t="str">
        <f>IF(COUNTBLANK(CJ87:CQ87)=8,"X","")</f>
        <v>X</v>
      </c>
    </row>
    <row r="88" spans="1:96" s="306" customFormat="1" x14ac:dyDescent="0.25">
      <c r="A88" s="240" t="str">
        <f>H88&amp;" "&amp;I88</f>
        <v>Edgar Valéncia</v>
      </c>
      <c r="B88" s="240" t="str">
        <f>IF(ISERROR(VLOOKUP(A88,AMA!$C$3:$C$24,1,FALSE)),IF(ISERROR(VLOOKUP(A88,'END-AAA'!$C$6:$C$33,1,FALSE)),IF(ISERROR(VLOOKUP(A88,'DB-AA'!$C$6:$C$33,1,FALSE)),IF(ISERROR(VLOOKUP(A88,'UTR-A'!$C$6:$C$33,1,FALSE)),IF(ISERROR(VLOOKUP(A88,'FAI-S A'!$C$6:$C$33,1,FALSE)),"","S A"),"A"),"AA"),"AAA"),"ML")</f>
        <v/>
      </c>
      <c r="C88" s="241"/>
      <c r="D88" s="242" t="str">
        <f>IF(BL88=1,3,IF(BM88=1,4,IF(BJ88=1,1,IF(BN88=1,5,IF(BK88=1,2,IF(BO88=1,6,IF(BP88=1,7,IF(BQ88=1,8,IF(BR88=1,9,"-")))))))))</f>
        <v>-</v>
      </c>
      <c r="E88" s="242" t="str">
        <f>IF(BC88=1,3,IF(BD88=1,4,IF(BA88=1,1,IF(BE88=1,5,IF(BB88=1,2,IF(BF88=1,6,IF(BG88=1,7,IF(BH88=1,8,IF(BI88=1,9,"-")))))))))</f>
        <v>-</v>
      </c>
      <c r="F88" s="242" t="str">
        <f>IF(OR(OR(Q88="Very High",Q88="High"),AND(OR(Q88="Very High",Q88="High",Q88="Normal"),OR(R88="Very High",R88="High"))),"K","T")</f>
        <v>T</v>
      </c>
      <c r="G88" s="242" t="s">
        <v>76</v>
      </c>
      <c r="H88" s="242" t="s">
        <v>935</v>
      </c>
      <c r="I88" s="242" t="s">
        <v>1192</v>
      </c>
      <c r="J88" s="242" t="s">
        <v>814</v>
      </c>
      <c r="K88" s="242" t="s">
        <v>187</v>
      </c>
      <c r="L88" s="242">
        <v>23</v>
      </c>
      <c r="M88" s="242" t="s">
        <v>82</v>
      </c>
      <c r="N88" s="242" t="s">
        <v>83</v>
      </c>
      <c r="O88" s="242" t="s">
        <v>808</v>
      </c>
      <c r="P88" s="243" t="s">
        <v>773</v>
      </c>
      <c r="Q88" s="242" t="s">
        <v>200</v>
      </c>
      <c r="R88" s="243" t="s">
        <v>200</v>
      </c>
      <c r="S88" s="242">
        <v>2</v>
      </c>
      <c r="T88" s="242">
        <v>4</v>
      </c>
      <c r="U88" s="242">
        <v>3</v>
      </c>
      <c r="V88" s="242">
        <v>4</v>
      </c>
      <c r="W88" s="243">
        <v>2</v>
      </c>
      <c r="X88" s="242">
        <v>3</v>
      </c>
      <c r="Y88" s="242">
        <v>4</v>
      </c>
      <c r="Z88" s="242">
        <v>3</v>
      </c>
      <c r="AA88" s="242">
        <v>6</v>
      </c>
      <c r="AB88" s="243">
        <v>3</v>
      </c>
      <c r="AC88" s="242">
        <v>8</v>
      </c>
      <c r="AD88" s="242">
        <v>7</v>
      </c>
      <c r="AE88" s="242">
        <v>1</v>
      </c>
      <c r="AF88" s="242" t="s">
        <v>32</v>
      </c>
      <c r="AG88" s="242" t="s">
        <v>32</v>
      </c>
      <c r="AH88" s="242" t="s">
        <v>32</v>
      </c>
      <c r="AI88" s="242">
        <v>5</v>
      </c>
      <c r="AJ88" s="242" t="s">
        <v>32</v>
      </c>
      <c r="AK88" s="242">
        <v>6</v>
      </c>
      <c r="AL88" s="242" t="s">
        <v>32</v>
      </c>
      <c r="AM88" s="242" t="s">
        <v>32</v>
      </c>
      <c r="AN88" s="243" t="s">
        <v>32</v>
      </c>
      <c r="AO88" s="242">
        <v>8</v>
      </c>
      <c r="AP88" s="242">
        <v>10</v>
      </c>
      <c r="AQ88" s="243">
        <v>9</v>
      </c>
      <c r="AR88" s="244" t="s">
        <v>32</v>
      </c>
      <c r="AS88" s="243" t="s">
        <v>33</v>
      </c>
      <c r="AT88" s="248" t="s">
        <v>779</v>
      </c>
      <c r="AU88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</v>
      </c>
      <c r="AV88" s="246" t="str">
        <f>IF(AU88&gt;9,"SuperStar",IF(AU88&gt;8,"Star",IF(AU88&gt;6.5,"GoodReg",IF(AU88&gt;5,"Reg",IF(AU88&gt;4,"Bench","Minors")))))</f>
        <v>Minors</v>
      </c>
      <c r="AW88" s="245">
        <f>AVERAGE(X88,Z88,AA88)+IF(OR(X88&gt;7,AND(X88&gt;5,AA88&gt;5)),0.5,0)+IF(Z88&gt;7,0.25,0)+IF(X88&lt;6,-0.5*(6-X88),0)</f>
        <v>2.5</v>
      </c>
      <c r="AX88" s="245" t="str">
        <f>IF(AW88&gt;9,"SuperStar",IF(AW88&gt;8,"Star",IF(AW88&gt;6.5,"GoodReg",IF(AW88&gt;5,"Reg",IF(AW88&gt;4,"Bench","Minors")))))</f>
        <v>Minors</v>
      </c>
      <c r="AY88" s="246">
        <f>MIN(AU88+(MAX(0,25-L88))^1.5,AW88)</f>
        <v>2.5</v>
      </c>
      <c r="AZ88" s="246" t="str">
        <f>IF(AY88&gt;9,"SuperStar",IF(AY88&gt;8,"Star",IF(AY88&gt;6.5,"GoodReg",IF(AY88&gt;5,"Reg",IF(AY88&gt;4,"Bench","Minors")))))</f>
        <v>Minors</v>
      </c>
      <c r="BA88" s="247">
        <f>IF(AND(OR(S88+V88&gt;12,AND(S88&gt;6,V88&gt;6)),AO88&gt;6,OR(AP88&gt;=AO88,AP88&gt;6)),1,0)</f>
        <v>0</v>
      </c>
      <c r="BB88" s="248">
        <f>IF(OR(AND(S88&gt;6,W88&gt;6),S88+V88&gt;12),1,0)</f>
        <v>0</v>
      </c>
      <c r="BC88" s="248">
        <f>IF(AND(S88&gt;6,U88&gt;6,V88&gt;6),1,0)</f>
        <v>0</v>
      </c>
      <c r="BD88" s="248">
        <f>IF(AND(U88&gt;7,OR(S88&gt;6,V88&gt;6)),1,0)</f>
        <v>0</v>
      </c>
      <c r="BE88" s="248">
        <f>IF(AND(U88&gt;6,OR(S88&gt;6,V88&gt;6)),1,0)</f>
        <v>0</v>
      </c>
      <c r="BF88" s="248">
        <f>IF(AND(OR(S88&gt;6,U88&gt;6),OR(S88&gt;6,V88&gt;6)),1,0)</f>
        <v>0</v>
      </c>
      <c r="BG88" s="248">
        <f>IF(AND(S88&gt;4,OR(S88&gt;6,U88&gt;6,V88&gt;6)),1,0)</f>
        <v>0</v>
      </c>
      <c r="BH88" s="248">
        <f>IF(AND(S88&gt;4,OR(S88&gt;6,T88&gt;6,U88&gt;6,V88&gt;6)),1,0)</f>
        <v>0</v>
      </c>
      <c r="BI88" s="243">
        <f>IF(AND(S88&gt;4,MAX(S88:W88)&gt;6),1,0)</f>
        <v>0</v>
      </c>
      <c r="BJ88" s="247">
        <f>IF(AND(OR(X88+AA88&gt;12,AND(X88&gt;6,AA88&gt;6)),AO88&gt;6,OR(AP88&gt;=AO88,AP88&gt;6)),1,0)</f>
        <v>0</v>
      </c>
      <c r="BK88" s="248">
        <f>IF(OR(AND(X88&gt;6,AB88&gt;6),X88+AA88&gt;12),1,0)</f>
        <v>0</v>
      </c>
      <c r="BL88" s="248">
        <f>IF(AND(X88&gt;6,Z88&gt;6,AA88&gt;6),1,0)</f>
        <v>0</v>
      </c>
      <c r="BM88" s="248">
        <f>IF(AND(Z88&gt;7,OR(X88&gt;6,AA88&gt;6)),1,0)</f>
        <v>0</v>
      </c>
      <c r="BN88" s="248">
        <f>IF(AND(Z88&gt;6,OR(X88&gt;6,AA88&gt;6)),1,0)</f>
        <v>0</v>
      </c>
      <c r="BO88" s="248">
        <f>IF(AND(OR(X88&gt;6,Z88&gt;6),OR(X88&gt;6,AA88&gt;6)),1,0)</f>
        <v>0</v>
      </c>
      <c r="BP88" s="248">
        <f>IF(AND(X88&gt;4,OR(X88&gt;6,Z88&gt;6,AA88&gt;6)),1,0)</f>
        <v>0</v>
      </c>
      <c r="BQ88" s="248">
        <f>IF(AND(X88&gt;4,OR(X88&gt;6,Y88&gt;6,Z88&gt;6,AA88&gt;6)),1,0)</f>
        <v>0</v>
      </c>
      <c r="BR88" s="243">
        <f>IF(AND(X88&gt;4,MAX(X88:AB88)&gt;6),1,0)</f>
        <v>0</v>
      </c>
      <c r="BS88" s="243">
        <f>IF(AVERAGE(AO88:AP88)&gt;9,1,0)+IF(AVERAGE(AO88:AP88)&gt;7,1,0)+IF(AO88&gt;7,1,0)+IF(AP88&gt;7,1,0)+IF(AQ88&gt;8,1,0)+IF(AQ88&gt;6,1,0)</f>
        <v>5</v>
      </c>
      <c r="BT88" s="249">
        <f>IF(OR(MAX(AG88,AH88,AL88,AN88)&gt;6,MAX(AI88,AJ88,AK88,AM88)&gt;7),2,IF(MAX(AG88:AN88)&gt;4,1,0))</f>
        <v>1</v>
      </c>
      <c r="BU88" s="242" t="str">
        <f>IF(AS88=1,"Yes","")</f>
        <v/>
      </c>
      <c r="BV88" s="241" t="str">
        <f>IF($B88="ML","There",IF(AND($X88&gt;=6,AVERAGE($Z88:$AA88)&gt;=6),"Likely",IF(OR($X88&gt;6,AND($X88=6,AVERAGE($Z88:$AA88)&gt;=3),AND($X88&gt;=5,AVERAGE($Z88:$AA88)&gt;=5),AVERAGE($X88,$Z88:$AA88)&gt;5),"Possible","Unlikely")))</f>
        <v>Unlikely</v>
      </c>
      <c r="BW88" s="242" t="str">
        <f>IF(OR(AND(S88&gt;=6,U88+V88&gt;=12),S88&gt;7),"Start",IF(AND(S88&gt;=5,U88+V88&gt;=8),"Bench","aack!"))</f>
        <v>aack!</v>
      </c>
      <c r="BX88" s="242" t="str">
        <f>IF(OR(AND(X88&gt;=6,Z88+AA88&gt;=12),X88&gt;7),"Start",IF(AND(X88&gt;=5,Z88+AA88&gt;=8),"Bench","aack!"))</f>
        <v>aack!</v>
      </c>
      <c r="BY88" s="242" t="str">
        <f>IF(S88&gt;5,"ML",IF(S88=5,"AAA",IF(S88=4,"AA",IF(S88=3,"A","SS-A"))))</f>
        <v>SS-A</v>
      </c>
      <c r="BZ88" s="242">
        <f>S88-X88</f>
        <v>-1</v>
      </c>
      <c r="CA88" s="242">
        <f>T88-Y88</f>
        <v>0</v>
      </c>
      <c r="CB88" s="242">
        <f>U88-Z88</f>
        <v>0</v>
      </c>
      <c r="CC88" s="242">
        <f>V88-AA88</f>
        <v>-2</v>
      </c>
      <c r="CD88" s="242">
        <f>W88-AB88</f>
        <v>-1</v>
      </c>
      <c r="CE88" s="242">
        <f>SUM(BZ88:CD88)</f>
        <v>-4</v>
      </c>
      <c r="CF88" s="242">
        <f>X88+Z88+AA88</f>
        <v>12</v>
      </c>
      <c r="CG88" s="242">
        <f>X88+Z88</f>
        <v>6</v>
      </c>
      <c r="CH88" s="242">
        <f>X88+AA88</f>
        <v>9</v>
      </c>
      <c r="CI88" s="242" t="str">
        <f>IF(L88&gt;24,"Now - Age",IF(S88&gt;6,"Now",IF(X88&lt;6,"With Dev",MIN(X88-S88,7-S88))))</f>
        <v>With Dev</v>
      </c>
      <c r="CJ88" s="257" t="str">
        <f>IF(AG88&lt;&gt;"-","X","")</f>
        <v/>
      </c>
      <c r="CK88" s="257" t="str">
        <f>IF(AND(AH88&lt;&gt;"-",AH88&gt;5),"X","")</f>
        <v/>
      </c>
      <c r="CL88" s="257" t="str">
        <f>IF(AND(AI88&lt;&gt;"-",AI88&gt;5),"X","")</f>
        <v/>
      </c>
      <c r="CM88" s="257" t="str">
        <f>IF(AND(AJ88&lt;&gt;"-",AJ88&gt;4,AC88&gt;6),"X","")</f>
        <v/>
      </c>
      <c r="CN88" s="257" t="str">
        <f>IF(AND(AK88&lt;&gt;"-",AK88&gt;5,AC88&gt;5),"X","")</f>
        <v>X</v>
      </c>
      <c r="CO88" s="257" t="str">
        <f>IF(AND(AL88&lt;&gt;"-",AL88&gt;3),"X","")</f>
        <v/>
      </c>
      <c r="CP88" s="257" t="str">
        <f>IF(AND(AM88&lt;&gt;"-",AM88&gt;6),"X","")</f>
        <v/>
      </c>
      <c r="CQ88" s="257" t="str">
        <f>IF(AND(AN88&lt;&gt;"-",AN88&gt;5,AD88&gt;6),"X","")</f>
        <v/>
      </c>
      <c r="CR88" s="257" t="str">
        <f>IF(COUNTBLANK(CJ88:CQ88)=8,"X","")</f>
        <v/>
      </c>
    </row>
    <row r="89" spans="1:96" s="306" customFormat="1" x14ac:dyDescent="0.25">
      <c r="A89" s="240" t="str">
        <f>H89&amp;" "&amp;I89</f>
        <v>Carlos Alonso</v>
      </c>
      <c r="B89" s="240" t="str">
        <f>IF(ISERROR(VLOOKUP(A89,AMA!$C$3:$C$24,1,FALSE)),IF(ISERROR(VLOOKUP(A89,'END-AAA'!$C$6:$C$33,1,FALSE)),IF(ISERROR(VLOOKUP(A89,'DB-AA'!$C$6:$C$33,1,FALSE)),IF(ISERROR(VLOOKUP(A89,'UTR-A'!$C$6:$C$33,1,FALSE)),IF(ISERROR(VLOOKUP(A89,'FAI-S A'!$C$6:$C$33,1,FALSE)),"","S A"),"A"),"AA"),"AAA"),"ML")</f>
        <v/>
      </c>
      <c r="C89" s="241"/>
      <c r="D89" s="242" t="str">
        <f>IF(BL89=1,3,IF(BM89=1,4,IF(BJ89=1,1,IF(BN89=1,5,IF(BK89=1,2,IF(BO89=1,6,IF(BP89=1,7,IF(BQ89=1,8,IF(BR89=1,9,"-")))))))))</f>
        <v>-</v>
      </c>
      <c r="E89" s="242" t="str">
        <f>IF(BC89=1,3,IF(BD89=1,4,IF(BA89=1,1,IF(BE89=1,5,IF(BB89=1,2,IF(BF89=1,6,IF(BG89=1,7,IF(BH89=1,8,IF(BI89=1,9,"-")))))))))</f>
        <v>-</v>
      </c>
      <c r="F89" s="242" t="str">
        <f>IF(OR(OR(Q89="Very High",Q89="High"),AND(OR(Q89="Very High",Q89="High",Q89="Normal"),OR(R89="Very High",R89="High"))),"K","T")</f>
        <v>T</v>
      </c>
      <c r="G89" s="242" t="s">
        <v>75</v>
      </c>
      <c r="H89" s="242" t="s">
        <v>421</v>
      </c>
      <c r="I89" s="242" t="s">
        <v>868</v>
      </c>
      <c r="J89" s="242" t="s">
        <v>814</v>
      </c>
      <c r="K89" s="242" t="s">
        <v>187</v>
      </c>
      <c r="L89" s="242">
        <v>24</v>
      </c>
      <c r="M89" s="242" t="s">
        <v>85</v>
      </c>
      <c r="N89" s="242" t="s">
        <v>83</v>
      </c>
      <c r="O89" s="242" t="s">
        <v>803</v>
      </c>
      <c r="P89" s="243" t="s">
        <v>808</v>
      </c>
      <c r="Q89" s="242" t="s">
        <v>200</v>
      </c>
      <c r="R89" s="243" t="s">
        <v>200</v>
      </c>
      <c r="S89" s="242">
        <v>2</v>
      </c>
      <c r="T89" s="242">
        <v>2</v>
      </c>
      <c r="U89" s="242">
        <v>2</v>
      </c>
      <c r="V89" s="242">
        <v>5</v>
      </c>
      <c r="W89" s="243">
        <v>4</v>
      </c>
      <c r="X89" s="242">
        <v>3</v>
      </c>
      <c r="Y89" s="242">
        <v>3</v>
      </c>
      <c r="Z89" s="242">
        <v>2</v>
      </c>
      <c r="AA89" s="242">
        <v>5</v>
      </c>
      <c r="AB89" s="243">
        <v>5</v>
      </c>
      <c r="AC89" s="242">
        <v>8</v>
      </c>
      <c r="AD89" s="242">
        <v>7</v>
      </c>
      <c r="AE89" s="242">
        <v>1</v>
      </c>
      <c r="AF89" s="242" t="s">
        <v>32</v>
      </c>
      <c r="AG89" s="242" t="s">
        <v>32</v>
      </c>
      <c r="AH89" s="242" t="s">
        <v>32</v>
      </c>
      <c r="AI89" s="242" t="s">
        <v>32</v>
      </c>
      <c r="AJ89" s="242">
        <v>7</v>
      </c>
      <c r="AK89" s="242" t="s">
        <v>32</v>
      </c>
      <c r="AL89" s="242" t="s">
        <v>32</v>
      </c>
      <c r="AM89" s="242" t="s">
        <v>32</v>
      </c>
      <c r="AN89" s="243" t="s">
        <v>32</v>
      </c>
      <c r="AO89" s="242">
        <v>4</v>
      </c>
      <c r="AP89" s="242">
        <v>3</v>
      </c>
      <c r="AQ89" s="243">
        <v>3</v>
      </c>
      <c r="AR89" s="244" t="s">
        <v>32</v>
      </c>
      <c r="AS89" s="243" t="s">
        <v>33</v>
      </c>
      <c r="AT89" s="248" t="s">
        <v>779</v>
      </c>
      <c r="AU89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1</v>
      </c>
      <c r="AV89" s="246" t="str">
        <f>IF(AU89&gt;9,"SuperStar",IF(AU89&gt;8,"Star",IF(AU89&gt;6.5,"GoodReg",IF(AU89&gt;5,"Reg",IF(AU89&gt;4,"Bench","Minors")))))</f>
        <v>Minors</v>
      </c>
      <c r="AW89" s="245">
        <f>AVERAGE(X89,Z89,AA89)+IF(OR(X89&gt;7,AND(X89&gt;5,AA89&gt;5)),0.5,0)+IF(Z89&gt;7,0.25,0)+IF(X89&lt;6,-0.5*(6-X89),0)</f>
        <v>1.8333333333333335</v>
      </c>
      <c r="AX89" s="245" t="str">
        <f>IF(AW89&gt;9,"SuperStar",IF(AW89&gt;8,"Star",IF(AW89&gt;6.5,"GoodReg",IF(AW89&gt;5,"Reg",IF(AW89&gt;4,"Bench","Minors")))))</f>
        <v>Minors</v>
      </c>
      <c r="AY89" s="246">
        <f>MIN(AU89+(MAX(0,25-L89))^1.5,AW89)</f>
        <v>1.8333333333333335</v>
      </c>
      <c r="AZ89" s="246" t="str">
        <f>IF(AY89&gt;9,"SuperStar",IF(AY89&gt;8,"Star",IF(AY89&gt;6.5,"GoodReg",IF(AY89&gt;5,"Reg",IF(AY89&gt;4,"Bench","Minors")))))</f>
        <v>Minors</v>
      </c>
      <c r="BA89" s="247">
        <f>IF(AND(OR(S89+V89&gt;12,AND(S89&gt;6,V89&gt;6)),AO89&gt;6,OR(AP89&gt;=AO89,AP89&gt;6)),1,0)</f>
        <v>0</v>
      </c>
      <c r="BB89" s="248">
        <f>IF(OR(AND(S89&gt;6,W89&gt;6),S89+V89&gt;12),1,0)</f>
        <v>0</v>
      </c>
      <c r="BC89" s="248">
        <f>IF(AND(S89&gt;6,U89&gt;6,V89&gt;6),1,0)</f>
        <v>0</v>
      </c>
      <c r="BD89" s="248">
        <f>IF(AND(U89&gt;7,OR(S89&gt;6,V89&gt;6)),1,0)</f>
        <v>0</v>
      </c>
      <c r="BE89" s="248">
        <f>IF(AND(U89&gt;6,OR(S89&gt;6,V89&gt;6)),1,0)</f>
        <v>0</v>
      </c>
      <c r="BF89" s="248">
        <f>IF(AND(OR(S89&gt;6,U89&gt;6),OR(S89&gt;6,V89&gt;6)),1,0)</f>
        <v>0</v>
      </c>
      <c r="BG89" s="248">
        <f>IF(AND(S89&gt;4,OR(S89&gt;6,U89&gt;6,V89&gt;6)),1,0)</f>
        <v>0</v>
      </c>
      <c r="BH89" s="248">
        <f>IF(AND(S89&gt;4,OR(S89&gt;6,T89&gt;6,U89&gt;6,V89&gt;6)),1,0)</f>
        <v>0</v>
      </c>
      <c r="BI89" s="243">
        <f>IF(AND(S89&gt;4,MAX(S89:W89)&gt;6),1,0)</f>
        <v>0</v>
      </c>
      <c r="BJ89" s="247">
        <f>IF(AND(OR(X89+AA89&gt;12,AND(X89&gt;6,AA89&gt;6)),AO89&gt;6,OR(AP89&gt;=AO89,AP89&gt;6)),1,0)</f>
        <v>0</v>
      </c>
      <c r="BK89" s="248">
        <f>IF(OR(AND(X89&gt;6,AB89&gt;6),X89+AA89&gt;12),1,0)</f>
        <v>0</v>
      </c>
      <c r="BL89" s="248">
        <f>IF(AND(X89&gt;6,Z89&gt;6,AA89&gt;6),1,0)</f>
        <v>0</v>
      </c>
      <c r="BM89" s="248">
        <f>IF(AND(Z89&gt;7,OR(X89&gt;6,AA89&gt;6)),1,0)</f>
        <v>0</v>
      </c>
      <c r="BN89" s="248">
        <f>IF(AND(Z89&gt;6,OR(X89&gt;6,AA89&gt;6)),1,0)</f>
        <v>0</v>
      </c>
      <c r="BO89" s="248">
        <f>IF(AND(OR(X89&gt;6,Z89&gt;6),OR(X89&gt;6,AA89&gt;6)),1,0)</f>
        <v>0</v>
      </c>
      <c r="BP89" s="248">
        <f>IF(AND(X89&gt;4,OR(X89&gt;6,Z89&gt;6,AA89&gt;6)),1,0)</f>
        <v>0</v>
      </c>
      <c r="BQ89" s="248">
        <f>IF(AND(X89&gt;4,OR(X89&gt;6,Y89&gt;6,Z89&gt;6,AA89&gt;6)),1,0)</f>
        <v>0</v>
      </c>
      <c r="BR89" s="243">
        <f>IF(AND(X89&gt;4,MAX(X89:AB89)&gt;6),1,0)</f>
        <v>0</v>
      </c>
      <c r="BS89" s="243">
        <f>IF(AVERAGE(AO89:AP89)&gt;9,1,0)+IF(AVERAGE(AO89:AP89)&gt;7,1,0)+IF(AO89&gt;7,1,0)+IF(AP89&gt;7,1,0)+IF(AQ89&gt;8,1,0)+IF(AQ89&gt;6,1,0)</f>
        <v>0</v>
      </c>
      <c r="BT89" s="249">
        <f>IF(OR(MAX(AG89,AH89,AL89,AN89)&gt;6,MAX(AI89,AJ89,AK89,AM89)&gt;7),2,IF(MAX(AG89:AN89)&gt;4,1,0))</f>
        <v>1</v>
      </c>
      <c r="BU89" s="242" t="str">
        <f>IF(AS89=1,"Yes","")</f>
        <v/>
      </c>
      <c r="BV89" s="241" t="str">
        <f>IF($B89="ML","There",IF(AND($X89&gt;=6,AVERAGE($Z89:$AA89)&gt;=6),"Likely",IF(OR($X89&gt;6,AND($X89=6,AVERAGE($Z89:$AA89)&gt;=3),AND($X89&gt;=5,AVERAGE($Z89:$AA89)&gt;=5),AVERAGE($X89,$Z89:$AA89)&gt;5),"Possible","Unlikely")))</f>
        <v>Unlikely</v>
      </c>
      <c r="BW89" s="242" t="str">
        <f>IF(OR(AND(S89&gt;=6,U89+V89&gt;=12),S89&gt;7),"Start",IF(AND(S89&gt;=5,U89+V89&gt;=8),"Bench","aack!"))</f>
        <v>aack!</v>
      </c>
      <c r="BX89" s="242" t="str">
        <f>IF(OR(AND(X89&gt;=6,Z89+AA89&gt;=12),X89&gt;7),"Start",IF(AND(X89&gt;=5,Z89+AA89&gt;=8),"Bench","aack!"))</f>
        <v>aack!</v>
      </c>
      <c r="BY89" s="242" t="str">
        <f>IF(S89&gt;5,"ML",IF(S89=5,"AAA",IF(S89=4,"AA",IF(S89=3,"A","SS-A"))))</f>
        <v>SS-A</v>
      </c>
      <c r="BZ89" s="242">
        <f>S89-X89</f>
        <v>-1</v>
      </c>
      <c r="CA89" s="242">
        <f>T89-Y89</f>
        <v>-1</v>
      </c>
      <c r="CB89" s="242">
        <f>U89-Z89</f>
        <v>0</v>
      </c>
      <c r="CC89" s="242">
        <f>V89-AA89</f>
        <v>0</v>
      </c>
      <c r="CD89" s="242">
        <f>W89-AB89</f>
        <v>-1</v>
      </c>
      <c r="CE89" s="242">
        <f>SUM(BZ89:CD89)</f>
        <v>-3</v>
      </c>
      <c r="CF89" s="242">
        <f>X89+Z89+AA89</f>
        <v>10</v>
      </c>
      <c r="CG89" s="242">
        <f>X89+Z89</f>
        <v>5</v>
      </c>
      <c r="CH89" s="242">
        <f>X89+AA89</f>
        <v>8</v>
      </c>
      <c r="CI89" s="242" t="str">
        <f>IF(L89&gt;24,"Now - Age",IF(S89&gt;6,"Now",IF(X89&lt;6,"With Dev",MIN(X89-S89,7-S89))))</f>
        <v>With Dev</v>
      </c>
      <c r="CJ89" s="257" t="str">
        <f>IF(AG89&lt;&gt;"-","X","")</f>
        <v/>
      </c>
      <c r="CK89" s="257" t="str">
        <f>IF(AND(AH89&lt;&gt;"-",AH89&gt;5),"X","")</f>
        <v/>
      </c>
      <c r="CL89" s="257" t="str">
        <f>IF(AND(AI89&lt;&gt;"-",AI89&gt;5),"X","")</f>
        <v/>
      </c>
      <c r="CM89" s="257" t="str">
        <f>IF(AND(AJ89&lt;&gt;"-",AJ89&gt;4,AC89&gt;6),"X","")</f>
        <v>X</v>
      </c>
      <c r="CN89" s="257" t="str">
        <f>IF(AND(AK89&lt;&gt;"-",AK89&gt;5,AC89&gt;5),"X","")</f>
        <v/>
      </c>
      <c r="CO89" s="257" t="str">
        <f>IF(AND(AL89&lt;&gt;"-",AL89&gt;3),"X","")</f>
        <v/>
      </c>
      <c r="CP89" s="257" t="str">
        <f>IF(AND(AM89&lt;&gt;"-",AM89&gt;6),"X","")</f>
        <v/>
      </c>
      <c r="CQ89" s="257" t="str">
        <f>IF(AND(AN89&lt;&gt;"-",AN89&gt;5,AD89&gt;6),"X","")</f>
        <v/>
      </c>
      <c r="CR89" s="257" t="str">
        <f>IF(COUNTBLANK(CJ89:CQ89)=8,"X","")</f>
        <v/>
      </c>
    </row>
    <row r="90" spans="1:96" s="306" customFormat="1" x14ac:dyDescent="0.25">
      <c r="A90" s="240" t="str">
        <f>H90&amp;" "&amp;I90</f>
        <v>Felipe Luna</v>
      </c>
      <c r="B90" s="240" t="str">
        <f>IF(ISERROR(VLOOKUP(A90,AMA!$C$3:$C$24,1,FALSE)),IF(ISERROR(VLOOKUP(A90,'END-AAA'!$C$6:$C$33,1,FALSE)),IF(ISERROR(VLOOKUP(A90,'DB-AA'!$C$6:$C$33,1,FALSE)),IF(ISERROR(VLOOKUP(A90,'UTR-A'!$C$6:$C$33,1,FALSE)),IF(ISERROR(VLOOKUP(A90,'FAI-S A'!$C$6:$C$33,1,FALSE)),"","S A"),"A"),"AA"),"AAA"),"ML")</f>
        <v/>
      </c>
      <c r="C90" s="241"/>
      <c r="D90" s="242" t="str">
        <f>IF(BL90=1,3,IF(BM90=1,4,IF(BJ90=1,1,IF(BN90=1,5,IF(BK90=1,2,IF(BO90=1,6,IF(BP90=1,7,IF(BQ90=1,8,IF(BR90=1,9,"-")))))))))</f>
        <v>-</v>
      </c>
      <c r="E90" s="242" t="str">
        <f>IF(BC90=1,3,IF(BD90=1,4,IF(BA90=1,1,IF(BE90=1,5,IF(BB90=1,2,IF(BF90=1,6,IF(BG90=1,7,IF(BH90=1,8,IF(BI90=1,9,"-")))))))))</f>
        <v>-</v>
      </c>
      <c r="F90" s="242" t="str">
        <f>IF(OR(OR(Q90="Very High",Q90="High"),AND(OR(Q90="Very High",Q90="High",Q90="Normal"),OR(R90="Very High",R90="High"))),"K","T")</f>
        <v>T</v>
      </c>
      <c r="G90" s="242" t="s">
        <v>75</v>
      </c>
      <c r="H90" s="242" t="s">
        <v>502</v>
      </c>
      <c r="I90" s="242" t="s">
        <v>428</v>
      </c>
      <c r="J90" s="242" t="s">
        <v>802</v>
      </c>
      <c r="K90" s="242" t="s">
        <v>277</v>
      </c>
      <c r="L90" s="242">
        <v>23</v>
      </c>
      <c r="M90" s="242" t="s">
        <v>85</v>
      </c>
      <c r="N90" s="242" t="s">
        <v>83</v>
      </c>
      <c r="O90" s="242" t="s">
        <v>808</v>
      </c>
      <c r="P90" s="243" t="s">
        <v>808</v>
      </c>
      <c r="Q90" s="242" t="s">
        <v>200</v>
      </c>
      <c r="R90" s="243" t="s">
        <v>200</v>
      </c>
      <c r="S90" s="242">
        <v>3</v>
      </c>
      <c r="T90" s="242">
        <v>4</v>
      </c>
      <c r="U90" s="242">
        <v>2</v>
      </c>
      <c r="V90" s="242">
        <v>2</v>
      </c>
      <c r="W90" s="243">
        <v>8</v>
      </c>
      <c r="X90" s="242">
        <v>4</v>
      </c>
      <c r="Y90" s="242">
        <v>4</v>
      </c>
      <c r="Z90" s="242">
        <v>2</v>
      </c>
      <c r="AA90" s="242">
        <v>2</v>
      </c>
      <c r="AB90" s="243">
        <v>8</v>
      </c>
      <c r="AC90" s="242">
        <v>9</v>
      </c>
      <c r="AD90" s="242">
        <v>8</v>
      </c>
      <c r="AE90" s="242">
        <v>1</v>
      </c>
      <c r="AF90" s="242" t="s">
        <v>32</v>
      </c>
      <c r="AG90" s="242" t="s">
        <v>32</v>
      </c>
      <c r="AH90" s="242" t="s">
        <v>32</v>
      </c>
      <c r="AI90" s="242">
        <v>1</v>
      </c>
      <c r="AJ90" s="242">
        <v>7</v>
      </c>
      <c r="AK90" s="242">
        <v>1</v>
      </c>
      <c r="AL90" s="242" t="s">
        <v>32</v>
      </c>
      <c r="AM90" s="242" t="s">
        <v>32</v>
      </c>
      <c r="AN90" s="243" t="s">
        <v>32</v>
      </c>
      <c r="AO90" s="242">
        <v>10</v>
      </c>
      <c r="AP90" s="242">
        <v>10</v>
      </c>
      <c r="AQ90" s="243">
        <v>10</v>
      </c>
      <c r="AR90" s="244" t="s">
        <v>32</v>
      </c>
      <c r="AS90" s="243">
        <v>0</v>
      </c>
      <c r="AT90" s="248" t="s">
        <v>779</v>
      </c>
      <c r="AU90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0.83333333333333348</v>
      </c>
      <c r="AV90" s="246" t="str">
        <f>IF(AU90&gt;9,"SuperStar",IF(AU90&gt;8,"Star",IF(AU90&gt;6.5,"GoodReg",IF(AU90&gt;5,"Reg",IF(AU90&gt;4,"Bench","Minors")))))</f>
        <v>Minors</v>
      </c>
      <c r="AW90" s="245">
        <f>AVERAGE(X90,Z90,AA90)+IF(OR(X90&gt;7,AND(X90&gt;5,AA90&gt;5)),0.5,0)+IF(Z90&gt;7,0.25,0)+IF(X90&lt;6,-0.5*(6-X90),0)</f>
        <v>1.6666666666666665</v>
      </c>
      <c r="AX90" s="245" t="str">
        <f>IF(AW90&gt;9,"SuperStar",IF(AW90&gt;8,"Star",IF(AW90&gt;6.5,"GoodReg",IF(AW90&gt;5,"Reg",IF(AW90&gt;4,"Bench","Minors")))))</f>
        <v>Minors</v>
      </c>
      <c r="AY90" s="246">
        <f>MIN(AU90+(MAX(0,25-L90))^1.5,AW90)</f>
        <v>1.6666666666666665</v>
      </c>
      <c r="AZ90" s="246" t="str">
        <f>IF(AY90&gt;9,"SuperStar",IF(AY90&gt;8,"Star",IF(AY90&gt;6.5,"GoodReg",IF(AY90&gt;5,"Reg",IF(AY90&gt;4,"Bench","Minors")))))</f>
        <v>Minors</v>
      </c>
      <c r="BA90" s="247">
        <f>IF(AND(OR(S90+V90&gt;12,AND(S90&gt;6,V90&gt;6)),AO90&gt;6,OR(AP90&gt;=AO90,AP90&gt;6)),1,0)</f>
        <v>0</v>
      </c>
      <c r="BB90" s="248">
        <f>IF(OR(AND(S90&gt;6,W90&gt;6),S90+V90&gt;12),1,0)</f>
        <v>0</v>
      </c>
      <c r="BC90" s="248">
        <f>IF(AND(S90&gt;6,U90&gt;6,V90&gt;6),1,0)</f>
        <v>0</v>
      </c>
      <c r="BD90" s="248">
        <f>IF(AND(U90&gt;7,OR(S90&gt;6,V90&gt;6)),1,0)</f>
        <v>0</v>
      </c>
      <c r="BE90" s="248">
        <f>IF(AND(U90&gt;6,OR(S90&gt;6,V90&gt;6)),1,0)</f>
        <v>0</v>
      </c>
      <c r="BF90" s="248">
        <f>IF(AND(OR(S90&gt;6,U90&gt;6),OR(S90&gt;6,V90&gt;6)),1,0)</f>
        <v>0</v>
      </c>
      <c r="BG90" s="248">
        <f>IF(AND(S90&gt;4,OR(S90&gt;6,U90&gt;6,V90&gt;6)),1,0)</f>
        <v>0</v>
      </c>
      <c r="BH90" s="248">
        <f>IF(AND(S90&gt;4,OR(S90&gt;6,T90&gt;6,U90&gt;6,V90&gt;6)),1,0)</f>
        <v>0</v>
      </c>
      <c r="BI90" s="243">
        <f>IF(AND(S90&gt;4,MAX(S90:W90)&gt;6),1,0)</f>
        <v>0</v>
      </c>
      <c r="BJ90" s="247">
        <f>IF(AND(OR(X90+AA90&gt;12,AND(X90&gt;6,AA90&gt;6)),AO90&gt;6,OR(AP90&gt;=AO90,AP90&gt;6)),1,0)</f>
        <v>0</v>
      </c>
      <c r="BK90" s="248">
        <f>IF(OR(AND(X90&gt;6,AB90&gt;6),X90+AA90&gt;12),1,0)</f>
        <v>0</v>
      </c>
      <c r="BL90" s="248">
        <f>IF(AND(X90&gt;6,Z90&gt;6,AA90&gt;6),1,0)</f>
        <v>0</v>
      </c>
      <c r="BM90" s="248">
        <f>IF(AND(Z90&gt;7,OR(X90&gt;6,AA90&gt;6)),1,0)</f>
        <v>0</v>
      </c>
      <c r="BN90" s="248">
        <f>IF(AND(Z90&gt;6,OR(X90&gt;6,AA90&gt;6)),1,0)</f>
        <v>0</v>
      </c>
      <c r="BO90" s="248">
        <f>IF(AND(OR(X90&gt;6,Z90&gt;6),OR(X90&gt;6,AA90&gt;6)),1,0)</f>
        <v>0</v>
      </c>
      <c r="BP90" s="248">
        <f>IF(AND(X90&gt;4,OR(X90&gt;6,Z90&gt;6,AA90&gt;6)),1,0)</f>
        <v>0</v>
      </c>
      <c r="BQ90" s="248">
        <f>IF(AND(X90&gt;4,OR(X90&gt;6,Y90&gt;6,Z90&gt;6,AA90&gt;6)),1,0)</f>
        <v>0</v>
      </c>
      <c r="BR90" s="243">
        <f>IF(AND(X90&gt;4,MAX(X90:AB90)&gt;6),1,0)</f>
        <v>0</v>
      </c>
      <c r="BS90" s="243">
        <f>IF(AVERAGE(AO90:AP90)&gt;9,1,0)+IF(AVERAGE(AO90:AP90)&gt;7,1,0)+IF(AO90&gt;7,1,0)+IF(AP90&gt;7,1,0)+IF(AQ90&gt;8,1,0)+IF(AQ90&gt;6,1,0)</f>
        <v>6</v>
      </c>
      <c r="BT90" s="249">
        <f>IF(OR(MAX(AG90,AH90,AL90,AN90)&gt;6,MAX(AI90,AJ90,AK90,AM90)&gt;7),2,IF(MAX(AG90:AN90)&gt;4,1,0))</f>
        <v>1</v>
      </c>
      <c r="BU90" s="242" t="str">
        <f>IF(AS90=1,"Yes","")</f>
        <v/>
      </c>
      <c r="BV90" s="241" t="str">
        <f>IF($B90="ML","There",IF(AND($X90&gt;=6,AVERAGE($Z90:$AA90)&gt;=6),"Likely",IF(OR($X90&gt;6,AND($X90=6,AVERAGE($Z90:$AA90)&gt;=3),AND($X90&gt;=5,AVERAGE($Z90:$AA90)&gt;=5),AVERAGE($X90,$Z90:$AA90)&gt;5),"Possible","Unlikely")))</f>
        <v>Unlikely</v>
      </c>
      <c r="BW90" s="242" t="str">
        <f>IF(OR(AND(S90&gt;=6,U90+V90&gt;=12),S90&gt;7),"Start",IF(AND(S90&gt;=5,U90+V90&gt;=8),"Bench","aack!"))</f>
        <v>aack!</v>
      </c>
      <c r="BX90" s="242" t="str">
        <f>IF(OR(AND(X90&gt;=6,Z90+AA90&gt;=12),X90&gt;7),"Start",IF(AND(X90&gt;=5,Z90+AA90&gt;=8),"Bench","aack!"))</f>
        <v>aack!</v>
      </c>
      <c r="BY90" s="242" t="str">
        <f>IF(S90&gt;5,"ML",IF(S90=5,"AAA",IF(S90=4,"AA",IF(S90=3,"A","SS-A"))))</f>
        <v>A</v>
      </c>
      <c r="BZ90" s="242">
        <f>S90-X90</f>
        <v>-1</v>
      </c>
      <c r="CA90" s="242">
        <f>T90-Y90</f>
        <v>0</v>
      </c>
      <c r="CB90" s="242">
        <f>U90-Z90</f>
        <v>0</v>
      </c>
      <c r="CC90" s="242">
        <f>V90-AA90</f>
        <v>0</v>
      </c>
      <c r="CD90" s="242">
        <f>W90-AB90</f>
        <v>0</v>
      </c>
      <c r="CE90" s="242">
        <f>SUM(BZ90:CD90)</f>
        <v>-1</v>
      </c>
      <c r="CF90" s="242">
        <f>X90+Z90+AA90</f>
        <v>8</v>
      </c>
      <c r="CG90" s="242">
        <f>X90+Z90</f>
        <v>6</v>
      </c>
      <c r="CH90" s="242">
        <f>X90+AA90</f>
        <v>6</v>
      </c>
      <c r="CI90" s="242" t="str">
        <f>IF(L90&gt;24,"Now - Age",IF(S90&gt;6,"Now",IF(X90&lt;6,"With Dev",MIN(X90-S90,7-S90))))</f>
        <v>With Dev</v>
      </c>
      <c r="CJ90" s="257" t="str">
        <f>IF(AG90&lt;&gt;"-","X","")</f>
        <v/>
      </c>
      <c r="CK90" s="257" t="str">
        <f>IF(AND(AH90&lt;&gt;"-",AH90&gt;5),"X","")</f>
        <v/>
      </c>
      <c r="CL90" s="257" t="str">
        <f>IF(AND(AI90&lt;&gt;"-",AI90&gt;5),"X","")</f>
        <v/>
      </c>
      <c r="CM90" s="257" t="str">
        <f>IF(AND(AJ90&lt;&gt;"-",AJ90&gt;4,AC90&gt;6),"X","")</f>
        <v>X</v>
      </c>
      <c r="CN90" s="257" t="str">
        <f>IF(AND(AK90&lt;&gt;"-",AK90&gt;5,AC90&gt;5),"X","")</f>
        <v/>
      </c>
      <c r="CO90" s="257" t="str">
        <f>IF(AND(AL90&lt;&gt;"-",AL90&gt;3),"X","")</f>
        <v/>
      </c>
      <c r="CP90" s="257" t="str">
        <f>IF(AND(AM90&lt;&gt;"-",AM90&gt;6),"X","")</f>
        <v/>
      </c>
      <c r="CQ90" s="257" t="str">
        <f>IF(AND(AN90&lt;&gt;"-",AN90&gt;5,AD90&gt;6),"X","")</f>
        <v/>
      </c>
      <c r="CR90" s="257" t="str">
        <f>IF(COUNTBLANK(CJ90:CQ90)=8,"X","")</f>
        <v/>
      </c>
    </row>
    <row r="91" spans="1:96" s="306" customFormat="1" x14ac:dyDescent="0.25">
      <c r="A91" s="240" t="str">
        <f>H91&amp;" "&amp;I91</f>
        <v>Jake Cunningham</v>
      </c>
      <c r="B91" s="240" t="str">
        <f>IF(ISERROR(VLOOKUP(A91,AMA!$C$3:$C$24,1,FALSE)),IF(ISERROR(VLOOKUP(A91,'END-AAA'!$C$6:$C$33,1,FALSE)),IF(ISERROR(VLOOKUP(A91,'DB-AA'!$C$6:$C$33,1,FALSE)),IF(ISERROR(VLOOKUP(A91,'UTR-A'!$C$6:$C$33,1,FALSE)),IF(ISERROR(VLOOKUP(A91,'FAI-S A'!$C$6:$C$33,1,FALSE)),"","S A"),"A"),"AA"),"AAA"),"ML")</f>
        <v/>
      </c>
      <c r="C91" s="241"/>
      <c r="D91" s="242" t="str">
        <f>IF(BL91=1,3,IF(BM91=1,4,IF(BJ91=1,1,IF(BN91=1,5,IF(BK91=1,2,IF(BO91=1,6,IF(BP91=1,7,IF(BQ91=1,8,IF(BR91=1,9,"-")))))))))</f>
        <v>-</v>
      </c>
      <c r="E91" s="242" t="str">
        <f>IF(BC91=1,3,IF(BD91=1,4,IF(BA91=1,1,IF(BE91=1,5,IF(BB91=1,2,IF(BF91=1,6,IF(BG91=1,7,IF(BH91=1,8,IF(BI91=1,9,"-")))))))))</f>
        <v>-</v>
      </c>
      <c r="F91" s="242" t="str">
        <f>IF(OR(OR(Q91="Very High",Q91="High"),AND(OR(Q91="Very High",Q91="High",Q91="Normal"),OR(R91="Very High",R91="High"))),"K","T")</f>
        <v>K</v>
      </c>
      <c r="G91" s="242" t="s">
        <v>74</v>
      </c>
      <c r="H91" s="242" t="s">
        <v>1195</v>
      </c>
      <c r="I91" s="242" t="s">
        <v>1196</v>
      </c>
      <c r="J91" s="242" t="s">
        <v>810</v>
      </c>
      <c r="K91" s="242" t="s">
        <v>83</v>
      </c>
      <c r="L91" s="242">
        <v>19</v>
      </c>
      <c r="M91" s="242" t="s">
        <v>83</v>
      </c>
      <c r="N91" s="242" t="s">
        <v>83</v>
      </c>
      <c r="O91" s="242" t="s">
        <v>816</v>
      </c>
      <c r="P91" s="243" t="s">
        <v>773</v>
      </c>
      <c r="Q91" s="242" t="s">
        <v>199</v>
      </c>
      <c r="R91" s="243" t="s">
        <v>200</v>
      </c>
      <c r="S91" s="242">
        <v>2</v>
      </c>
      <c r="T91" s="242">
        <v>4</v>
      </c>
      <c r="U91" s="242">
        <v>2</v>
      </c>
      <c r="V91" s="242">
        <v>3</v>
      </c>
      <c r="W91" s="243">
        <v>2</v>
      </c>
      <c r="X91" s="242">
        <v>4</v>
      </c>
      <c r="Y91" s="242">
        <v>5</v>
      </c>
      <c r="Z91" s="242">
        <v>3</v>
      </c>
      <c r="AA91" s="242">
        <v>6</v>
      </c>
      <c r="AB91" s="243">
        <v>4</v>
      </c>
      <c r="AC91" s="242">
        <v>6</v>
      </c>
      <c r="AD91" s="242">
        <v>3</v>
      </c>
      <c r="AE91" s="242">
        <v>1</v>
      </c>
      <c r="AF91" s="242" t="s">
        <v>32</v>
      </c>
      <c r="AG91" s="242" t="s">
        <v>32</v>
      </c>
      <c r="AH91" s="242" t="s">
        <v>32</v>
      </c>
      <c r="AI91" s="242">
        <v>4</v>
      </c>
      <c r="AJ91" s="242">
        <v>4</v>
      </c>
      <c r="AK91" s="242">
        <v>3</v>
      </c>
      <c r="AL91" s="242" t="s">
        <v>32</v>
      </c>
      <c r="AM91" s="242" t="s">
        <v>32</v>
      </c>
      <c r="AN91" s="243" t="s">
        <v>32</v>
      </c>
      <c r="AO91" s="242">
        <v>10</v>
      </c>
      <c r="AP91" s="242">
        <v>5</v>
      </c>
      <c r="AQ91" s="243">
        <v>3</v>
      </c>
      <c r="AR91" s="244" t="s">
        <v>32</v>
      </c>
      <c r="AS91" s="243" t="s">
        <v>33</v>
      </c>
      <c r="AT91" s="248" t="s">
        <v>779</v>
      </c>
      <c r="AU9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0.33333333333333348</v>
      </c>
      <c r="AV91" s="246" t="str">
        <f>IF(AU91&gt;9,"SuperStar",IF(AU91&gt;8,"Star",IF(AU91&gt;6.5,"GoodReg",IF(AU91&gt;5,"Reg",IF(AU91&gt;4,"Bench","Minors")))))</f>
        <v>Minors</v>
      </c>
      <c r="AW91" s="245">
        <f>AVERAGE(X91,Z91,AA91)+IF(OR(X91&gt;7,AND(X91&gt;5,AA91&gt;5)),0.5,0)+IF(Z91&gt;7,0.25,0)+IF(X91&lt;6,-0.5*(6-X91),0)</f>
        <v>3.333333333333333</v>
      </c>
      <c r="AX91" s="245" t="str">
        <f>IF(AW91&gt;9,"SuperStar",IF(AW91&gt;8,"Star",IF(AW91&gt;6.5,"GoodReg",IF(AW91&gt;5,"Reg",IF(AW91&gt;4,"Bench","Minors")))))</f>
        <v>Minors</v>
      </c>
      <c r="AY91" s="246">
        <f>MIN(AU91+(MAX(0,25-L91))^1.5,AW91)</f>
        <v>3.333333333333333</v>
      </c>
      <c r="AZ91" s="246" t="str">
        <f>IF(AY91&gt;9,"SuperStar",IF(AY91&gt;8,"Star",IF(AY91&gt;6.5,"GoodReg",IF(AY91&gt;5,"Reg",IF(AY91&gt;4,"Bench","Minors")))))</f>
        <v>Minors</v>
      </c>
      <c r="BA91" s="247">
        <f>IF(AND(OR(S91+V91&gt;12,AND(S91&gt;6,V91&gt;6)),AO91&gt;6,OR(AP91&gt;=AO91,AP91&gt;6)),1,0)</f>
        <v>0</v>
      </c>
      <c r="BB91" s="248">
        <f>IF(OR(AND(S91&gt;6,W91&gt;6),S91+V91&gt;12),1,0)</f>
        <v>0</v>
      </c>
      <c r="BC91" s="248">
        <f>IF(AND(S91&gt;6,U91&gt;6,V91&gt;6),1,0)</f>
        <v>0</v>
      </c>
      <c r="BD91" s="248">
        <f>IF(AND(U91&gt;7,OR(S91&gt;6,V91&gt;6)),1,0)</f>
        <v>0</v>
      </c>
      <c r="BE91" s="248">
        <f>IF(AND(U91&gt;6,OR(S91&gt;6,V91&gt;6)),1,0)</f>
        <v>0</v>
      </c>
      <c r="BF91" s="248">
        <f>IF(AND(OR(S91&gt;6,U91&gt;6),OR(S91&gt;6,V91&gt;6)),1,0)</f>
        <v>0</v>
      </c>
      <c r="BG91" s="248">
        <f>IF(AND(S91&gt;4,OR(S91&gt;6,U91&gt;6,V91&gt;6)),1,0)</f>
        <v>0</v>
      </c>
      <c r="BH91" s="248">
        <f>IF(AND(S91&gt;4,OR(S91&gt;6,T91&gt;6,U91&gt;6,V91&gt;6)),1,0)</f>
        <v>0</v>
      </c>
      <c r="BI91" s="243">
        <f>IF(AND(S91&gt;4,MAX(S91:W91)&gt;6),1,0)</f>
        <v>0</v>
      </c>
      <c r="BJ91" s="247">
        <f>IF(AND(OR(X91+AA91&gt;12,AND(X91&gt;6,AA91&gt;6)),AO91&gt;6,OR(AP91&gt;=AO91,AP91&gt;6)),1,0)</f>
        <v>0</v>
      </c>
      <c r="BK91" s="248">
        <f>IF(OR(AND(X91&gt;6,AB91&gt;6),X91+AA91&gt;12),1,0)</f>
        <v>0</v>
      </c>
      <c r="BL91" s="248">
        <f>IF(AND(X91&gt;6,Z91&gt;6,AA91&gt;6),1,0)</f>
        <v>0</v>
      </c>
      <c r="BM91" s="248">
        <f>IF(AND(Z91&gt;7,OR(X91&gt;6,AA91&gt;6)),1,0)</f>
        <v>0</v>
      </c>
      <c r="BN91" s="248">
        <f>IF(AND(Z91&gt;6,OR(X91&gt;6,AA91&gt;6)),1,0)</f>
        <v>0</v>
      </c>
      <c r="BO91" s="248">
        <f>IF(AND(OR(X91&gt;6,Z91&gt;6),OR(X91&gt;6,AA91&gt;6)),1,0)</f>
        <v>0</v>
      </c>
      <c r="BP91" s="248">
        <f>IF(AND(X91&gt;4,OR(X91&gt;6,Z91&gt;6,AA91&gt;6)),1,0)</f>
        <v>0</v>
      </c>
      <c r="BQ91" s="248">
        <f>IF(AND(X91&gt;4,OR(X91&gt;6,Y91&gt;6,Z91&gt;6,AA91&gt;6)),1,0)</f>
        <v>0</v>
      </c>
      <c r="BR91" s="243">
        <f>IF(AND(X91&gt;4,MAX(X91:AB91)&gt;6),1,0)</f>
        <v>0</v>
      </c>
      <c r="BS91" s="243">
        <f>IF(AVERAGE(AO91:AP91)&gt;9,1,0)+IF(AVERAGE(AO91:AP91)&gt;7,1,0)+IF(AO91&gt;7,1,0)+IF(AP91&gt;7,1,0)+IF(AQ91&gt;8,1,0)+IF(AQ91&gt;6,1,0)</f>
        <v>2</v>
      </c>
      <c r="BT91" s="249">
        <f>IF(OR(MAX(AG91,AH91,AL91,AN91)&gt;6,MAX(AI91,AJ91,AK91,AM91)&gt;7),2,IF(MAX(AG91:AN91)&gt;4,1,0))</f>
        <v>0</v>
      </c>
      <c r="BU91" s="242" t="str">
        <f>IF(AS91=1,"Yes","")</f>
        <v/>
      </c>
      <c r="BV91" s="241" t="str">
        <f>IF($B91="ML","There",IF(AND($X91&gt;=6,AVERAGE($Z91:$AA91)&gt;=6),"Likely",IF(OR($X91&gt;6,AND($X91=6,AVERAGE($Z91:$AA91)&gt;=3),AND($X91&gt;=5,AVERAGE($Z91:$AA91)&gt;=5),AVERAGE($X91,$Z91:$AA91)&gt;5),"Possible","Unlikely")))</f>
        <v>Unlikely</v>
      </c>
      <c r="BW91" s="242" t="str">
        <f>IF(OR(AND(S91&gt;=6,U91+V91&gt;=12),S91&gt;7),"Start",IF(AND(S91&gt;=5,U91+V91&gt;=8),"Bench","aack!"))</f>
        <v>aack!</v>
      </c>
      <c r="BX91" s="242" t="str">
        <f>IF(OR(AND(X91&gt;=6,Z91+AA91&gt;=12),X91&gt;7),"Start",IF(AND(X91&gt;=5,Z91+AA91&gt;=8),"Bench","aack!"))</f>
        <v>aack!</v>
      </c>
      <c r="BY91" s="242" t="str">
        <f>IF(S91&gt;5,"ML",IF(S91=5,"AAA",IF(S91=4,"AA",IF(S91=3,"A","SS-A"))))</f>
        <v>SS-A</v>
      </c>
      <c r="BZ91" s="242">
        <f>S91-X91</f>
        <v>-2</v>
      </c>
      <c r="CA91" s="242">
        <f>T91-Y91</f>
        <v>-1</v>
      </c>
      <c r="CB91" s="242">
        <f>U91-Z91</f>
        <v>-1</v>
      </c>
      <c r="CC91" s="242">
        <f>V91-AA91</f>
        <v>-3</v>
      </c>
      <c r="CD91" s="242">
        <f>W91-AB91</f>
        <v>-2</v>
      </c>
      <c r="CE91" s="242">
        <f>SUM(BZ91:CD91)</f>
        <v>-9</v>
      </c>
      <c r="CF91" s="242">
        <f>X91+Z91+AA91</f>
        <v>13</v>
      </c>
      <c r="CG91" s="242">
        <f>X91+Z91</f>
        <v>7</v>
      </c>
      <c r="CH91" s="242">
        <f>X91+AA91</f>
        <v>10</v>
      </c>
      <c r="CI91" s="242" t="str">
        <f>IF(L91&gt;24,"Now - Age",IF(S91&gt;6,"Now",IF(X91&lt;6,"With Dev",MIN(X91-S91,7-S91))))</f>
        <v>With Dev</v>
      </c>
      <c r="CJ91" s="257" t="str">
        <f>IF(AG91&lt;&gt;"-","X","")</f>
        <v/>
      </c>
      <c r="CK91" s="257" t="str">
        <f>IF(AND(AH91&lt;&gt;"-",AH91&gt;5),"X","")</f>
        <v/>
      </c>
      <c r="CL91" s="257" t="str">
        <f>IF(AND(AI91&lt;&gt;"-",AI91&gt;5),"X","")</f>
        <v/>
      </c>
      <c r="CM91" s="257" t="str">
        <f>IF(AND(AJ91&lt;&gt;"-",AJ91&gt;4,AC91&gt;6),"X","")</f>
        <v/>
      </c>
      <c r="CN91" s="257" t="str">
        <f>IF(AND(AK91&lt;&gt;"-",AK91&gt;5,AC91&gt;5),"X","")</f>
        <v/>
      </c>
      <c r="CO91" s="257" t="str">
        <f>IF(AND(AL91&lt;&gt;"-",AL91&gt;3),"X","")</f>
        <v/>
      </c>
      <c r="CP91" s="257" t="str">
        <f>IF(AND(AM91&lt;&gt;"-",AM91&gt;6),"X","")</f>
        <v/>
      </c>
      <c r="CQ91" s="257" t="str">
        <f>IF(AND(AN91&lt;&gt;"-",AN91&gt;5,AD91&gt;6),"X","")</f>
        <v/>
      </c>
      <c r="CR91" s="257" t="str">
        <f>IF(COUNTBLANK(CJ91:CQ91)=8,"X","")</f>
        <v>X</v>
      </c>
    </row>
    <row r="92" spans="1:96" s="306" customFormat="1" x14ac:dyDescent="0.25">
      <c r="A92" s="240" t="str">
        <f>H92&amp;" "&amp;I92</f>
        <v>Jerry Atkins</v>
      </c>
      <c r="B92" s="240" t="str">
        <f>IF(ISERROR(VLOOKUP(A92,AMA!$C$3:$C$24,1,FALSE)),IF(ISERROR(VLOOKUP(A92,'END-AAA'!$C$6:$C$33,1,FALSE)),IF(ISERROR(VLOOKUP(A92,'DB-AA'!$C$6:$C$33,1,FALSE)),IF(ISERROR(VLOOKUP(A92,'UTR-A'!$C$6:$C$33,1,FALSE)),IF(ISERROR(VLOOKUP(A92,'FAI-S A'!$C$6:$C$33,1,FALSE)),"","S A"),"A"),"AA"),"AAA"),"ML")</f>
        <v/>
      </c>
      <c r="C92" s="241"/>
      <c r="D92" s="242" t="str">
        <f>IF(BL92=1,3,IF(BM92=1,4,IF(BJ92=1,1,IF(BN92=1,5,IF(BK92=1,2,IF(BO92=1,6,IF(BP92=1,7,IF(BQ92=1,8,IF(BR92=1,9,"-")))))))))</f>
        <v>-</v>
      </c>
      <c r="E92" s="242" t="str">
        <f>IF(BC92=1,3,IF(BD92=1,4,IF(BA92=1,1,IF(BE92=1,5,IF(BB92=1,2,IF(BF92=1,6,IF(BG92=1,7,IF(BH92=1,8,IF(BI92=1,9,"-")))))))))</f>
        <v>-</v>
      </c>
      <c r="F92" s="242" t="str">
        <f>IF(OR(OR(Q92="Very High",Q92="High"),AND(OR(Q92="Very High",Q92="High",Q92="Normal"),OR(R92="Very High",R92="High"))),"K","T")</f>
        <v>K</v>
      </c>
      <c r="G92" s="242" t="s">
        <v>74</v>
      </c>
      <c r="H92" s="242" t="s">
        <v>884</v>
      </c>
      <c r="I92" s="242" t="s">
        <v>885</v>
      </c>
      <c r="J92" s="242" t="s">
        <v>810</v>
      </c>
      <c r="K92" s="242" t="s">
        <v>83</v>
      </c>
      <c r="L92" s="242">
        <v>20</v>
      </c>
      <c r="M92" s="242" t="s">
        <v>83</v>
      </c>
      <c r="N92" s="242" t="s">
        <v>83</v>
      </c>
      <c r="O92" s="242" t="s">
        <v>816</v>
      </c>
      <c r="P92" s="243" t="s">
        <v>773</v>
      </c>
      <c r="Q92" s="242" t="s">
        <v>199</v>
      </c>
      <c r="R92" s="243" t="s">
        <v>200</v>
      </c>
      <c r="S92" s="242">
        <v>2</v>
      </c>
      <c r="T92" s="242">
        <v>3</v>
      </c>
      <c r="U92" s="242">
        <v>2</v>
      </c>
      <c r="V92" s="242">
        <v>3</v>
      </c>
      <c r="W92" s="243">
        <v>1</v>
      </c>
      <c r="X92" s="242">
        <v>4</v>
      </c>
      <c r="Y92" s="242">
        <v>4</v>
      </c>
      <c r="Z92" s="242">
        <v>4</v>
      </c>
      <c r="AA92" s="242">
        <v>5</v>
      </c>
      <c r="AB92" s="243">
        <v>5</v>
      </c>
      <c r="AC92" s="242">
        <v>4</v>
      </c>
      <c r="AD92" s="242">
        <v>3</v>
      </c>
      <c r="AE92" s="242">
        <v>1</v>
      </c>
      <c r="AF92" s="242" t="s">
        <v>32</v>
      </c>
      <c r="AG92" s="242" t="s">
        <v>32</v>
      </c>
      <c r="AH92" s="242" t="s">
        <v>32</v>
      </c>
      <c r="AI92" s="242">
        <v>6</v>
      </c>
      <c r="AJ92" s="242" t="s">
        <v>32</v>
      </c>
      <c r="AK92" s="242" t="s">
        <v>32</v>
      </c>
      <c r="AL92" s="242" t="s">
        <v>32</v>
      </c>
      <c r="AM92" s="242" t="s">
        <v>32</v>
      </c>
      <c r="AN92" s="243" t="s">
        <v>32</v>
      </c>
      <c r="AO92" s="242">
        <v>9</v>
      </c>
      <c r="AP92" s="242">
        <v>5</v>
      </c>
      <c r="AQ92" s="243">
        <v>3</v>
      </c>
      <c r="AR92" s="244" t="s">
        <v>32</v>
      </c>
      <c r="AS92" s="243" t="s">
        <v>33</v>
      </c>
      <c r="AT92" s="248" t="s">
        <v>779</v>
      </c>
      <c r="AU9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0.33333333333333348</v>
      </c>
      <c r="AV92" s="246" t="str">
        <f>IF(AU92&gt;9,"SuperStar",IF(AU92&gt;8,"Star",IF(AU92&gt;6.5,"GoodReg",IF(AU92&gt;5,"Reg",IF(AU92&gt;4,"Bench","Minors")))))</f>
        <v>Minors</v>
      </c>
      <c r="AW92" s="245">
        <f>AVERAGE(X92,Z92,AA92)+IF(OR(X92&gt;7,AND(X92&gt;5,AA92&gt;5)),0.5,0)+IF(Z92&gt;7,0.25,0)+IF(X92&lt;6,-0.5*(6-X92),0)</f>
        <v>3.333333333333333</v>
      </c>
      <c r="AX92" s="245" t="str">
        <f>IF(AW92&gt;9,"SuperStar",IF(AW92&gt;8,"Star",IF(AW92&gt;6.5,"GoodReg",IF(AW92&gt;5,"Reg",IF(AW92&gt;4,"Bench","Minors")))))</f>
        <v>Minors</v>
      </c>
      <c r="AY92" s="246">
        <f>MIN(AU92+(MAX(0,25-L92))^1.5,AW92)</f>
        <v>3.333333333333333</v>
      </c>
      <c r="AZ92" s="246" t="str">
        <f>IF(AY92&gt;9,"SuperStar",IF(AY92&gt;8,"Star",IF(AY92&gt;6.5,"GoodReg",IF(AY92&gt;5,"Reg",IF(AY92&gt;4,"Bench","Minors")))))</f>
        <v>Minors</v>
      </c>
      <c r="BA92" s="247">
        <f>IF(AND(OR(S92+V92&gt;12,AND(S92&gt;6,V92&gt;6)),AO92&gt;6,OR(AP92&gt;=AO92,AP92&gt;6)),1,0)</f>
        <v>0</v>
      </c>
      <c r="BB92" s="248">
        <f>IF(OR(AND(S92&gt;6,W92&gt;6),S92+V92&gt;12),1,0)</f>
        <v>0</v>
      </c>
      <c r="BC92" s="248">
        <f>IF(AND(S92&gt;6,U92&gt;6,V92&gt;6),1,0)</f>
        <v>0</v>
      </c>
      <c r="BD92" s="248">
        <f>IF(AND(U92&gt;7,OR(S92&gt;6,V92&gt;6)),1,0)</f>
        <v>0</v>
      </c>
      <c r="BE92" s="248">
        <f>IF(AND(U92&gt;6,OR(S92&gt;6,V92&gt;6)),1,0)</f>
        <v>0</v>
      </c>
      <c r="BF92" s="248">
        <f>IF(AND(OR(S92&gt;6,U92&gt;6),OR(S92&gt;6,V92&gt;6)),1,0)</f>
        <v>0</v>
      </c>
      <c r="BG92" s="248">
        <f>IF(AND(S92&gt;4,OR(S92&gt;6,U92&gt;6,V92&gt;6)),1,0)</f>
        <v>0</v>
      </c>
      <c r="BH92" s="248">
        <f>IF(AND(S92&gt;4,OR(S92&gt;6,T92&gt;6,U92&gt;6,V92&gt;6)),1,0)</f>
        <v>0</v>
      </c>
      <c r="BI92" s="243">
        <f>IF(AND(S92&gt;4,MAX(S92:W92)&gt;6),1,0)</f>
        <v>0</v>
      </c>
      <c r="BJ92" s="247">
        <f>IF(AND(OR(X92+AA92&gt;12,AND(X92&gt;6,AA92&gt;6)),AO92&gt;6,OR(AP92&gt;=AO92,AP92&gt;6)),1,0)</f>
        <v>0</v>
      </c>
      <c r="BK92" s="248">
        <f>IF(OR(AND(X92&gt;6,AB92&gt;6),X92+AA92&gt;12),1,0)</f>
        <v>0</v>
      </c>
      <c r="BL92" s="248">
        <f>IF(AND(X92&gt;6,Z92&gt;6,AA92&gt;6),1,0)</f>
        <v>0</v>
      </c>
      <c r="BM92" s="248">
        <f>IF(AND(Z92&gt;7,OR(X92&gt;6,AA92&gt;6)),1,0)</f>
        <v>0</v>
      </c>
      <c r="BN92" s="248">
        <f>IF(AND(Z92&gt;6,OR(X92&gt;6,AA92&gt;6)),1,0)</f>
        <v>0</v>
      </c>
      <c r="BO92" s="248">
        <f>IF(AND(OR(X92&gt;6,Z92&gt;6),OR(X92&gt;6,AA92&gt;6)),1,0)</f>
        <v>0</v>
      </c>
      <c r="BP92" s="248">
        <f>IF(AND(X92&gt;4,OR(X92&gt;6,Z92&gt;6,AA92&gt;6)),1,0)</f>
        <v>0</v>
      </c>
      <c r="BQ92" s="248">
        <f>IF(AND(X92&gt;4,OR(X92&gt;6,Y92&gt;6,Z92&gt;6,AA92&gt;6)),1,0)</f>
        <v>0</v>
      </c>
      <c r="BR92" s="243">
        <f>IF(AND(X92&gt;4,MAX(X92:AB92)&gt;6),1,0)</f>
        <v>0</v>
      </c>
      <c r="BS92" s="243">
        <f>IF(AVERAGE(AO92:AP92)&gt;9,1,0)+IF(AVERAGE(AO92:AP92)&gt;7,1,0)+IF(AO92&gt;7,1,0)+IF(AP92&gt;7,1,0)+IF(AQ92&gt;8,1,0)+IF(AQ92&gt;6,1,0)</f>
        <v>1</v>
      </c>
      <c r="BT92" s="249">
        <f>IF(OR(MAX(AG92,AH92,AL92,AN92)&gt;6,MAX(AI92,AJ92,AK92,AM92)&gt;7),2,IF(MAX(AG92:AN92)&gt;4,1,0))</f>
        <v>1</v>
      </c>
      <c r="BU92" s="242" t="str">
        <f>IF(AS92=1,"Yes","")</f>
        <v/>
      </c>
      <c r="BV92" s="241" t="str">
        <f>IF($B92="ML","There",IF(AND($X92&gt;=6,AVERAGE($Z92:$AA92)&gt;=6),"Likely",IF(OR($X92&gt;6,AND($X92=6,AVERAGE($Z92:$AA92)&gt;=3),AND($X92&gt;=5,AVERAGE($Z92:$AA92)&gt;=5),AVERAGE($X92,$Z92:$AA92)&gt;5),"Possible","Unlikely")))</f>
        <v>Unlikely</v>
      </c>
      <c r="BW92" s="242" t="str">
        <f>IF(OR(AND(S92&gt;=6,U92+V92&gt;=12),S92&gt;7),"Start",IF(AND(S92&gt;=5,U92+V92&gt;=8),"Bench","aack!"))</f>
        <v>aack!</v>
      </c>
      <c r="BX92" s="242" t="str">
        <f>IF(OR(AND(X92&gt;=6,Z92+AA92&gt;=12),X92&gt;7),"Start",IF(AND(X92&gt;=5,Z92+AA92&gt;=8),"Bench","aack!"))</f>
        <v>aack!</v>
      </c>
      <c r="BY92" s="242" t="str">
        <f>IF(S92&gt;5,"ML",IF(S92=5,"AAA",IF(S92=4,"AA",IF(S92=3,"A","SS-A"))))</f>
        <v>SS-A</v>
      </c>
      <c r="BZ92" s="242">
        <f>S92-X92</f>
        <v>-2</v>
      </c>
      <c r="CA92" s="242">
        <f>T92-Y92</f>
        <v>-1</v>
      </c>
      <c r="CB92" s="242">
        <f>U92-Z92</f>
        <v>-2</v>
      </c>
      <c r="CC92" s="242">
        <f>V92-AA92</f>
        <v>-2</v>
      </c>
      <c r="CD92" s="242">
        <f>W92-AB92</f>
        <v>-4</v>
      </c>
      <c r="CE92" s="242">
        <f>SUM(BZ92:CD92)</f>
        <v>-11</v>
      </c>
      <c r="CF92" s="242">
        <f>X92+Z92+AA92</f>
        <v>13</v>
      </c>
      <c r="CG92" s="242">
        <f>X92+Z92</f>
        <v>8</v>
      </c>
      <c r="CH92" s="242">
        <f>X92+AA92</f>
        <v>9</v>
      </c>
      <c r="CI92" s="242" t="str">
        <f>IF(L92&gt;24,"Now - Age",IF(S92&gt;6,"Now",IF(X92&lt;6,"With Dev",MIN(X92-S92,7-S92))))</f>
        <v>With Dev</v>
      </c>
      <c r="CJ92" s="257" t="str">
        <f>IF(AG92&lt;&gt;"-","X","")</f>
        <v/>
      </c>
      <c r="CK92" s="257" t="str">
        <f>IF(AND(AH92&lt;&gt;"-",AH92&gt;5),"X","")</f>
        <v/>
      </c>
      <c r="CL92" s="257" t="str">
        <f>IF(AND(AI92&lt;&gt;"-",AI92&gt;5),"X","")</f>
        <v>X</v>
      </c>
      <c r="CM92" s="257" t="str">
        <f>IF(AND(AJ92&lt;&gt;"-",AJ92&gt;4,AC92&gt;6),"X","")</f>
        <v/>
      </c>
      <c r="CN92" s="257" t="str">
        <f>IF(AND(AK92&lt;&gt;"-",AK92&gt;5,AC92&gt;5),"X","")</f>
        <v/>
      </c>
      <c r="CO92" s="257" t="str">
        <f>IF(AND(AL92&lt;&gt;"-",AL92&gt;3),"X","")</f>
        <v/>
      </c>
      <c r="CP92" s="257" t="str">
        <f>IF(AND(AM92&lt;&gt;"-",AM92&gt;6),"X","")</f>
        <v/>
      </c>
      <c r="CQ92" s="257" t="str">
        <f>IF(AND(AN92&lt;&gt;"-",AN92&gt;5,AD92&gt;6),"X","")</f>
        <v/>
      </c>
      <c r="CR92" s="257" t="str">
        <f>IF(COUNTBLANK(CJ92:CQ92)=8,"X","")</f>
        <v/>
      </c>
    </row>
    <row r="93" spans="1:96" s="306" customFormat="1" x14ac:dyDescent="0.25">
      <c r="A93" s="240" t="str">
        <f>H93&amp;" "&amp;I93</f>
        <v>Will Lehman</v>
      </c>
      <c r="B93" s="240" t="str">
        <f>IF(ISERROR(VLOOKUP(A93,AMA!$C$3:$C$24,1,FALSE)),IF(ISERROR(VLOOKUP(A93,'END-AAA'!$C$6:$C$33,1,FALSE)),IF(ISERROR(VLOOKUP(A93,'DB-AA'!$C$6:$C$33,1,FALSE)),IF(ISERROR(VLOOKUP(A93,'UTR-A'!$C$6:$C$33,1,FALSE)),IF(ISERROR(VLOOKUP(A93,'FAI-S A'!$C$6:$C$33,1,FALSE)),"","S A"),"A"),"AA"),"AAA"),"ML")</f>
        <v/>
      </c>
      <c r="C93" s="241"/>
      <c r="D93" s="242" t="str">
        <f>IF(BL93=1,3,IF(BM93=1,4,IF(BJ93=1,1,IF(BN93=1,5,IF(BK93=1,2,IF(BO93=1,6,IF(BP93=1,7,IF(BQ93=1,8,IF(BR93=1,9,"-")))))))))</f>
        <v>-</v>
      </c>
      <c r="E93" s="242" t="str">
        <f>IF(BC93=1,3,IF(BD93=1,4,IF(BA93=1,1,IF(BE93=1,5,IF(BB93=1,2,IF(BF93=1,6,IF(BG93=1,7,IF(BH93=1,8,IF(BI93=1,9,"-")))))))))</f>
        <v>-</v>
      </c>
      <c r="F93" s="242" t="str">
        <f>IF(OR(OR(Q93="Very High",Q93="High"),AND(OR(Q93="Very High",Q93="High",Q93="Normal"),OR(R93="Very High",R93="High"))),"K","T")</f>
        <v>K</v>
      </c>
      <c r="G93" s="242" t="s">
        <v>74</v>
      </c>
      <c r="H93" s="242" t="s">
        <v>471</v>
      </c>
      <c r="I93" s="242" t="s">
        <v>898</v>
      </c>
      <c r="J93" s="242" t="s">
        <v>810</v>
      </c>
      <c r="K93" s="242" t="s">
        <v>83</v>
      </c>
      <c r="L93" s="242">
        <v>19</v>
      </c>
      <c r="M93" s="242" t="s">
        <v>83</v>
      </c>
      <c r="N93" s="242" t="s">
        <v>83</v>
      </c>
      <c r="O93" s="242" t="s">
        <v>816</v>
      </c>
      <c r="P93" s="243" t="s">
        <v>808</v>
      </c>
      <c r="Q93" s="242" t="s">
        <v>200</v>
      </c>
      <c r="R93" s="243" t="s">
        <v>199</v>
      </c>
      <c r="S93" s="242">
        <v>2</v>
      </c>
      <c r="T93" s="242">
        <v>3</v>
      </c>
      <c r="U93" s="242">
        <v>2</v>
      </c>
      <c r="V93" s="242">
        <v>2</v>
      </c>
      <c r="W93" s="243">
        <v>1</v>
      </c>
      <c r="X93" s="242">
        <v>4</v>
      </c>
      <c r="Y93" s="242">
        <v>5</v>
      </c>
      <c r="Z93" s="242">
        <v>3</v>
      </c>
      <c r="AA93" s="242">
        <v>5</v>
      </c>
      <c r="AB93" s="243">
        <v>4</v>
      </c>
      <c r="AC93" s="242">
        <v>5</v>
      </c>
      <c r="AD93" s="242">
        <v>5</v>
      </c>
      <c r="AE93" s="242">
        <v>1</v>
      </c>
      <c r="AF93" s="242" t="s">
        <v>32</v>
      </c>
      <c r="AG93" s="242" t="s">
        <v>32</v>
      </c>
      <c r="AH93" s="242" t="s">
        <v>32</v>
      </c>
      <c r="AI93" s="242">
        <v>5</v>
      </c>
      <c r="AJ93" s="242" t="s">
        <v>32</v>
      </c>
      <c r="AK93" s="242" t="s">
        <v>32</v>
      </c>
      <c r="AL93" s="242" t="s">
        <v>32</v>
      </c>
      <c r="AM93" s="242" t="s">
        <v>32</v>
      </c>
      <c r="AN93" s="243" t="s">
        <v>32</v>
      </c>
      <c r="AO93" s="242">
        <v>8</v>
      </c>
      <c r="AP93" s="242">
        <v>6</v>
      </c>
      <c r="AQ93" s="243">
        <v>8</v>
      </c>
      <c r="AR93" s="244" t="s">
        <v>32</v>
      </c>
      <c r="AS93" s="243" t="s">
        <v>33</v>
      </c>
      <c r="AT93" s="248" t="s">
        <v>779</v>
      </c>
      <c r="AU9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0</v>
      </c>
      <c r="AV93" s="246" t="str">
        <f>IF(AU93&gt;9,"SuperStar",IF(AU93&gt;8,"Star",IF(AU93&gt;6.5,"GoodReg",IF(AU93&gt;5,"Reg",IF(AU93&gt;4,"Bench","Minors")))))</f>
        <v>Minors</v>
      </c>
      <c r="AW93" s="245">
        <f>AVERAGE(X93,Z93,AA93)+IF(OR(X93&gt;7,AND(X93&gt;5,AA93&gt;5)),0.5,0)+IF(Z93&gt;7,0.25,0)+IF(X93&lt;6,-0.5*(6-X93),0)</f>
        <v>3</v>
      </c>
      <c r="AX93" s="245" t="str">
        <f>IF(AW93&gt;9,"SuperStar",IF(AW93&gt;8,"Star",IF(AW93&gt;6.5,"GoodReg",IF(AW93&gt;5,"Reg",IF(AW93&gt;4,"Bench","Minors")))))</f>
        <v>Minors</v>
      </c>
      <c r="AY93" s="246">
        <f>MIN(AU93+(MAX(0,25-L93))^1.5,AW93)</f>
        <v>3</v>
      </c>
      <c r="AZ93" s="246" t="str">
        <f>IF(AY93&gt;9,"SuperStar",IF(AY93&gt;8,"Star",IF(AY93&gt;6.5,"GoodReg",IF(AY93&gt;5,"Reg",IF(AY93&gt;4,"Bench","Minors")))))</f>
        <v>Minors</v>
      </c>
      <c r="BA93" s="247">
        <f>IF(AND(OR(S93+V93&gt;12,AND(S93&gt;6,V93&gt;6)),AO93&gt;6,OR(AP93&gt;=AO93,AP93&gt;6)),1,0)</f>
        <v>0</v>
      </c>
      <c r="BB93" s="248">
        <f>IF(OR(AND(S93&gt;6,W93&gt;6),S93+V93&gt;12),1,0)</f>
        <v>0</v>
      </c>
      <c r="BC93" s="248">
        <f>IF(AND(S93&gt;6,U93&gt;6,V93&gt;6),1,0)</f>
        <v>0</v>
      </c>
      <c r="BD93" s="248">
        <f>IF(AND(U93&gt;7,OR(S93&gt;6,V93&gt;6)),1,0)</f>
        <v>0</v>
      </c>
      <c r="BE93" s="248">
        <f>IF(AND(U93&gt;6,OR(S93&gt;6,V93&gt;6)),1,0)</f>
        <v>0</v>
      </c>
      <c r="BF93" s="248">
        <f>IF(AND(OR(S93&gt;6,U93&gt;6),OR(S93&gt;6,V93&gt;6)),1,0)</f>
        <v>0</v>
      </c>
      <c r="BG93" s="248">
        <f>IF(AND(S93&gt;4,OR(S93&gt;6,U93&gt;6,V93&gt;6)),1,0)</f>
        <v>0</v>
      </c>
      <c r="BH93" s="248">
        <f>IF(AND(S93&gt;4,OR(S93&gt;6,T93&gt;6,U93&gt;6,V93&gt;6)),1,0)</f>
        <v>0</v>
      </c>
      <c r="BI93" s="243">
        <f>IF(AND(S93&gt;4,MAX(S93:W93)&gt;6),1,0)</f>
        <v>0</v>
      </c>
      <c r="BJ93" s="247">
        <f>IF(AND(OR(X93+AA93&gt;12,AND(X93&gt;6,AA93&gt;6)),AO93&gt;6,OR(AP93&gt;=AO93,AP93&gt;6)),1,0)</f>
        <v>0</v>
      </c>
      <c r="BK93" s="248">
        <f>IF(OR(AND(X93&gt;6,AB93&gt;6),X93+AA93&gt;12),1,0)</f>
        <v>0</v>
      </c>
      <c r="BL93" s="248">
        <f>IF(AND(X93&gt;6,Z93&gt;6,AA93&gt;6),1,0)</f>
        <v>0</v>
      </c>
      <c r="BM93" s="248">
        <f>IF(AND(Z93&gt;7,OR(X93&gt;6,AA93&gt;6)),1,0)</f>
        <v>0</v>
      </c>
      <c r="BN93" s="248">
        <f>IF(AND(Z93&gt;6,OR(X93&gt;6,AA93&gt;6)),1,0)</f>
        <v>0</v>
      </c>
      <c r="BO93" s="248">
        <f>IF(AND(OR(X93&gt;6,Z93&gt;6),OR(X93&gt;6,AA93&gt;6)),1,0)</f>
        <v>0</v>
      </c>
      <c r="BP93" s="248">
        <f>IF(AND(X93&gt;4,OR(X93&gt;6,Z93&gt;6,AA93&gt;6)),1,0)</f>
        <v>0</v>
      </c>
      <c r="BQ93" s="248">
        <f>IF(AND(X93&gt;4,OR(X93&gt;6,Y93&gt;6,Z93&gt;6,AA93&gt;6)),1,0)</f>
        <v>0</v>
      </c>
      <c r="BR93" s="243">
        <f>IF(AND(X93&gt;4,MAX(X93:AB93)&gt;6),1,0)</f>
        <v>0</v>
      </c>
      <c r="BS93" s="243">
        <f>IF(AVERAGE(AO93:AP93)&gt;9,1,0)+IF(AVERAGE(AO93:AP93)&gt;7,1,0)+IF(AO93&gt;7,1,0)+IF(AP93&gt;7,1,0)+IF(AQ93&gt;8,1,0)+IF(AQ93&gt;6,1,0)</f>
        <v>2</v>
      </c>
      <c r="BT93" s="249">
        <f>IF(OR(MAX(AG93,AH93,AL93,AN93)&gt;6,MAX(AI93,AJ93,AK93,AM93)&gt;7),2,IF(MAX(AG93:AN93)&gt;4,1,0))</f>
        <v>1</v>
      </c>
      <c r="BU93" s="242" t="str">
        <f>IF(AS93=1,"Yes","")</f>
        <v/>
      </c>
      <c r="BV93" s="241" t="str">
        <f>IF($B93="ML","There",IF(AND($X93&gt;=6,AVERAGE($Z93:$AA93)&gt;=6),"Likely",IF(OR($X93&gt;6,AND($X93=6,AVERAGE($Z93:$AA93)&gt;=3),AND($X93&gt;=5,AVERAGE($Z93:$AA93)&gt;=5),AVERAGE($X93,$Z93:$AA93)&gt;5),"Possible","Unlikely")))</f>
        <v>Unlikely</v>
      </c>
      <c r="BW93" s="242" t="str">
        <f>IF(OR(AND(S93&gt;=6,U93+V93&gt;=12),S93&gt;7),"Start",IF(AND(S93&gt;=5,U93+V93&gt;=8),"Bench","aack!"))</f>
        <v>aack!</v>
      </c>
      <c r="BX93" s="242" t="str">
        <f>IF(OR(AND(X93&gt;=6,Z93+AA93&gt;=12),X93&gt;7),"Start",IF(AND(X93&gt;=5,Z93+AA93&gt;=8),"Bench","aack!"))</f>
        <v>aack!</v>
      </c>
      <c r="BY93" s="242" t="str">
        <f>IF(S93&gt;5,"ML",IF(S93=5,"AAA",IF(S93=4,"AA",IF(S93=3,"A","SS-A"))))</f>
        <v>SS-A</v>
      </c>
      <c r="BZ93" s="242">
        <f>S93-X93</f>
        <v>-2</v>
      </c>
      <c r="CA93" s="242">
        <f>T93-Y93</f>
        <v>-2</v>
      </c>
      <c r="CB93" s="242">
        <f>U93-Z93</f>
        <v>-1</v>
      </c>
      <c r="CC93" s="242">
        <f>V93-AA93</f>
        <v>-3</v>
      </c>
      <c r="CD93" s="242">
        <f>W93-AB93</f>
        <v>-3</v>
      </c>
      <c r="CE93" s="242">
        <f>SUM(BZ93:CD93)</f>
        <v>-11</v>
      </c>
      <c r="CF93" s="242">
        <f>X93+Z93+AA93</f>
        <v>12</v>
      </c>
      <c r="CG93" s="242">
        <f>X93+Z93</f>
        <v>7</v>
      </c>
      <c r="CH93" s="242">
        <f>X93+AA93</f>
        <v>9</v>
      </c>
      <c r="CI93" s="242" t="str">
        <f>IF(L93&gt;24,"Now - Age",IF(S93&gt;6,"Now",IF(X93&lt;6,"With Dev",MIN(X93-S93,7-S93))))</f>
        <v>With Dev</v>
      </c>
      <c r="CJ93" s="257" t="str">
        <f>IF(AG93&lt;&gt;"-","X","")</f>
        <v/>
      </c>
      <c r="CK93" s="257" t="str">
        <f>IF(AND(AH93&lt;&gt;"-",AH93&gt;5),"X","")</f>
        <v/>
      </c>
      <c r="CL93" s="257" t="str">
        <f>IF(AND(AI93&lt;&gt;"-",AI93&gt;5),"X","")</f>
        <v/>
      </c>
      <c r="CM93" s="257" t="str">
        <f>IF(AND(AJ93&lt;&gt;"-",AJ93&gt;4,AC93&gt;6),"X","")</f>
        <v/>
      </c>
      <c r="CN93" s="257" t="str">
        <f>IF(AND(AK93&lt;&gt;"-",AK93&gt;5,AC93&gt;5),"X","")</f>
        <v/>
      </c>
      <c r="CO93" s="257" t="str">
        <f>IF(AND(AL93&lt;&gt;"-",AL93&gt;3),"X","")</f>
        <v/>
      </c>
      <c r="CP93" s="257" t="str">
        <f>IF(AND(AM93&lt;&gt;"-",AM93&gt;6),"X","")</f>
        <v/>
      </c>
      <c r="CQ93" s="257" t="str">
        <f>IF(AND(AN93&lt;&gt;"-",AN93&gt;5,AD93&gt;6),"X","")</f>
        <v/>
      </c>
      <c r="CR93" s="257" t="str">
        <f>IF(COUNTBLANK(CJ93:CQ93)=8,"X","")</f>
        <v>X</v>
      </c>
    </row>
    <row r="94" spans="1:96" s="306" customFormat="1" x14ac:dyDescent="0.25">
      <c r="A94" s="240" t="str">
        <f>H94&amp;" "&amp;I94</f>
        <v>Juan Magana</v>
      </c>
      <c r="B94" s="240" t="str">
        <f>IF(ISERROR(VLOOKUP(A94,AMA!$C$3:$C$24,1,FALSE)),IF(ISERROR(VLOOKUP(A94,'END-AAA'!$C$6:$C$33,1,FALSE)),IF(ISERROR(VLOOKUP(A94,'DB-AA'!$C$6:$C$33,1,FALSE)),IF(ISERROR(VLOOKUP(A94,'UTR-A'!$C$6:$C$33,1,FALSE)),IF(ISERROR(VLOOKUP(A94,'FAI-S A'!$C$6:$C$33,1,FALSE)),"","S A"),"A"),"AA"),"AAA"),"ML")</f>
        <v/>
      </c>
      <c r="C94" s="241"/>
      <c r="D94" s="242" t="str">
        <f>IF(BL94=1,3,IF(BM94=1,4,IF(BJ94=1,1,IF(BN94=1,5,IF(BK94=1,2,IF(BO94=1,6,IF(BP94=1,7,IF(BQ94=1,8,IF(BR94=1,9,"-")))))))))</f>
        <v>-</v>
      </c>
      <c r="E94" s="242" t="str">
        <f>IF(BC94=1,3,IF(BD94=1,4,IF(BA94=1,1,IF(BE94=1,5,IF(BB94=1,2,IF(BF94=1,6,IF(BG94=1,7,IF(BH94=1,8,IF(BI94=1,9,"-")))))))))</f>
        <v>-</v>
      </c>
      <c r="F94" s="242" t="str">
        <f>IF(OR(OR(Q94="Very High",Q94="High"),AND(OR(Q94="Very High",Q94="High",Q94="Normal"),OR(R94="Very High",R94="High"))),"K","T")</f>
        <v>T</v>
      </c>
      <c r="G94" s="242" t="s">
        <v>78</v>
      </c>
      <c r="H94" s="242" t="s">
        <v>400</v>
      </c>
      <c r="I94" s="242" t="s">
        <v>879</v>
      </c>
      <c r="J94" s="242" t="s">
        <v>810</v>
      </c>
      <c r="K94" s="242" t="s">
        <v>83</v>
      </c>
      <c r="L94" s="242">
        <v>20</v>
      </c>
      <c r="M94" s="242" t="s">
        <v>83</v>
      </c>
      <c r="N94" s="242" t="s">
        <v>83</v>
      </c>
      <c r="O94" s="242" t="s">
        <v>816</v>
      </c>
      <c r="P94" s="243" t="s">
        <v>803</v>
      </c>
      <c r="Q94" s="242" t="s">
        <v>200</v>
      </c>
      <c r="R94" s="243" t="s">
        <v>200</v>
      </c>
      <c r="S94" s="242">
        <v>2</v>
      </c>
      <c r="T94" s="242">
        <v>4</v>
      </c>
      <c r="U94" s="242">
        <v>2</v>
      </c>
      <c r="V94" s="242">
        <v>2</v>
      </c>
      <c r="W94" s="243">
        <v>3</v>
      </c>
      <c r="X94" s="242">
        <v>4</v>
      </c>
      <c r="Y94" s="242">
        <v>4</v>
      </c>
      <c r="Z94" s="242">
        <v>2</v>
      </c>
      <c r="AA94" s="242">
        <v>3</v>
      </c>
      <c r="AB94" s="243">
        <v>5</v>
      </c>
      <c r="AC94" s="242">
        <v>3</v>
      </c>
      <c r="AD94" s="242">
        <v>6</v>
      </c>
      <c r="AE94" s="242">
        <v>1</v>
      </c>
      <c r="AF94" s="242" t="s">
        <v>32</v>
      </c>
      <c r="AG94" s="242" t="s">
        <v>32</v>
      </c>
      <c r="AH94" s="242" t="s">
        <v>32</v>
      </c>
      <c r="AI94" s="242" t="s">
        <v>32</v>
      </c>
      <c r="AJ94" s="242" t="s">
        <v>32</v>
      </c>
      <c r="AK94" s="242" t="s">
        <v>32</v>
      </c>
      <c r="AL94" s="242">
        <v>3</v>
      </c>
      <c r="AM94" s="242">
        <v>3</v>
      </c>
      <c r="AN94" s="243">
        <v>3</v>
      </c>
      <c r="AO94" s="242">
        <v>4</v>
      </c>
      <c r="AP94" s="242">
        <v>6</v>
      </c>
      <c r="AQ94" s="243">
        <v>4</v>
      </c>
      <c r="AR94" s="244" t="s">
        <v>32</v>
      </c>
      <c r="AS94" s="243">
        <v>0</v>
      </c>
      <c r="AT94" s="248" t="s">
        <v>199</v>
      </c>
      <c r="AU94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0</v>
      </c>
      <c r="AV94" s="246" t="str">
        <f>IF(AU94&gt;9,"SuperStar",IF(AU94&gt;8,"Star",IF(AU94&gt;6.5,"GoodReg",IF(AU94&gt;5,"Reg",IF(AU94&gt;4,"Bench","Minors")))))</f>
        <v>Minors</v>
      </c>
      <c r="AW94" s="245">
        <f>AVERAGE(X94,Z94,AA94)+IF(OR(X94&gt;7,AND(X94&gt;5,AA94&gt;5)),0.5,0)+IF(Z94&gt;7,0.25,0)+IF(X94&lt;6,-0.5*(6-X94),0)</f>
        <v>2</v>
      </c>
      <c r="AX94" s="245" t="str">
        <f>IF(AW94&gt;9,"SuperStar",IF(AW94&gt;8,"Star",IF(AW94&gt;6.5,"GoodReg",IF(AW94&gt;5,"Reg",IF(AW94&gt;4,"Bench","Minors")))))</f>
        <v>Minors</v>
      </c>
      <c r="AY94" s="246">
        <f>MIN(AU94+(MAX(0,25-L94))^1.5,AW94)</f>
        <v>2</v>
      </c>
      <c r="AZ94" s="246" t="str">
        <f>IF(AY94&gt;9,"SuperStar",IF(AY94&gt;8,"Star",IF(AY94&gt;6.5,"GoodReg",IF(AY94&gt;5,"Reg",IF(AY94&gt;4,"Bench","Minors")))))</f>
        <v>Minors</v>
      </c>
      <c r="BA94" s="247">
        <f>IF(AND(OR(S94+V94&gt;12,AND(S94&gt;6,V94&gt;6)),AO94&gt;6,OR(AP94&gt;=AO94,AP94&gt;6)),1,0)</f>
        <v>0</v>
      </c>
      <c r="BB94" s="248">
        <f>IF(OR(AND(S94&gt;6,W94&gt;6),S94+V94&gt;12),1,0)</f>
        <v>0</v>
      </c>
      <c r="BC94" s="248">
        <f>IF(AND(S94&gt;6,U94&gt;6,V94&gt;6),1,0)</f>
        <v>0</v>
      </c>
      <c r="BD94" s="248">
        <f>IF(AND(U94&gt;7,OR(S94&gt;6,V94&gt;6)),1,0)</f>
        <v>0</v>
      </c>
      <c r="BE94" s="248">
        <f>IF(AND(U94&gt;6,OR(S94&gt;6,V94&gt;6)),1,0)</f>
        <v>0</v>
      </c>
      <c r="BF94" s="248">
        <f>IF(AND(OR(S94&gt;6,U94&gt;6),OR(S94&gt;6,V94&gt;6)),1,0)</f>
        <v>0</v>
      </c>
      <c r="BG94" s="248">
        <f>IF(AND(S94&gt;4,OR(S94&gt;6,U94&gt;6,V94&gt;6)),1,0)</f>
        <v>0</v>
      </c>
      <c r="BH94" s="248">
        <f>IF(AND(S94&gt;4,OR(S94&gt;6,T94&gt;6,U94&gt;6,V94&gt;6)),1,0)</f>
        <v>0</v>
      </c>
      <c r="BI94" s="243">
        <f>IF(AND(S94&gt;4,MAX(S94:W94)&gt;6),1,0)</f>
        <v>0</v>
      </c>
      <c r="BJ94" s="247">
        <f>IF(AND(OR(X94+AA94&gt;12,AND(X94&gt;6,AA94&gt;6)),AO94&gt;6,OR(AP94&gt;=AO94,AP94&gt;6)),1,0)</f>
        <v>0</v>
      </c>
      <c r="BK94" s="248">
        <f>IF(OR(AND(X94&gt;6,AB94&gt;6),X94+AA94&gt;12),1,0)</f>
        <v>0</v>
      </c>
      <c r="BL94" s="248">
        <f>IF(AND(X94&gt;6,Z94&gt;6,AA94&gt;6),1,0)</f>
        <v>0</v>
      </c>
      <c r="BM94" s="248">
        <f>IF(AND(Z94&gt;7,OR(X94&gt;6,AA94&gt;6)),1,0)</f>
        <v>0</v>
      </c>
      <c r="BN94" s="248">
        <f>IF(AND(Z94&gt;6,OR(X94&gt;6,AA94&gt;6)),1,0)</f>
        <v>0</v>
      </c>
      <c r="BO94" s="248">
        <f>IF(AND(OR(X94&gt;6,Z94&gt;6),OR(X94&gt;6,AA94&gt;6)),1,0)</f>
        <v>0</v>
      </c>
      <c r="BP94" s="248">
        <f>IF(AND(X94&gt;4,OR(X94&gt;6,Z94&gt;6,AA94&gt;6)),1,0)</f>
        <v>0</v>
      </c>
      <c r="BQ94" s="248">
        <f>IF(AND(X94&gt;4,OR(X94&gt;6,Y94&gt;6,Z94&gt;6,AA94&gt;6)),1,0)</f>
        <v>0</v>
      </c>
      <c r="BR94" s="243">
        <f>IF(AND(X94&gt;4,MAX(X94:AB94)&gt;6),1,0)</f>
        <v>0</v>
      </c>
      <c r="BS94" s="243">
        <f>IF(AVERAGE(AO94:AP94)&gt;9,1,0)+IF(AVERAGE(AO94:AP94)&gt;7,1,0)+IF(AO94&gt;7,1,0)+IF(AP94&gt;7,1,0)+IF(AQ94&gt;8,1,0)+IF(AQ94&gt;6,1,0)</f>
        <v>0</v>
      </c>
      <c r="BT94" s="249">
        <f>IF(OR(MAX(AG94,AH94,AL94,AN94)&gt;6,MAX(AI94,AJ94,AK94,AM94)&gt;7),2,IF(MAX(AG94:AN94)&gt;4,1,0))</f>
        <v>0</v>
      </c>
      <c r="BU94" s="242" t="str">
        <f>IF(AS94=1,"Yes","")</f>
        <v/>
      </c>
      <c r="BV94" s="241" t="str">
        <f>IF($B94="ML","There",IF(AND($X94&gt;=6,AVERAGE($Z94:$AA94)&gt;=6),"Likely",IF(OR($X94&gt;6,AND($X94=6,AVERAGE($Z94:$AA94)&gt;=3),AND($X94&gt;=5,AVERAGE($Z94:$AA94)&gt;=5),AVERAGE($X94,$Z94:$AA94)&gt;5),"Possible","Unlikely")))</f>
        <v>Unlikely</v>
      </c>
      <c r="BW94" s="242" t="str">
        <f>IF(OR(AND(S94&gt;=6,U94+V94&gt;=12),S94&gt;7),"Start",IF(AND(S94&gt;=5,U94+V94&gt;=8),"Bench","aack!"))</f>
        <v>aack!</v>
      </c>
      <c r="BX94" s="242" t="str">
        <f>IF(OR(AND(X94&gt;=6,Z94+AA94&gt;=12),X94&gt;7),"Start",IF(AND(X94&gt;=5,Z94+AA94&gt;=8),"Bench","aack!"))</f>
        <v>aack!</v>
      </c>
      <c r="BY94" s="242" t="str">
        <f>IF(S94&gt;5,"ML",IF(S94=5,"AAA",IF(S94=4,"AA",IF(S94=3,"A","SS-A"))))</f>
        <v>SS-A</v>
      </c>
      <c r="BZ94" s="242">
        <f>S94-X94</f>
        <v>-2</v>
      </c>
      <c r="CA94" s="242">
        <f>T94-Y94</f>
        <v>0</v>
      </c>
      <c r="CB94" s="242">
        <f>U94-Z94</f>
        <v>0</v>
      </c>
      <c r="CC94" s="242">
        <f>V94-AA94</f>
        <v>-1</v>
      </c>
      <c r="CD94" s="242">
        <f>W94-AB94</f>
        <v>-2</v>
      </c>
      <c r="CE94" s="242">
        <f>SUM(BZ94:CD94)</f>
        <v>-5</v>
      </c>
      <c r="CF94" s="242">
        <f>X94+Z94+AA94</f>
        <v>9</v>
      </c>
      <c r="CG94" s="242">
        <f>X94+Z94</f>
        <v>6</v>
      </c>
      <c r="CH94" s="242">
        <f>X94+AA94</f>
        <v>7</v>
      </c>
      <c r="CI94" s="242" t="str">
        <f>IF(L94&gt;24,"Now - Age",IF(S94&gt;6,"Now",IF(X94&lt;6,"With Dev",MIN(X94-S94,7-S94))))</f>
        <v>With Dev</v>
      </c>
      <c r="CJ94" s="257" t="str">
        <f>IF(AG94&lt;&gt;"-","X","")</f>
        <v/>
      </c>
      <c r="CK94" s="257" t="str">
        <f>IF(AND(AH94&lt;&gt;"-",AH94&gt;5),"X","")</f>
        <v/>
      </c>
      <c r="CL94" s="257" t="str">
        <f>IF(AND(AI94&lt;&gt;"-",AI94&gt;5),"X","")</f>
        <v/>
      </c>
      <c r="CM94" s="257" t="str">
        <f>IF(AND(AJ94&lt;&gt;"-",AJ94&gt;4,AC94&gt;6),"X","")</f>
        <v/>
      </c>
      <c r="CN94" s="257" t="str">
        <f>IF(AND(AK94&lt;&gt;"-",AK94&gt;5,AC94&gt;5),"X","")</f>
        <v/>
      </c>
      <c r="CO94" s="257" t="str">
        <f>IF(AND(AL94&lt;&gt;"-",AL94&gt;3),"X","")</f>
        <v/>
      </c>
      <c r="CP94" s="257" t="str">
        <f>IF(AND(AM94&lt;&gt;"-",AM94&gt;6),"X","")</f>
        <v/>
      </c>
      <c r="CQ94" s="257" t="str">
        <f>IF(AND(AN94&lt;&gt;"-",AN94&gt;5,AD94&gt;6),"X","")</f>
        <v/>
      </c>
      <c r="CR94" s="257" t="str">
        <f>IF(COUNTBLANK(CJ94:CQ94)=8,"X","")</f>
        <v>X</v>
      </c>
    </row>
    <row r="95" spans="1:96" s="306" customFormat="1" x14ac:dyDescent="0.25">
      <c r="A95" s="240" t="str">
        <f>H95&amp;" "&amp;I95</f>
        <v>Domingo Gallegos</v>
      </c>
      <c r="B95" s="240" t="str">
        <f>IF(ISERROR(VLOOKUP(A95,AMA!$C$3:$C$24,1,FALSE)),IF(ISERROR(VLOOKUP(A95,'END-AAA'!$C$6:$C$33,1,FALSE)),IF(ISERROR(VLOOKUP(A95,'DB-AA'!$C$6:$C$33,1,FALSE)),IF(ISERROR(VLOOKUP(A95,'UTR-A'!$C$6:$C$33,1,FALSE)),IF(ISERROR(VLOOKUP(A95,'FAI-S A'!$C$6:$C$33,1,FALSE)),"","S A"),"A"),"AA"),"AAA"),"ML")</f>
        <v/>
      </c>
      <c r="C95" s="241"/>
      <c r="D95" s="242" t="str">
        <f>IF(BL95=1,3,IF(BM95=1,4,IF(BJ95=1,1,IF(BN95=1,5,IF(BK95=1,2,IF(BO95=1,6,IF(BP95=1,7,IF(BQ95=1,8,IF(BR95=1,9,"-")))))))))</f>
        <v>-</v>
      </c>
      <c r="E95" s="242" t="str">
        <f>IF(BC95=1,3,IF(BD95=1,4,IF(BA95=1,1,IF(BE95=1,5,IF(BB95=1,2,IF(BF95=1,6,IF(BG95=1,7,IF(BH95=1,8,IF(BI95=1,9,"-")))))))))</f>
        <v>-</v>
      </c>
      <c r="F95" s="242" t="str">
        <f>IF(OR(OR(Q95="Very High",Q95="High"),AND(OR(Q95="Very High",Q95="High",Q95="Normal"),OR(R95="Very High",R95="High"))),"K","T")</f>
        <v>K</v>
      </c>
      <c r="G95" s="242" t="s">
        <v>74</v>
      </c>
      <c r="H95" s="242" t="s">
        <v>463</v>
      </c>
      <c r="I95" s="242" t="s">
        <v>815</v>
      </c>
      <c r="J95" s="242" t="s">
        <v>810</v>
      </c>
      <c r="K95" s="242" t="s">
        <v>83</v>
      </c>
      <c r="L95" s="242">
        <v>20</v>
      </c>
      <c r="M95" s="242" t="s">
        <v>83</v>
      </c>
      <c r="N95" s="242" t="s">
        <v>83</v>
      </c>
      <c r="O95" s="242" t="s">
        <v>816</v>
      </c>
      <c r="P95" s="243" t="s">
        <v>808</v>
      </c>
      <c r="Q95" s="242" t="s">
        <v>200</v>
      </c>
      <c r="R95" s="243" t="s">
        <v>199</v>
      </c>
      <c r="S95" s="242">
        <v>2</v>
      </c>
      <c r="T95" s="242">
        <v>3</v>
      </c>
      <c r="U95" s="242">
        <v>2</v>
      </c>
      <c r="V95" s="242">
        <v>1</v>
      </c>
      <c r="W95" s="243">
        <v>2</v>
      </c>
      <c r="X95" s="242">
        <v>4</v>
      </c>
      <c r="Y95" s="242">
        <v>5</v>
      </c>
      <c r="Z95" s="242">
        <v>3</v>
      </c>
      <c r="AA95" s="242">
        <v>4</v>
      </c>
      <c r="AB95" s="243">
        <v>6</v>
      </c>
      <c r="AC95" s="242">
        <v>7</v>
      </c>
      <c r="AD95" s="242">
        <v>6</v>
      </c>
      <c r="AE95" s="242">
        <v>1</v>
      </c>
      <c r="AF95" s="242" t="s">
        <v>32</v>
      </c>
      <c r="AG95" s="242" t="s">
        <v>32</v>
      </c>
      <c r="AH95" s="242" t="s">
        <v>32</v>
      </c>
      <c r="AI95" s="242">
        <v>1</v>
      </c>
      <c r="AJ95" s="242">
        <v>4</v>
      </c>
      <c r="AK95" s="242">
        <v>1</v>
      </c>
      <c r="AL95" s="242" t="s">
        <v>32</v>
      </c>
      <c r="AM95" s="242" t="s">
        <v>32</v>
      </c>
      <c r="AN95" s="243" t="s">
        <v>32</v>
      </c>
      <c r="AO95" s="242">
        <v>2</v>
      </c>
      <c r="AP95" s="242">
        <v>1</v>
      </c>
      <c r="AQ95" s="243">
        <v>1</v>
      </c>
      <c r="AR95" s="244" t="s">
        <v>32</v>
      </c>
      <c r="AS95" s="243" t="s">
        <v>33</v>
      </c>
      <c r="AT95" s="248" t="s">
        <v>779</v>
      </c>
      <c r="AU95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-0.33333333333333326</v>
      </c>
      <c r="AV95" s="246" t="str">
        <f>IF(AU95&gt;9,"SuperStar",IF(AU95&gt;8,"Star",IF(AU95&gt;6.5,"GoodReg",IF(AU95&gt;5,"Reg",IF(AU95&gt;4,"Bench","Minors")))))</f>
        <v>Minors</v>
      </c>
      <c r="AW95" s="245">
        <f>AVERAGE(X95,Z95,AA95)+IF(OR(X95&gt;7,AND(X95&gt;5,AA95&gt;5)),0.5,0)+IF(Z95&gt;7,0.25,0)+IF(X95&lt;6,-0.5*(6-X95),0)</f>
        <v>2.6666666666666665</v>
      </c>
      <c r="AX95" s="245" t="str">
        <f>IF(AW95&gt;9,"SuperStar",IF(AW95&gt;8,"Star",IF(AW95&gt;6.5,"GoodReg",IF(AW95&gt;5,"Reg",IF(AW95&gt;4,"Bench","Minors")))))</f>
        <v>Minors</v>
      </c>
      <c r="AY95" s="246">
        <f>MIN(AU95+(MAX(0,25-L95))^1.5,AW95)</f>
        <v>2.6666666666666665</v>
      </c>
      <c r="AZ95" s="246" t="str">
        <f>IF(AY95&gt;9,"SuperStar",IF(AY95&gt;8,"Star",IF(AY95&gt;6.5,"GoodReg",IF(AY95&gt;5,"Reg",IF(AY95&gt;4,"Bench","Minors")))))</f>
        <v>Minors</v>
      </c>
      <c r="BA95" s="247">
        <f>IF(AND(OR(S95+V95&gt;12,AND(S95&gt;6,V95&gt;6)),AO95&gt;6,OR(AP95&gt;=AO95,AP95&gt;6)),1,0)</f>
        <v>0</v>
      </c>
      <c r="BB95" s="248">
        <f>IF(OR(AND(S95&gt;6,W95&gt;6),S95+V95&gt;12),1,0)</f>
        <v>0</v>
      </c>
      <c r="BC95" s="248">
        <f>IF(AND(S95&gt;6,U95&gt;6,V95&gt;6),1,0)</f>
        <v>0</v>
      </c>
      <c r="BD95" s="248">
        <f>IF(AND(U95&gt;7,OR(S95&gt;6,V95&gt;6)),1,0)</f>
        <v>0</v>
      </c>
      <c r="BE95" s="248">
        <f>IF(AND(U95&gt;6,OR(S95&gt;6,V95&gt;6)),1,0)</f>
        <v>0</v>
      </c>
      <c r="BF95" s="248">
        <f>IF(AND(OR(S95&gt;6,U95&gt;6),OR(S95&gt;6,V95&gt;6)),1,0)</f>
        <v>0</v>
      </c>
      <c r="BG95" s="248">
        <f>IF(AND(S95&gt;4,OR(S95&gt;6,U95&gt;6,V95&gt;6)),1,0)</f>
        <v>0</v>
      </c>
      <c r="BH95" s="248">
        <f>IF(AND(S95&gt;4,OR(S95&gt;6,T95&gt;6,U95&gt;6,V95&gt;6)),1,0)</f>
        <v>0</v>
      </c>
      <c r="BI95" s="243">
        <f>IF(AND(S95&gt;4,MAX(S95:W95)&gt;6),1,0)</f>
        <v>0</v>
      </c>
      <c r="BJ95" s="247">
        <f>IF(AND(OR(X95+AA95&gt;12,AND(X95&gt;6,AA95&gt;6)),AO95&gt;6,OR(AP95&gt;=AO95,AP95&gt;6)),1,0)</f>
        <v>0</v>
      </c>
      <c r="BK95" s="248">
        <f>IF(OR(AND(X95&gt;6,AB95&gt;6),X95+AA95&gt;12),1,0)</f>
        <v>0</v>
      </c>
      <c r="BL95" s="248">
        <f>IF(AND(X95&gt;6,Z95&gt;6,AA95&gt;6),1,0)</f>
        <v>0</v>
      </c>
      <c r="BM95" s="248">
        <f>IF(AND(Z95&gt;7,OR(X95&gt;6,AA95&gt;6)),1,0)</f>
        <v>0</v>
      </c>
      <c r="BN95" s="248">
        <f>IF(AND(Z95&gt;6,OR(X95&gt;6,AA95&gt;6)),1,0)</f>
        <v>0</v>
      </c>
      <c r="BO95" s="248">
        <f>IF(AND(OR(X95&gt;6,Z95&gt;6),OR(X95&gt;6,AA95&gt;6)),1,0)</f>
        <v>0</v>
      </c>
      <c r="BP95" s="248">
        <f>IF(AND(X95&gt;4,OR(X95&gt;6,Z95&gt;6,AA95&gt;6)),1,0)</f>
        <v>0</v>
      </c>
      <c r="BQ95" s="248">
        <f>IF(AND(X95&gt;4,OR(X95&gt;6,Y95&gt;6,Z95&gt;6,AA95&gt;6)),1,0)</f>
        <v>0</v>
      </c>
      <c r="BR95" s="243">
        <f>IF(AND(X95&gt;4,MAX(X95:AB95)&gt;6),1,0)</f>
        <v>0</v>
      </c>
      <c r="BS95" s="243">
        <f>IF(AVERAGE(AO95:AP95)&gt;9,1,0)+IF(AVERAGE(AO95:AP95)&gt;7,1,0)+IF(AO95&gt;7,1,0)+IF(AP95&gt;7,1,0)+IF(AQ95&gt;8,1,0)+IF(AQ95&gt;6,1,0)</f>
        <v>0</v>
      </c>
      <c r="BT95" s="249">
        <f>IF(OR(MAX(AG95,AH95,AL95,AN95)&gt;6,MAX(AI95,AJ95,AK95,AM95)&gt;7),2,IF(MAX(AG95:AN95)&gt;4,1,0))</f>
        <v>0</v>
      </c>
      <c r="BU95" s="242" t="str">
        <f>IF(AS95=1,"Yes","")</f>
        <v/>
      </c>
      <c r="BV95" s="241" t="str">
        <f>IF($B95="ML","There",IF(AND($X95&gt;=6,AVERAGE($Z95:$AA95)&gt;=6),"Likely",IF(OR($X95&gt;6,AND($X95=6,AVERAGE($Z95:$AA95)&gt;=3),AND($X95&gt;=5,AVERAGE($Z95:$AA95)&gt;=5),AVERAGE($X95,$Z95:$AA95)&gt;5),"Possible","Unlikely")))</f>
        <v>Unlikely</v>
      </c>
      <c r="BW95" s="242" t="str">
        <f>IF(OR(AND(S95&gt;=6,U95+V95&gt;=12),S95&gt;7),"Start",IF(AND(S95&gt;=5,U95+V95&gt;=8),"Bench","aack!"))</f>
        <v>aack!</v>
      </c>
      <c r="BX95" s="242" t="str">
        <f>IF(OR(AND(X95&gt;=6,Z95+AA95&gt;=12),X95&gt;7),"Start",IF(AND(X95&gt;=5,Z95+AA95&gt;=8),"Bench","aack!"))</f>
        <v>aack!</v>
      </c>
      <c r="BY95" s="242" t="str">
        <f>IF(S95&gt;5,"ML",IF(S95=5,"AAA",IF(S95=4,"AA",IF(S95=3,"A","SS-A"))))</f>
        <v>SS-A</v>
      </c>
      <c r="BZ95" s="242">
        <f>S95-X95</f>
        <v>-2</v>
      </c>
      <c r="CA95" s="242">
        <f>T95-Y95</f>
        <v>-2</v>
      </c>
      <c r="CB95" s="242">
        <f>U95-Z95</f>
        <v>-1</v>
      </c>
      <c r="CC95" s="242">
        <f>V95-AA95</f>
        <v>-3</v>
      </c>
      <c r="CD95" s="242">
        <f>W95-AB95</f>
        <v>-4</v>
      </c>
      <c r="CE95" s="242">
        <f>SUM(BZ95:CD95)</f>
        <v>-12</v>
      </c>
      <c r="CF95" s="242">
        <f>X95+Z95+AA95</f>
        <v>11</v>
      </c>
      <c r="CG95" s="242">
        <f>X95+Z95</f>
        <v>7</v>
      </c>
      <c r="CH95" s="242">
        <f>X95+AA95</f>
        <v>8</v>
      </c>
      <c r="CI95" s="242" t="str">
        <f>IF(L95&gt;24,"Now - Age",IF(S95&gt;6,"Now",IF(X95&lt;6,"With Dev",MIN(X95-S95,7-S95))))</f>
        <v>With Dev</v>
      </c>
      <c r="CJ95" s="257" t="str">
        <f>IF(AG95&lt;&gt;"-","X","")</f>
        <v/>
      </c>
      <c r="CK95" s="257" t="str">
        <f>IF(AND(AH95&lt;&gt;"-",AH95&gt;5),"X","")</f>
        <v/>
      </c>
      <c r="CL95" s="257" t="str">
        <f>IF(AND(AI95&lt;&gt;"-",AI95&gt;5),"X","")</f>
        <v/>
      </c>
      <c r="CM95" s="257" t="str">
        <f>IF(AND(AJ95&lt;&gt;"-",AJ95&gt;4,AC95&gt;6),"X","")</f>
        <v/>
      </c>
      <c r="CN95" s="257" t="str">
        <f>IF(AND(AK95&lt;&gt;"-",AK95&gt;5,AC95&gt;5),"X","")</f>
        <v/>
      </c>
      <c r="CO95" s="257" t="str">
        <f>IF(AND(AL95&lt;&gt;"-",AL95&gt;3),"X","")</f>
        <v/>
      </c>
      <c r="CP95" s="257" t="str">
        <f>IF(AND(AM95&lt;&gt;"-",AM95&gt;6),"X","")</f>
        <v/>
      </c>
      <c r="CQ95" s="257" t="str">
        <f>IF(AND(AN95&lt;&gt;"-",AN95&gt;5,AD95&gt;6),"X","")</f>
        <v/>
      </c>
      <c r="CR95" s="257" t="str">
        <f>IF(COUNTBLANK(CJ95:CQ95)=8,"X","")</f>
        <v>X</v>
      </c>
    </row>
    <row r="96" spans="1:96" s="306" customFormat="1" x14ac:dyDescent="0.25">
      <c r="A96" s="240" t="str">
        <f>H96&amp;" "&amp;I96</f>
        <v>Micheal Ford</v>
      </c>
      <c r="B96" s="240" t="str">
        <f>IF(ISERROR(VLOOKUP(A96,AMA!$C$3:$C$24,1,FALSE)),IF(ISERROR(VLOOKUP(A96,'END-AAA'!$C$6:$C$33,1,FALSE)),IF(ISERROR(VLOOKUP(A96,'DB-AA'!$C$6:$C$33,1,FALSE)),IF(ISERROR(VLOOKUP(A96,'UTR-A'!$C$6:$C$33,1,FALSE)),IF(ISERROR(VLOOKUP(A96,'FAI-S A'!$C$6:$C$33,1,FALSE)),"","S A"),"A"),"AA"),"AAA"),"ML")</f>
        <v/>
      </c>
      <c r="C96" s="241"/>
      <c r="D96" s="242" t="str">
        <f>IF(BL96=1,3,IF(BM96=1,4,IF(BJ96=1,1,IF(BN96=1,5,IF(BK96=1,2,IF(BO96=1,6,IF(BP96=1,7,IF(BQ96=1,8,IF(BR96=1,9,"-")))))))))</f>
        <v>-</v>
      </c>
      <c r="E96" s="242" t="str">
        <f>IF(BC96=1,3,IF(BD96=1,4,IF(BA96=1,1,IF(BE96=1,5,IF(BB96=1,2,IF(BF96=1,6,IF(BG96=1,7,IF(BH96=1,8,IF(BI96=1,9,"-")))))))))</f>
        <v>-</v>
      </c>
      <c r="F96" s="242" t="str">
        <f>IF(OR(OR(Q96="Very High",Q96="High"),AND(OR(Q96="Very High",Q96="High",Q96="Normal"),OR(R96="Very High",R96="High"))),"K","T")</f>
        <v>T</v>
      </c>
      <c r="G96" s="242" t="s">
        <v>78</v>
      </c>
      <c r="H96" s="242" t="s">
        <v>1139</v>
      </c>
      <c r="I96" s="242" t="s">
        <v>926</v>
      </c>
      <c r="J96" s="242" t="s">
        <v>810</v>
      </c>
      <c r="K96" s="242" t="s">
        <v>83</v>
      </c>
      <c r="L96" s="242">
        <v>20</v>
      </c>
      <c r="M96" s="242" t="s">
        <v>83</v>
      </c>
      <c r="N96" s="242" t="s">
        <v>82</v>
      </c>
      <c r="O96" s="242" t="s">
        <v>816</v>
      </c>
      <c r="P96" s="243" t="s">
        <v>808</v>
      </c>
      <c r="Q96" s="242" t="s">
        <v>201</v>
      </c>
      <c r="R96" s="243" t="s">
        <v>200</v>
      </c>
      <c r="S96" s="242">
        <v>1</v>
      </c>
      <c r="T96" s="242">
        <v>1</v>
      </c>
      <c r="U96" s="242">
        <v>2</v>
      </c>
      <c r="V96" s="242">
        <v>2</v>
      </c>
      <c r="W96" s="243">
        <v>1</v>
      </c>
      <c r="X96" s="242">
        <v>3</v>
      </c>
      <c r="Y96" s="242">
        <v>4</v>
      </c>
      <c r="Z96" s="242">
        <v>4</v>
      </c>
      <c r="AA96" s="242">
        <v>5</v>
      </c>
      <c r="AB96" s="243">
        <v>3</v>
      </c>
      <c r="AC96" s="242">
        <v>5</v>
      </c>
      <c r="AD96" s="242">
        <v>7</v>
      </c>
      <c r="AE96" s="242">
        <v>1</v>
      </c>
      <c r="AF96" s="242" t="s">
        <v>32</v>
      </c>
      <c r="AG96" s="242" t="s">
        <v>32</v>
      </c>
      <c r="AH96" s="242" t="s">
        <v>32</v>
      </c>
      <c r="AI96" s="242" t="s">
        <v>32</v>
      </c>
      <c r="AJ96" s="242" t="s">
        <v>32</v>
      </c>
      <c r="AK96" s="242" t="s">
        <v>32</v>
      </c>
      <c r="AL96" s="242">
        <v>3</v>
      </c>
      <c r="AM96" s="242">
        <v>4</v>
      </c>
      <c r="AN96" s="243" t="s">
        <v>32</v>
      </c>
      <c r="AO96" s="242">
        <v>8</v>
      </c>
      <c r="AP96" s="242">
        <v>6</v>
      </c>
      <c r="AQ96" s="243">
        <v>8</v>
      </c>
      <c r="AR96" s="244" t="s">
        <v>32</v>
      </c>
      <c r="AS96" s="243" t="s">
        <v>33</v>
      </c>
      <c r="AT96" s="248" t="s">
        <v>779</v>
      </c>
      <c r="AU96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-0.83333333333333326</v>
      </c>
      <c r="AV96" s="246" t="str">
        <f>IF(AU96&gt;9,"SuperStar",IF(AU96&gt;8,"Star",IF(AU96&gt;6.5,"GoodReg",IF(AU96&gt;5,"Reg",IF(AU96&gt;4,"Bench","Minors")))))</f>
        <v>Minors</v>
      </c>
      <c r="AW96" s="245">
        <f>AVERAGE(X96,Z96,AA96)+IF(OR(X96&gt;7,AND(X96&gt;5,AA96&gt;5)),0.5,0)+IF(Z96&gt;7,0.25,0)+IF(X96&lt;6,-0.5*(6-X96),0)</f>
        <v>2.5</v>
      </c>
      <c r="AX96" s="245" t="str">
        <f>IF(AW96&gt;9,"SuperStar",IF(AW96&gt;8,"Star",IF(AW96&gt;6.5,"GoodReg",IF(AW96&gt;5,"Reg",IF(AW96&gt;4,"Bench","Minors")))))</f>
        <v>Minors</v>
      </c>
      <c r="AY96" s="246">
        <f>MIN(AU96+(MAX(0,25-L96))^1.5,AW96)</f>
        <v>2.5</v>
      </c>
      <c r="AZ96" s="246" t="str">
        <f>IF(AY96&gt;9,"SuperStar",IF(AY96&gt;8,"Star",IF(AY96&gt;6.5,"GoodReg",IF(AY96&gt;5,"Reg",IF(AY96&gt;4,"Bench","Minors")))))</f>
        <v>Minors</v>
      </c>
      <c r="BA96" s="247">
        <f>IF(AND(OR(S96+V96&gt;12,AND(S96&gt;6,V96&gt;6)),AO96&gt;6,OR(AP96&gt;=AO96,AP96&gt;6)),1,0)</f>
        <v>0</v>
      </c>
      <c r="BB96" s="248">
        <f>IF(OR(AND(S96&gt;6,W96&gt;6),S96+V96&gt;12),1,0)</f>
        <v>0</v>
      </c>
      <c r="BC96" s="248">
        <f>IF(AND(S96&gt;6,U96&gt;6,V96&gt;6),1,0)</f>
        <v>0</v>
      </c>
      <c r="BD96" s="248">
        <f>IF(AND(U96&gt;7,OR(S96&gt;6,V96&gt;6)),1,0)</f>
        <v>0</v>
      </c>
      <c r="BE96" s="248">
        <f>IF(AND(U96&gt;6,OR(S96&gt;6,V96&gt;6)),1,0)</f>
        <v>0</v>
      </c>
      <c r="BF96" s="248">
        <f>IF(AND(OR(S96&gt;6,U96&gt;6),OR(S96&gt;6,V96&gt;6)),1,0)</f>
        <v>0</v>
      </c>
      <c r="BG96" s="248">
        <f>IF(AND(S96&gt;4,OR(S96&gt;6,U96&gt;6,V96&gt;6)),1,0)</f>
        <v>0</v>
      </c>
      <c r="BH96" s="248">
        <f>IF(AND(S96&gt;4,OR(S96&gt;6,T96&gt;6,U96&gt;6,V96&gt;6)),1,0)</f>
        <v>0</v>
      </c>
      <c r="BI96" s="243">
        <f>IF(AND(S96&gt;4,MAX(S96:W96)&gt;6),1,0)</f>
        <v>0</v>
      </c>
      <c r="BJ96" s="247">
        <f>IF(AND(OR(X96+AA96&gt;12,AND(X96&gt;6,AA96&gt;6)),AO96&gt;6,OR(AP96&gt;=AO96,AP96&gt;6)),1,0)</f>
        <v>0</v>
      </c>
      <c r="BK96" s="248">
        <f>IF(OR(AND(X96&gt;6,AB96&gt;6),X96+AA96&gt;12),1,0)</f>
        <v>0</v>
      </c>
      <c r="BL96" s="248">
        <f>IF(AND(X96&gt;6,Z96&gt;6,AA96&gt;6),1,0)</f>
        <v>0</v>
      </c>
      <c r="BM96" s="248">
        <f>IF(AND(Z96&gt;7,OR(X96&gt;6,AA96&gt;6)),1,0)</f>
        <v>0</v>
      </c>
      <c r="BN96" s="248">
        <f>IF(AND(Z96&gt;6,OR(X96&gt;6,AA96&gt;6)),1,0)</f>
        <v>0</v>
      </c>
      <c r="BO96" s="248">
        <f>IF(AND(OR(X96&gt;6,Z96&gt;6),OR(X96&gt;6,AA96&gt;6)),1,0)</f>
        <v>0</v>
      </c>
      <c r="BP96" s="248">
        <f>IF(AND(X96&gt;4,OR(X96&gt;6,Z96&gt;6,AA96&gt;6)),1,0)</f>
        <v>0</v>
      </c>
      <c r="BQ96" s="248">
        <f>IF(AND(X96&gt;4,OR(X96&gt;6,Y96&gt;6,Z96&gt;6,AA96&gt;6)),1,0)</f>
        <v>0</v>
      </c>
      <c r="BR96" s="243">
        <f>IF(AND(X96&gt;4,MAX(X96:AB96)&gt;6),1,0)</f>
        <v>0</v>
      </c>
      <c r="BS96" s="243">
        <f>IF(AVERAGE(AO96:AP96)&gt;9,1,0)+IF(AVERAGE(AO96:AP96)&gt;7,1,0)+IF(AO96&gt;7,1,0)+IF(AP96&gt;7,1,0)+IF(AQ96&gt;8,1,0)+IF(AQ96&gt;6,1,0)</f>
        <v>2</v>
      </c>
      <c r="BT96" s="249">
        <f>IF(OR(MAX(AG96,AH96,AL96,AN96)&gt;6,MAX(AI96,AJ96,AK96,AM96)&gt;7),2,IF(MAX(AG96:AN96)&gt;4,1,0))</f>
        <v>0</v>
      </c>
      <c r="BU96" s="242" t="str">
        <f>IF(AS96=1,"Yes","")</f>
        <v/>
      </c>
      <c r="BV96" s="241" t="str">
        <f>IF($B96="ML","There",IF(AND($X96&gt;=6,AVERAGE($Z96:$AA96)&gt;=6),"Likely",IF(OR($X96&gt;6,AND($X96=6,AVERAGE($Z96:$AA96)&gt;=3),AND($X96&gt;=5,AVERAGE($Z96:$AA96)&gt;=5),AVERAGE($X96,$Z96:$AA96)&gt;5),"Possible","Unlikely")))</f>
        <v>Unlikely</v>
      </c>
      <c r="BW96" s="242" t="str">
        <f>IF(OR(AND(S96&gt;=6,U96+V96&gt;=12),S96&gt;7),"Start",IF(AND(S96&gt;=5,U96+V96&gt;=8),"Bench","aack!"))</f>
        <v>aack!</v>
      </c>
      <c r="BX96" s="242" t="str">
        <f>IF(OR(AND(X96&gt;=6,Z96+AA96&gt;=12),X96&gt;7),"Start",IF(AND(X96&gt;=5,Z96+AA96&gt;=8),"Bench","aack!"))</f>
        <v>aack!</v>
      </c>
      <c r="BY96" s="242" t="str">
        <f>IF(S96&gt;5,"ML",IF(S96=5,"AAA",IF(S96=4,"AA",IF(S96=3,"A","SS-A"))))</f>
        <v>SS-A</v>
      </c>
      <c r="BZ96" s="242">
        <f>S96-X96</f>
        <v>-2</v>
      </c>
      <c r="CA96" s="242">
        <f>T96-Y96</f>
        <v>-3</v>
      </c>
      <c r="CB96" s="242">
        <f>U96-Z96</f>
        <v>-2</v>
      </c>
      <c r="CC96" s="242">
        <f>V96-AA96</f>
        <v>-3</v>
      </c>
      <c r="CD96" s="242">
        <f>W96-AB96</f>
        <v>-2</v>
      </c>
      <c r="CE96" s="242">
        <f>SUM(BZ96:CD96)</f>
        <v>-12</v>
      </c>
      <c r="CF96" s="242">
        <f>X96+Z96+AA96</f>
        <v>12</v>
      </c>
      <c r="CG96" s="242">
        <f>X96+Z96</f>
        <v>7</v>
      </c>
      <c r="CH96" s="242">
        <f>X96+AA96</f>
        <v>8</v>
      </c>
      <c r="CI96" s="242" t="str">
        <f>IF(L96&gt;24,"Now - Age",IF(S96&gt;6,"Now",IF(X96&lt;6,"With Dev",MIN(X96-S96,7-S96))))</f>
        <v>With Dev</v>
      </c>
      <c r="CJ96" s="257" t="str">
        <f>IF(AG96&lt;&gt;"-","X","")</f>
        <v/>
      </c>
      <c r="CK96" s="257" t="str">
        <f>IF(AND(AH96&lt;&gt;"-",AH96&gt;5),"X","")</f>
        <v/>
      </c>
      <c r="CL96" s="257" t="str">
        <f>IF(AND(AI96&lt;&gt;"-",AI96&gt;5),"X","")</f>
        <v/>
      </c>
      <c r="CM96" s="257" t="str">
        <f>IF(AND(AJ96&lt;&gt;"-",AJ96&gt;4,AC96&gt;6),"X","")</f>
        <v/>
      </c>
      <c r="CN96" s="257" t="str">
        <f>IF(AND(AK96&lt;&gt;"-",AK96&gt;5,AC96&gt;5),"X","")</f>
        <v/>
      </c>
      <c r="CO96" s="257" t="str">
        <f>IF(AND(AL96&lt;&gt;"-",AL96&gt;3),"X","")</f>
        <v/>
      </c>
      <c r="CP96" s="257" t="str">
        <f>IF(AND(AM96&lt;&gt;"-",AM96&gt;6),"X","")</f>
        <v/>
      </c>
      <c r="CQ96" s="257" t="str">
        <f>IF(AND(AN96&lt;&gt;"-",AN96&gt;5,AD96&gt;6),"X","")</f>
        <v/>
      </c>
      <c r="CR96" s="257" t="str">
        <f>IF(COUNTBLANK(CJ96:CQ96)=8,"X","")</f>
        <v>X</v>
      </c>
    </row>
    <row r="97" spans="1:96" s="306" customFormat="1" x14ac:dyDescent="0.25">
      <c r="A97" s="240" t="str">
        <f>H97&amp;" "&amp;I97</f>
        <v>Larry Willis</v>
      </c>
      <c r="B97" s="240" t="str">
        <f>IF(ISERROR(VLOOKUP(A97,AMA!$C$3:$C$24,1,FALSE)),IF(ISERROR(VLOOKUP(A97,'END-AAA'!$C$6:$C$33,1,FALSE)),IF(ISERROR(VLOOKUP(A97,'DB-AA'!$C$6:$C$33,1,FALSE)),IF(ISERROR(VLOOKUP(A97,'UTR-A'!$C$6:$C$33,1,FALSE)),IF(ISERROR(VLOOKUP(A97,'FAI-S A'!$C$6:$C$33,1,FALSE)),"","S A"),"A"),"AA"),"AAA"),"ML")</f>
        <v/>
      </c>
      <c r="C97" s="241"/>
      <c r="D97" s="242" t="str">
        <f>IF(BL97=1,3,IF(BM97=1,4,IF(BJ97=1,1,IF(BN97=1,5,IF(BK97=1,2,IF(BO97=1,6,IF(BP97=1,7,IF(BQ97=1,8,IF(BR97=1,9,"-")))))))))</f>
        <v>-</v>
      </c>
      <c r="E97" s="242" t="str">
        <f>IF(BC97=1,3,IF(BD97=1,4,IF(BA97=1,1,IF(BE97=1,5,IF(BB97=1,2,IF(BF97=1,6,IF(BG97=1,7,IF(BH97=1,8,IF(BI97=1,9,"-")))))))))</f>
        <v>-</v>
      </c>
      <c r="F97" s="242" t="str">
        <f>IF(OR(OR(Q97="Very High",Q97="High"),AND(OR(Q97="Very High",Q97="High",Q97="Normal"),OR(R97="Very High",R97="High"))),"K","T")</f>
        <v>T</v>
      </c>
      <c r="G97" s="242" t="s">
        <v>75</v>
      </c>
      <c r="H97" s="242" t="s">
        <v>1284</v>
      </c>
      <c r="I97" s="242" t="s">
        <v>1285</v>
      </c>
      <c r="J97" s="242" t="s">
        <v>810</v>
      </c>
      <c r="K97" s="242" t="s">
        <v>83</v>
      </c>
      <c r="L97" s="242">
        <v>18</v>
      </c>
      <c r="M97" s="242" t="s">
        <v>83</v>
      </c>
      <c r="N97" s="242" t="s">
        <v>83</v>
      </c>
      <c r="O97" s="242" t="s">
        <v>816</v>
      </c>
      <c r="P97" s="243" t="s">
        <v>808</v>
      </c>
      <c r="Q97" s="242" t="s">
        <v>201</v>
      </c>
      <c r="R97" s="243" t="s">
        <v>199</v>
      </c>
      <c r="S97" s="242">
        <v>1</v>
      </c>
      <c r="T97" s="242">
        <v>1</v>
      </c>
      <c r="U97" s="242">
        <v>2</v>
      </c>
      <c r="V97" s="242">
        <v>2</v>
      </c>
      <c r="W97" s="243">
        <v>1</v>
      </c>
      <c r="X97" s="242">
        <v>3</v>
      </c>
      <c r="Y97" s="242">
        <v>4</v>
      </c>
      <c r="Z97" s="242">
        <v>3</v>
      </c>
      <c r="AA97" s="242">
        <v>6</v>
      </c>
      <c r="AB97" s="243">
        <v>3</v>
      </c>
      <c r="AC97" s="242">
        <v>9</v>
      </c>
      <c r="AD97" s="242">
        <v>9</v>
      </c>
      <c r="AE97" s="242">
        <v>1</v>
      </c>
      <c r="AF97" s="242" t="s">
        <v>32</v>
      </c>
      <c r="AG97" s="242" t="s">
        <v>32</v>
      </c>
      <c r="AH97" s="242" t="s">
        <v>32</v>
      </c>
      <c r="AI97" s="242" t="s">
        <v>32</v>
      </c>
      <c r="AJ97" s="242">
        <v>3</v>
      </c>
      <c r="AK97" s="242" t="s">
        <v>32</v>
      </c>
      <c r="AL97" s="242" t="s">
        <v>32</v>
      </c>
      <c r="AM97" s="242" t="s">
        <v>32</v>
      </c>
      <c r="AN97" s="243" t="s">
        <v>32</v>
      </c>
      <c r="AO97" s="242">
        <v>8</v>
      </c>
      <c r="AP97" s="242">
        <v>5</v>
      </c>
      <c r="AQ97" s="243">
        <v>5</v>
      </c>
      <c r="AR97" s="244" t="s">
        <v>32</v>
      </c>
      <c r="AS97" s="243" t="s">
        <v>33</v>
      </c>
      <c r="AT97" s="248" t="s">
        <v>779</v>
      </c>
      <c r="AU97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-0.83333333333333326</v>
      </c>
      <c r="AV97" s="246" t="str">
        <f>IF(AU97&gt;9,"SuperStar",IF(AU97&gt;8,"Star",IF(AU97&gt;6.5,"GoodReg",IF(AU97&gt;5,"Reg",IF(AU97&gt;4,"Bench","Minors")))))</f>
        <v>Minors</v>
      </c>
      <c r="AW97" s="245">
        <f>AVERAGE(X97,Z97,AA97)+IF(OR(X97&gt;7,AND(X97&gt;5,AA97&gt;5)),0.5,0)+IF(Z97&gt;7,0.25,0)+IF(X97&lt;6,-0.5*(6-X97),0)</f>
        <v>2.5</v>
      </c>
      <c r="AX97" s="245" t="str">
        <f>IF(AW97&gt;9,"SuperStar",IF(AW97&gt;8,"Star",IF(AW97&gt;6.5,"GoodReg",IF(AW97&gt;5,"Reg",IF(AW97&gt;4,"Bench","Minors")))))</f>
        <v>Minors</v>
      </c>
      <c r="AY97" s="246">
        <f>MIN(AU97+(MAX(0,25-L97))^1.5,AW97)</f>
        <v>2.5</v>
      </c>
      <c r="AZ97" s="246" t="str">
        <f>IF(AY97&gt;9,"SuperStar",IF(AY97&gt;8,"Star",IF(AY97&gt;6.5,"GoodReg",IF(AY97&gt;5,"Reg",IF(AY97&gt;4,"Bench","Minors")))))</f>
        <v>Minors</v>
      </c>
      <c r="BA97" s="247">
        <f>IF(AND(OR(S97+V97&gt;12,AND(S97&gt;6,V97&gt;6)),AO97&gt;6,OR(AP97&gt;=AO97,AP97&gt;6)),1,0)</f>
        <v>0</v>
      </c>
      <c r="BB97" s="248">
        <f>IF(OR(AND(S97&gt;6,W97&gt;6),S97+V97&gt;12),1,0)</f>
        <v>0</v>
      </c>
      <c r="BC97" s="248">
        <f>IF(AND(S97&gt;6,U97&gt;6,V97&gt;6),1,0)</f>
        <v>0</v>
      </c>
      <c r="BD97" s="248">
        <f>IF(AND(U97&gt;7,OR(S97&gt;6,V97&gt;6)),1,0)</f>
        <v>0</v>
      </c>
      <c r="BE97" s="248">
        <f>IF(AND(U97&gt;6,OR(S97&gt;6,V97&gt;6)),1,0)</f>
        <v>0</v>
      </c>
      <c r="BF97" s="248">
        <f>IF(AND(OR(S97&gt;6,U97&gt;6),OR(S97&gt;6,V97&gt;6)),1,0)</f>
        <v>0</v>
      </c>
      <c r="BG97" s="248">
        <f>IF(AND(S97&gt;4,OR(S97&gt;6,U97&gt;6,V97&gt;6)),1,0)</f>
        <v>0</v>
      </c>
      <c r="BH97" s="248">
        <f>IF(AND(S97&gt;4,OR(S97&gt;6,T97&gt;6,U97&gt;6,V97&gt;6)),1,0)</f>
        <v>0</v>
      </c>
      <c r="BI97" s="243">
        <f>IF(AND(S97&gt;4,MAX(S97:W97)&gt;6),1,0)</f>
        <v>0</v>
      </c>
      <c r="BJ97" s="247">
        <f>IF(AND(OR(X97+AA97&gt;12,AND(X97&gt;6,AA97&gt;6)),AO97&gt;6,OR(AP97&gt;=AO97,AP97&gt;6)),1,0)</f>
        <v>0</v>
      </c>
      <c r="BK97" s="248">
        <f>IF(OR(AND(X97&gt;6,AB97&gt;6),X97+AA97&gt;12),1,0)</f>
        <v>0</v>
      </c>
      <c r="BL97" s="248">
        <f>IF(AND(X97&gt;6,Z97&gt;6,AA97&gt;6),1,0)</f>
        <v>0</v>
      </c>
      <c r="BM97" s="248">
        <f>IF(AND(Z97&gt;7,OR(X97&gt;6,AA97&gt;6)),1,0)</f>
        <v>0</v>
      </c>
      <c r="BN97" s="248">
        <f>IF(AND(Z97&gt;6,OR(X97&gt;6,AA97&gt;6)),1,0)</f>
        <v>0</v>
      </c>
      <c r="BO97" s="248">
        <f>IF(AND(OR(X97&gt;6,Z97&gt;6),OR(X97&gt;6,AA97&gt;6)),1,0)</f>
        <v>0</v>
      </c>
      <c r="BP97" s="248">
        <f>IF(AND(X97&gt;4,OR(X97&gt;6,Z97&gt;6,AA97&gt;6)),1,0)</f>
        <v>0</v>
      </c>
      <c r="BQ97" s="248">
        <f>IF(AND(X97&gt;4,OR(X97&gt;6,Y97&gt;6,Z97&gt;6,AA97&gt;6)),1,0)</f>
        <v>0</v>
      </c>
      <c r="BR97" s="243">
        <f>IF(AND(X97&gt;4,MAX(X97:AB97)&gt;6),1,0)</f>
        <v>0</v>
      </c>
      <c r="BS97" s="243">
        <f>IF(AVERAGE(AO97:AP97)&gt;9,1,0)+IF(AVERAGE(AO97:AP97)&gt;7,1,0)+IF(AO97&gt;7,1,0)+IF(AP97&gt;7,1,0)+IF(AQ97&gt;8,1,0)+IF(AQ97&gt;6,1,0)</f>
        <v>1</v>
      </c>
      <c r="BT97" s="249">
        <f>IF(OR(MAX(AG97,AH97,AL97,AN97)&gt;6,MAX(AI97,AJ97,AK97,AM97)&gt;7),2,IF(MAX(AG97:AN97)&gt;4,1,0))</f>
        <v>0</v>
      </c>
      <c r="BU97" s="242" t="str">
        <f>IF(AS97=1,"Yes","")</f>
        <v/>
      </c>
      <c r="BV97" s="241" t="str">
        <f>IF($B97="ML","There",IF(AND($X97&gt;=6,AVERAGE($Z97:$AA97)&gt;=6),"Likely",IF(OR($X97&gt;6,AND($X97=6,AVERAGE($Z97:$AA97)&gt;=3),AND($X97&gt;=5,AVERAGE($Z97:$AA97)&gt;=5),AVERAGE($X97,$Z97:$AA97)&gt;5),"Possible","Unlikely")))</f>
        <v>Unlikely</v>
      </c>
      <c r="BW97" s="242" t="str">
        <f>IF(OR(AND(S97&gt;=6,U97+V97&gt;=12),S97&gt;7),"Start",IF(AND(S97&gt;=5,U97+V97&gt;=8),"Bench","aack!"))</f>
        <v>aack!</v>
      </c>
      <c r="BX97" s="242" t="str">
        <f>IF(OR(AND(X97&gt;=6,Z97+AA97&gt;=12),X97&gt;7),"Start",IF(AND(X97&gt;=5,Z97+AA97&gt;=8),"Bench","aack!"))</f>
        <v>aack!</v>
      </c>
      <c r="BY97" s="242" t="str">
        <f>IF(S97&gt;5,"ML",IF(S97=5,"AAA",IF(S97=4,"AA",IF(S97=3,"A","SS-A"))))</f>
        <v>SS-A</v>
      </c>
      <c r="BZ97" s="242">
        <f>S97-X97</f>
        <v>-2</v>
      </c>
      <c r="CA97" s="242">
        <f>T97-Y97</f>
        <v>-3</v>
      </c>
      <c r="CB97" s="242">
        <f>U97-Z97</f>
        <v>-1</v>
      </c>
      <c r="CC97" s="242">
        <f>V97-AA97</f>
        <v>-4</v>
      </c>
      <c r="CD97" s="242">
        <f>W97-AB97</f>
        <v>-2</v>
      </c>
      <c r="CE97" s="242">
        <f>SUM(BZ97:CD97)</f>
        <v>-12</v>
      </c>
      <c r="CF97" s="242">
        <f>X97+Z97+AA97</f>
        <v>12</v>
      </c>
      <c r="CG97" s="242">
        <f>X97+Z97</f>
        <v>6</v>
      </c>
      <c r="CH97" s="242">
        <f>X97+AA97</f>
        <v>9</v>
      </c>
      <c r="CI97" s="242" t="str">
        <f>IF(L97&gt;24,"Now - Age",IF(S97&gt;6,"Now",IF(X97&lt;6,"With Dev",MIN(X97-S97,7-S97))))</f>
        <v>With Dev</v>
      </c>
      <c r="CJ97" s="257" t="str">
        <f>IF(AG97&lt;&gt;"-","X","")</f>
        <v/>
      </c>
      <c r="CK97" s="257" t="str">
        <f>IF(AND(AH97&lt;&gt;"-",AH97&gt;5),"X","")</f>
        <v/>
      </c>
      <c r="CL97" s="257" t="str">
        <f>IF(AND(AI97&lt;&gt;"-",AI97&gt;5),"X","")</f>
        <v/>
      </c>
      <c r="CM97" s="257" t="str">
        <f>IF(AND(AJ97&lt;&gt;"-",AJ97&gt;4,AC97&gt;6),"X","")</f>
        <v/>
      </c>
      <c r="CN97" s="257" t="str">
        <f>IF(AND(AK97&lt;&gt;"-",AK97&gt;5,AC97&gt;5),"X","")</f>
        <v/>
      </c>
      <c r="CO97" s="257" t="str">
        <f>IF(AND(AL97&lt;&gt;"-",AL97&gt;3),"X","")</f>
        <v/>
      </c>
      <c r="CP97" s="257" t="str">
        <f>IF(AND(AM97&lt;&gt;"-",AM97&gt;6),"X","")</f>
        <v/>
      </c>
      <c r="CQ97" s="257" t="str">
        <f>IF(AND(AN97&lt;&gt;"-",AN97&gt;5,AD97&gt;6),"X","")</f>
        <v/>
      </c>
      <c r="CR97" s="257" t="str">
        <f>IF(COUNTBLANK(CJ97:CQ97)=8,"X","")</f>
        <v>X</v>
      </c>
    </row>
    <row r="98" spans="1:96" s="306" customFormat="1" x14ac:dyDescent="0.25">
      <c r="A98" s="240" t="str">
        <f>H98&amp;" "&amp;I98</f>
        <v>Frank Smith</v>
      </c>
      <c r="B98" s="240" t="str">
        <f>IF(ISERROR(VLOOKUP(A98,AMA!$C$3:$C$24,1,FALSE)),IF(ISERROR(VLOOKUP(A98,'END-AAA'!$C$6:$C$33,1,FALSE)),IF(ISERROR(VLOOKUP(A98,'DB-AA'!$C$6:$C$33,1,FALSE)),IF(ISERROR(VLOOKUP(A98,'UTR-A'!$C$6:$C$33,1,FALSE)),IF(ISERROR(VLOOKUP(A98,'FAI-S A'!$C$6:$C$33,1,FALSE)),"","S A"),"A"),"AA"),"AAA"),"ML")</f>
        <v/>
      </c>
      <c r="C98" s="241"/>
      <c r="D98" s="242" t="str">
        <f>IF(BL98=1,3,IF(BM98=1,4,IF(BJ98=1,1,IF(BN98=1,5,IF(BK98=1,2,IF(BO98=1,6,IF(BP98=1,7,IF(BQ98=1,8,IF(BR98=1,9,"-")))))))))</f>
        <v>-</v>
      </c>
      <c r="E98" s="242" t="str">
        <f>IF(BC98=1,3,IF(BD98=1,4,IF(BA98=1,1,IF(BE98=1,5,IF(BB98=1,2,IF(BF98=1,6,IF(BG98=1,7,IF(BH98=1,8,IF(BI98=1,9,"-")))))))))</f>
        <v>-</v>
      </c>
      <c r="F98" s="242" t="str">
        <f>IF(OR(OR(Q98="Very High",Q98="High"),AND(OR(Q98="Very High",Q98="High",Q98="Normal"),OR(R98="Very High",R98="High"))),"K","T")</f>
        <v>K</v>
      </c>
      <c r="G98" s="242" t="s">
        <v>75</v>
      </c>
      <c r="H98" s="242" t="s">
        <v>1280</v>
      </c>
      <c r="I98" s="242" t="s">
        <v>1281</v>
      </c>
      <c r="J98" s="242" t="s">
        <v>810</v>
      </c>
      <c r="K98" s="242" t="s">
        <v>83</v>
      </c>
      <c r="L98" s="242">
        <v>19</v>
      </c>
      <c r="M98" s="242" t="s">
        <v>83</v>
      </c>
      <c r="N98" s="242" t="s">
        <v>83</v>
      </c>
      <c r="O98" s="242" t="s">
        <v>816</v>
      </c>
      <c r="P98" s="243" t="s">
        <v>808</v>
      </c>
      <c r="Q98" s="242" t="s">
        <v>199</v>
      </c>
      <c r="R98" s="243" t="s">
        <v>200</v>
      </c>
      <c r="S98" s="242">
        <v>1</v>
      </c>
      <c r="T98" s="242">
        <v>2</v>
      </c>
      <c r="U98" s="242">
        <v>2</v>
      </c>
      <c r="V98" s="242">
        <v>2</v>
      </c>
      <c r="W98" s="243">
        <v>1</v>
      </c>
      <c r="X98" s="242">
        <v>3</v>
      </c>
      <c r="Y98" s="242">
        <v>4</v>
      </c>
      <c r="Z98" s="242">
        <v>3</v>
      </c>
      <c r="AA98" s="242">
        <v>5</v>
      </c>
      <c r="AB98" s="243">
        <v>4</v>
      </c>
      <c r="AC98" s="242">
        <v>10</v>
      </c>
      <c r="AD98" s="242">
        <v>9</v>
      </c>
      <c r="AE98" s="242">
        <v>1</v>
      </c>
      <c r="AF98" s="242" t="s">
        <v>32</v>
      </c>
      <c r="AG98" s="242" t="s">
        <v>32</v>
      </c>
      <c r="AH98" s="242" t="s">
        <v>32</v>
      </c>
      <c r="AI98" s="242" t="s">
        <v>32</v>
      </c>
      <c r="AJ98" s="242">
        <v>5</v>
      </c>
      <c r="AK98" s="242" t="s">
        <v>32</v>
      </c>
      <c r="AL98" s="242" t="s">
        <v>32</v>
      </c>
      <c r="AM98" s="242" t="s">
        <v>32</v>
      </c>
      <c r="AN98" s="243" t="s">
        <v>32</v>
      </c>
      <c r="AO98" s="242">
        <v>7</v>
      </c>
      <c r="AP98" s="242">
        <v>10</v>
      </c>
      <c r="AQ98" s="243">
        <v>9</v>
      </c>
      <c r="AR98" s="244" t="s">
        <v>32</v>
      </c>
      <c r="AS98" s="243" t="s">
        <v>33</v>
      </c>
      <c r="AT98" s="248" t="s">
        <v>199</v>
      </c>
      <c r="AU98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-0.83333333333333326</v>
      </c>
      <c r="AV98" s="246" t="str">
        <f>IF(AU98&gt;9,"SuperStar",IF(AU98&gt;8,"Star",IF(AU98&gt;6.5,"GoodReg",IF(AU98&gt;5,"Reg",IF(AU98&gt;4,"Bench","Minors")))))</f>
        <v>Minors</v>
      </c>
      <c r="AW98" s="245">
        <f>AVERAGE(X98,Z98,AA98)+IF(OR(X98&gt;7,AND(X98&gt;5,AA98&gt;5)),0.5,0)+IF(Z98&gt;7,0.25,0)+IF(X98&lt;6,-0.5*(6-X98),0)</f>
        <v>2.1666666666666665</v>
      </c>
      <c r="AX98" s="245" t="str">
        <f>IF(AW98&gt;9,"SuperStar",IF(AW98&gt;8,"Star",IF(AW98&gt;6.5,"GoodReg",IF(AW98&gt;5,"Reg",IF(AW98&gt;4,"Bench","Minors")))))</f>
        <v>Minors</v>
      </c>
      <c r="AY98" s="246">
        <f>MIN(AU98+(MAX(0,25-L98))^1.5,AW98)</f>
        <v>2.1666666666666665</v>
      </c>
      <c r="AZ98" s="246" t="str">
        <f>IF(AY98&gt;9,"SuperStar",IF(AY98&gt;8,"Star",IF(AY98&gt;6.5,"GoodReg",IF(AY98&gt;5,"Reg",IF(AY98&gt;4,"Bench","Minors")))))</f>
        <v>Minors</v>
      </c>
      <c r="BA98" s="247">
        <f>IF(AND(OR(S98+V98&gt;12,AND(S98&gt;6,V98&gt;6)),AO98&gt;6,OR(AP98&gt;=AO98,AP98&gt;6)),1,0)</f>
        <v>0</v>
      </c>
      <c r="BB98" s="248">
        <f>IF(OR(AND(S98&gt;6,W98&gt;6),S98+V98&gt;12),1,0)</f>
        <v>0</v>
      </c>
      <c r="BC98" s="248">
        <f>IF(AND(S98&gt;6,U98&gt;6,V98&gt;6),1,0)</f>
        <v>0</v>
      </c>
      <c r="BD98" s="248">
        <f>IF(AND(U98&gt;7,OR(S98&gt;6,V98&gt;6)),1,0)</f>
        <v>0</v>
      </c>
      <c r="BE98" s="248">
        <f>IF(AND(U98&gt;6,OR(S98&gt;6,V98&gt;6)),1,0)</f>
        <v>0</v>
      </c>
      <c r="BF98" s="248">
        <f>IF(AND(OR(S98&gt;6,U98&gt;6),OR(S98&gt;6,V98&gt;6)),1,0)</f>
        <v>0</v>
      </c>
      <c r="BG98" s="248">
        <f>IF(AND(S98&gt;4,OR(S98&gt;6,U98&gt;6,V98&gt;6)),1,0)</f>
        <v>0</v>
      </c>
      <c r="BH98" s="248">
        <f>IF(AND(S98&gt;4,OR(S98&gt;6,T98&gt;6,U98&gt;6,V98&gt;6)),1,0)</f>
        <v>0</v>
      </c>
      <c r="BI98" s="243">
        <f>IF(AND(S98&gt;4,MAX(S98:W98)&gt;6),1,0)</f>
        <v>0</v>
      </c>
      <c r="BJ98" s="247">
        <f>IF(AND(OR(X98+AA98&gt;12,AND(X98&gt;6,AA98&gt;6)),AO98&gt;6,OR(AP98&gt;=AO98,AP98&gt;6)),1,0)</f>
        <v>0</v>
      </c>
      <c r="BK98" s="248">
        <f>IF(OR(AND(X98&gt;6,AB98&gt;6),X98+AA98&gt;12),1,0)</f>
        <v>0</v>
      </c>
      <c r="BL98" s="248">
        <f>IF(AND(X98&gt;6,Z98&gt;6,AA98&gt;6),1,0)</f>
        <v>0</v>
      </c>
      <c r="BM98" s="248">
        <f>IF(AND(Z98&gt;7,OR(X98&gt;6,AA98&gt;6)),1,0)</f>
        <v>0</v>
      </c>
      <c r="BN98" s="248">
        <f>IF(AND(Z98&gt;6,OR(X98&gt;6,AA98&gt;6)),1,0)</f>
        <v>0</v>
      </c>
      <c r="BO98" s="248">
        <f>IF(AND(OR(X98&gt;6,Z98&gt;6),OR(X98&gt;6,AA98&gt;6)),1,0)</f>
        <v>0</v>
      </c>
      <c r="BP98" s="248">
        <f>IF(AND(X98&gt;4,OR(X98&gt;6,Z98&gt;6,AA98&gt;6)),1,0)</f>
        <v>0</v>
      </c>
      <c r="BQ98" s="248">
        <f>IF(AND(X98&gt;4,OR(X98&gt;6,Y98&gt;6,Z98&gt;6,AA98&gt;6)),1,0)</f>
        <v>0</v>
      </c>
      <c r="BR98" s="243">
        <f>IF(AND(X98&gt;4,MAX(X98:AB98)&gt;6),1,0)</f>
        <v>0</v>
      </c>
      <c r="BS98" s="243">
        <f>IF(AVERAGE(AO98:AP98)&gt;9,1,0)+IF(AVERAGE(AO98:AP98)&gt;7,1,0)+IF(AO98&gt;7,1,0)+IF(AP98&gt;7,1,0)+IF(AQ98&gt;8,1,0)+IF(AQ98&gt;6,1,0)</f>
        <v>4</v>
      </c>
      <c r="BT98" s="249">
        <f>IF(OR(MAX(AG98,AH98,AL98,AN98)&gt;6,MAX(AI98,AJ98,AK98,AM98)&gt;7),2,IF(MAX(AG98:AN98)&gt;4,1,0))</f>
        <v>1</v>
      </c>
      <c r="BU98" s="242" t="str">
        <f>IF(AS98=1,"Yes","")</f>
        <v/>
      </c>
      <c r="BV98" s="241" t="str">
        <f>IF($B98="ML","There",IF(AND($X98&gt;=6,AVERAGE($Z98:$AA98)&gt;=6),"Likely",IF(OR($X98&gt;6,AND($X98=6,AVERAGE($Z98:$AA98)&gt;=3),AND($X98&gt;=5,AVERAGE($Z98:$AA98)&gt;=5),AVERAGE($X98,$Z98:$AA98)&gt;5),"Possible","Unlikely")))</f>
        <v>Unlikely</v>
      </c>
      <c r="BW98" s="242" t="str">
        <f>IF(OR(AND(S98&gt;=6,U98+V98&gt;=12),S98&gt;7),"Start",IF(AND(S98&gt;=5,U98+V98&gt;=8),"Bench","aack!"))</f>
        <v>aack!</v>
      </c>
      <c r="BX98" s="242" t="str">
        <f>IF(OR(AND(X98&gt;=6,Z98+AA98&gt;=12),X98&gt;7),"Start",IF(AND(X98&gt;=5,Z98+AA98&gt;=8),"Bench","aack!"))</f>
        <v>aack!</v>
      </c>
      <c r="BY98" s="242" t="str">
        <f>IF(S98&gt;5,"ML",IF(S98=5,"AAA",IF(S98=4,"AA",IF(S98=3,"A","SS-A"))))</f>
        <v>SS-A</v>
      </c>
      <c r="BZ98" s="242">
        <f>S98-X98</f>
        <v>-2</v>
      </c>
      <c r="CA98" s="242">
        <f>T98-Y98</f>
        <v>-2</v>
      </c>
      <c r="CB98" s="242">
        <f>U98-Z98</f>
        <v>-1</v>
      </c>
      <c r="CC98" s="242">
        <f>V98-AA98</f>
        <v>-3</v>
      </c>
      <c r="CD98" s="242">
        <f>W98-AB98</f>
        <v>-3</v>
      </c>
      <c r="CE98" s="242">
        <f>SUM(BZ98:CD98)</f>
        <v>-11</v>
      </c>
      <c r="CF98" s="242">
        <f>X98+Z98+AA98</f>
        <v>11</v>
      </c>
      <c r="CG98" s="242">
        <f>X98+Z98</f>
        <v>6</v>
      </c>
      <c r="CH98" s="242">
        <f>X98+AA98</f>
        <v>8</v>
      </c>
      <c r="CI98" s="242" t="str">
        <f>IF(L98&gt;24,"Now - Age",IF(S98&gt;6,"Now",IF(X98&lt;6,"With Dev",MIN(X98-S98,7-S98))))</f>
        <v>With Dev</v>
      </c>
      <c r="CJ98" s="257" t="str">
        <f>IF(AG98&lt;&gt;"-","X","")</f>
        <v/>
      </c>
      <c r="CK98" s="257" t="str">
        <f>IF(AND(AH98&lt;&gt;"-",AH98&gt;5),"X","")</f>
        <v/>
      </c>
      <c r="CL98" s="257" t="str">
        <f>IF(AND(AI98&lt;&gt;"-",AI98&gt;5),"X","")</f>
        <v/>
      </c>
      <c r="CM98" s="257" t="str">
        <f>IF(AND(AJ98&lt;&gt;"-",AJ98&gt;4,AC98&gt;6),"X","")</f>
        <v>X</v>
      </c>
      <c r="CN98" s="257" t="str">
        <f>IF(AND(AK98&lt;&gt;"-",AK98&gt;5,AC98&gt;5),"X","")</f>
        <v/>
      </c>
      <c r="CO98" s="257" t="str">
        <f>IF(AND(AL98&lt;&gt;"-",AL98&gt;3),"X","")</f>
        <v/>
      </c>
      <c r="CP98" s="257" t="str">
        <f>IF(AND(AM98&lt;&gt;"-",AM98&gt;6),"X","")</f>
        <v/>
      </c>
      <c r="CQ98" s="257" t="str">
        <f>IF(AND(AN98&lt;&gt;"-",AN98&gt;5,AD98&gt;6),"X","")</f>
        <v/>
      </c>
      <c r="CR98" s="257" t="str">
        <f>IF(COUNTBLANK(CJ98:CQ98)=8,"X","")</f>
        <v/>
      </c>
    </row>
    <row r="99" spans="1:96" s="306" customFormat="1" x14ac:dyDescent="0.25">
      <c r="A99" s="240" t="str">
        <f>H99&amp;" "&amp;I99</f>
        <v>R.J. Rogers</v>
      </c>
      <c r="B99" s="240" t="str">
        <f>IF(ISERROR(VLOOKUP(A99,AMA!$C$3:$C$24,1,FALSE)),IF(ISERROR(VLOOKUP(A99,'END-AAA'!$C$6:$C$33,1,FALSE)),IF(ISERROR(VLOOKUP(A99,'DB-AA'!$C$6:$C$33,1,FALSE)),IF(ISERROR(VLOOKUP(A99,'UTR-A'!$C$6:$C$33,1,FALSE)),IF(ISERROR(VLOOKUP(A99,'FAI-S A'!$C$6:$C$33,1,FALSE)),"","S A"),"A"),"AA"),"AAA"),"ML")</f>
        <v/>
      </c>
      <c r="C99" s="241"/>
      <c r="D99" s="242" t="str">
        <f>IF(BL99=1,3,IF(BM99=1,4,IF(BJ99=1,1,IF(BN99=1,5,IF(BK99=1,2,IF(BO99=1,6,IF(BP99=1,7,IF(BQ99=1,8,IF(BR99=1,9,"-")))))))))</f>
        <v>-</v>
      </c>
      <c r="E99" s="242" t="str">
        <f>IF(BC99=1,3,IF(BD99=1,4,IF(BA99=1,1,IF(BE99=1,5,IF(BB99=1,2,IF(BF99=1,6,IF(BG99=1,7,IF(BH99=1,8,IF(BI99=1,9,"-")))))))))</f>
        <v>-</v>
      </c>
      <c r="F99" s="242" t="str">
        <f>IF(OR(OR(Q99="Very High",Q99="High"),AND(OR(Q99="Very High",Q99="High",Q99="Normal"),OR(R99="Very High",R99="High"))),"K","T")</f>
        <v>T</v>
      </c>
      <c r="G99" s="242" t="s">
        <v>75</v>
      </c>
      <c r="H99" s="242" t="s">
        <v>1282</v>
      </c>
      <c r="I99" s="242" t="s">
        <v>1283</v>
      </c>
      <c r="J99" s="242" t="s">
        <v>810</v>
      </c>
      <c r="K99" s="242" t="s">
        <v>83</v>
      </c>
      <c r="L99" s="242">
        <v>19</v>
      </c>
      <c r="M99" s="242" t="s">
        <v>83</v>
      </c>
      <c r="N99" s="242" t="s">
        <v>83</v>
      </c>
      <c r="O99" s="242" t="s">
        <v>816</v>
      </c>
      <c r="P99" s="243" t="s">
        <v>808</v>
      </c>
      <c r="Q99" s="242" t="s">
        <v>200</v>
      </c>
      <c r="R99" s="243" t="s">
        <v>200</v>
      </c>
      <c r="S99" s="242">
        <v>1</v>
      </c>
      <c r="T99" s="242">
        <v>2</v>
      </c>
      <c r="U99" s="242">
        <v>2</v>
      </c>
      <c r="V99" s="242">
        <v>2</v>
      </c>
      <c r="W99" s="243">
        <v>1</v>
      </c>
      <c r="X99" s="242">
        <v>3</v>
      </c>
      <c r="Y99" s="242">
        <v>4</v>
      </c>
      <c r="Z99" s="242">
        <v>3</v>
      </c>
      <c r="AA99" s="242">
        <v>4</v>
      </c>
      <c r="AB99" s="243">
        <v>4</v>
      </c>
      <c r="AC99" s="242">
        <v>9</v>
      </c>
      <c r="AD99" s="242">
        <v>9</v>
      </c>
      <c r="AE99" s="242">
        <v>1</v>
      </c>
      <c r="AF99" s="242" t="s">
        <v>32</v>
      </c>
      <c r="AG99" s="242" t="s">
        <v>32</v>
      </c>
      <c r="AH99" s="242">
        <v>1</v>
      </c>
      <c r="AI99" s="242" t="s">
        <v>32</v>
      </c>
      <c r="AJ99" s="242">
        <v>3</v>
      </c>
      <c r="AK99" s="242" t="s">
        <v>32</v>
      </c>
      <c r="AL99" s="242" t="s">
        <v>32</v>
      </c>
      <c r="AM99" s="242" t="s">
        <v>32</v>
      </c>
      <c r="AN99" s="243">
        <v>3</v>
      </c>
      <c r="AO99" s="242">
        <v>6</v>
      </c>
      <c r="AP99" s="242">
        <v>8</v>
      </c>
      <c r="AQ99" s="243">
        <v>6</v>
      </c>
      <c r="AR99" s="244" t="s">
        <v>32</v>
      </c>
      <c r="AS99" s="243" t="s">
        <v>33</v>
      </c>
      <c r="AT99" s="248" t="s">
        <v>779</v>
      </c>
      <c r="AU99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-0.83333333333333326</v>
      </c>
      <c r="AV99" s="246" t="str">
        <f>IF(AU99&gt;9,"SuperStar",IF(AU99&gt;8,"Star",IF(AU99&gt;6.5,"GoodReg",IF(AU99&gt;5,"Reg",IF(AU99&gt;4,"Bench","Minors")))))</f>
        <v>Minors</v>
      </c>
      <c r="AW99" s="245">
        <f>AVERAGE(X99,Z99,AA99)+IF(OR(X99&gt;7,AND(X99&gt;5,AA99&gt;5)),0.5,0)+IF(Z99&gt;7,0.25,0)+IF(X99&lt;6,-0.5*(6-X99),0)</f>
        <v>1.8333333333333335</v>
      </c>
      <c r="AX99" s="245" t="str">
        <f>IF(AW99&gt;9,"SuperStar",IF(AW99&gt;8,"Star",IF(AW99&gt;6.5,"GoodReg",IF(AW99&gt;5,"Reg",IF(AW99&gt;4,"Bench","Minors")))))</f>
        <v>Minors</v>
      </c>
      <c r="AY99" s="246">
        <f>MIN(AU99+(MAX(0,25-L99))^1.5,AW99)</f>
        <v>1.8333333333333335</v>
      </c>
      <c r="AZ99" s="246" t="str">
        <f>IF(AY99&gt;9,"SuperStar",IF(AY99&gt;8,"Star",IF(AY99&gt;6.5,"GoodReg",IF(AY99&gt;5,"Reg",IF(AY99&gt;4,"Bench","Minors")))))</f>
        <v>Minors</v>
      </c>
      <c r="BA99" s="247">
        <f>IF(AND(OR(S99+V99&gt;12,AND(S99&gt;6,V99&gt;6)),AO99&gt;6,OR(AP99&gt;=AO99,AP99&gt;6)),1,0)</f>
        <v>0</v>
      </c>
      <c r="BB99" s="248">
        <f>IF(OR(AND(S99&gt;6,W99&gt;6),S99+V99&gt;12),1,0)</f>
        <v>0</v>
      </c>
      <c r="BC99" s="248">
        <f>IF(AND(S99&gt;6,U99&gt;6,V99&gt;6),1,0)</f>
        <v>0</v>
      </c>
      <c r="BD99" s="248">
        <f>IF(AND(U99&gt;7,OR(S99&gt;6,V99&gt;6)),1,0)</f>
        <v>0</v>
      </c>
      <c r="BE99" s="248">
        <f>IF(AND(U99&gt;6,OR(S99&gt;6,V99&gt;6)),1,0)</f>
        <v>0</v>
      </c>
      <c r="BF99" s="248">
        <f>IF(AND(OR(S99&gt;6,U99&gt;6),OR(S99&gt;6,V99&gt;6)),1,0)</f>
        <v>0</v>
      </c>
      <c r="BG99" s="248">
        <f>IF(AND(S99&gt;4,OR(S99&gt;6,U99&gt;6,V99&gt;6)),1,0)</f>
        <v>0</v>
      </c>
      <c r="BH99" s="248">
        <f>IF(AND(S99&gt;4,OR(S99&gt;6,T99&gt;6,U99&gt;6,V99&gt;6)),1,0)</f>
        <v>0</v>
      </c>
      <c r="BI99" s="243">
        <f>IF(AND(S99&gt;4,MAX(S99:W99)&gt;6),1,0)</f>
        <v>0</v>
      </c>
      <c r="BJ99" s="247">
        <f>IF(AND(OR(X99+AA99&gt;12,AND(X99&gt;6,AA99&gt;6)),AO99&gt;6,OR(AP99&gt;=AO99,AP99&gt;6)),1,0)</f>
        <v>0</v>
      </c>
      <c r="BK99" s="248">
        <f>IF(OR(AND(X99&gt;6,AB99&gt;6),X99+AA99&gt;12),1,0)</f>
        <v>0</v>
      </c>
      <c r="BL99" s="248">
        <f>IF(AND(X99&gt;6,Z99&gt;6,AA99&gt;6),1,0)</f>
        <v>0</v>
      </c>
      <c r="BM99" s="248">
        <f>IF(AND(Z99&gt;7,OR(X99&gt;6,AA99&gt;6)),1,0)</f>
        <v>0</v>
      </c>
      <c r="BN99" s="248">
        <f>IF(AND(Z99&gt;6,OR(X99&gt;6,AA99&gt;6)),1,0)</f>
        <v>0</v>
      </c>
      <c r="BO99" s="248">
        <f>IF(AND(OR(X99&gt;6,Z99&gt;6),OR(X99&gt;6,AA99&gt;6)),1,0)</f>
        <v>0</v>
      </c>
      <c r="BP99" s="248">
        <f>IF(AND(X99&gt;4,OR(X99&gt;6,Z99&gt;6,AA99&gt;6)),1,0)</f>
        <v>0</v>
      </c>
      <c r="BQ99" s="248">
        <f>IF(AND(X99&gt;4,OR(X99&gt;6,Y99&gt;6,Z99&gt;6,AA99&gt;6)),1,0)</f>
        <v>0</v>
      </c>
      <c r="BR99" s="243">
        <f>IF(AND(X99&gt;4,MAX(X99:AB99)&gt;6),1,0)</f>
        <v>0</v>
      </c>
      <c r="BS99" s="243">
        <f>IF(AVERAGE(AO99:AP99)&gt;9,1,0)+IF(AVERAGE(AO99:AP99)&gt;7,1,0)+IF(AO99&gt;7,1,0)+IF(AP99&gt;7,1,0)+IF(AQ99&gt;8,1,0)+IF(AQ99&gt;6,1,0)</f>
        <v>1</v>
      </c>
      <c r="BT99" s="249">
        <f>IF(OR(MAX(AG99,AH99,AL99,AN99)&gt;6,MAX(AI99,AJ99,AK99,AM99)&gt;7),2,IF(MAX(AG99:AN99)&gt;4,1,0))</f>
        <v>0</v>
      </c>
      <c r="BU99" s="242" t="str">
        <f>IF(AS99=1,"Yes","")</f>
        <v/>
      </c>
      <c r="BV99" s="241" t="str">
        <f>IF($B99="ML","There",IF(AND($X99&gt;=6,AVERAGE($Z99:$AA99)&gt;=6),"Likely",IF(OR($X99&gt;6,AND($X99=6,AVERAGE($Z99:$AA99)&gt;=3),AND($X99&gt;=5,AVERAGE($Z99:$AA99)&gt;=5),AVERAGE($X99,$Z99:$AA99)&gt;5),"Possible","Unlikely")))</f>
        <v>Unlikely</v>
      </c>
      <c r="BW99" s="242" t="str">
        <f>IF(OR(AND(S99&gt;=6,U99+V99&gt;=12),S99&gt;7),"Start",IF(AND(S99&gt;=5,U99+V99&gt;=8),"Bench","aack!"))</f>
        <v>aack!</v>
      </c>
      <c r="BX99" s="242" t="str">
        <f>IF(OR(AND(X99&gt;=6,Z99+AA99&gt;=12),X99&gt;7),"Start",IF(AND(X99&gt;=5,Z99+AA99&gt;=8),"Bench","aack!"))</f>
        <v>aack!</v>
      </c>
      <c r="BY99" s="242" t="str">
        <f>IF(S99&gt;5,"ML",IF(S99=5,"AAA",IF(S99=4,"AA",IF(S99=3,"A","SS-A"))))</f>
        <v>SS-A</v>
      </c>
      <c r="BZ99" s="242">
        <f>S99-X99</f>
        <v>-2</v>
      </c>
      <c r="CA99" s="242">
        <f>T99-Y99</f>
        <v>-2</v>
      </c>
      <c r="CB99" s="242">
        <f>U99-Z99</f>
        <v>-1</v>
      </c>
      <c r="CC99" s="242">
        <f>V99-AA99</f>
        <v>-2</v>
      </c>
      <c r="CD99" s="242">
        <f>W99-AB99</f>
        <v>-3</v>
      </c>
      <c r="CE99" s="242">
        <f>SUM(BZ99:CD99)</f>
        <v>-10</v>
      </c>
      <c r="CF99" s="242">
        <f>X99+Z99+AA99</f>
        <v>10</v>
      </c>
      <c r="CG99" s="242">
        <f>X99+Z99</f>
        <v>6</v>
      </c>
      <c r="CH99" s="242">
        <f>X99+AA99</f>
        <v>7</v>
      </c>
      <c r="CI99" s="242" t="str">
        <f>IF(L99&gt;24,"Now - Age",IF(S99&gt;6,"Now",IF(X99&lt;6,"With Dev",MIN(X99-S99,7-S99))))</f>
        <v>With Dev</v>
      </c>
      <c r="CJ99" s="257" t="str">
        <f>IF(AG99&lt;&gt;"-","X","")</f>
        <v/>
      </c>
      <c r="CK99" s="257" t="str">
        <f>IF(AND(AH99&lt;&gt;"-",AH99&gt;5),"X","")</f>
        <v/>
      </c>
      <c r="CL99" s="257" t="str">
        <f>IF(AND(AI99&lt;&gt;"-",AI99&gt;5),"X","")</f>
        <v/>
      </c>
      <c r="CM99" s="257" t="str">
        <f>IF(AND(AJ99&lt;&gt;"-",AJ99&gt;4,AC99&gt;6),"X","")</f>
        <v/>
      </c>
      <c r="CN99" s="257" t="str">
        <f>IF(AND(AK99&lt;&gt;"-",AK99&gt;5,AC99&gt;5),"X","")</f>
        <v/>
      </c>
      <c r="CO99" s="257" t="str">
        <f>IF(AND(AL99&lt;&gt;"-",AL99&gt;3),"X","")</f>
        <v/>
      </c>
      <c r="CP99" s="257" t="str">
        <f>IF(AND(AM99&lt;&gt;"-",AM99&gt;6),"X","")</f>
        <v/>
      </c>
      <c r="CQ99" s="257" t="str">
        <f>IF(AND(AN99&lt;&gt;"-",AN99&gt;5,AD99&gt;6),"X","")</f>
        <v/>
      </c>
      <c r="CR99" s="257" t="str">
        <f>IF(COUNTBLANK(CJ99:CQ99)=8,"X","")</f>
        <v>X</v>
      </c>
    </row>
    <row r="100" spans="1:96" s="306" customFormat="1" x14ac:dyDescent="0.25">
      <c r="A100" s="240" t="str">
        <f>H100&amp;" "&amp;I100</f>
        <v>Cedric Wilson</v>
      </c>
      <c r="B100" s="240" t="str">
        <f>IF(ISERROR(VLOOKUP(A100,AMA!$C$3:$C$24,1,FALSE)),IF(ISERROR(VLOOKUP(A100,'END-AAA'!$C$6:$C$33,1,FALSE)),IF(ISERROR(VLOOKUP(A100,'DB-AA'!$C$6:$C$33,1,FALSE)),IF(ISERROR(VLOOKUP(A100,'UTR-A'!$C$6:$C$33,1,FALSE)),IF(ISERROR(VLOOKUP(A100,'FAI-S A'!$C$6:$C$33,1,FALSE)),"","S A"),"A"),"AA"),"AAA"),"ML")</f>
        <v/>
      </c>
      <c r="C100" s="241"/>
      <c r="D100" s="242" t="str">
        <f>IF(BL100=1,3,IF(BM100=1,4,IF(BJ100=1,1,IF(BN100=1,5,IF(BK100=1,2,IF(BO100=1,6,IF(BP100=1,7,IF(BQ100=1,8,IF(BR100=1,9,"-")))))))))</f>
        <v>-</v>
      </c>
      <c r="E100" s="242" t="str">
        <f>IF(BC100=1,3,IF(BD100=1,4,IF(BA100=1,1,IF(BE100=1,5,IF(BB100=1,2,IF(BF100=1,6,IF(BG100=1,7,IF(BH100=1,8,IF(BI100=1,9,"-")))))))))</f>
        <v>-</v>
      </c>
      <c r="F100" s="242" t="str">
        <f>IF(OR(OR(Q100="Very High",Q100="High"),AND(OR(Q100="Very High",Q100="High",Q100="Normal"),OR(R100="Very High",R100="High"))),"K","T")</f>
        <v>K</v>
      </c>
      <c r="G100" s="242" t="s">
        <v>77</v>
      </c>
      <c r="H100" s="242" t="s">
        <v>1286</v>
      </c>
      <c r="I100" s="242" t="s">
        <v>1287</v>
      </c>
      <c r="J100" s="242" t="s">
        <v>810</v>
      </c>
      <c r="K100" s="242" t="s">
        <v>83</v>
      </c>
      <c r="L100" s="242">
        <v>18</v>
      </c>
      <c r="M100" s="242" t="s">
        <v>85</v>
      </c>
      <c r="N100" s="242" t="s">
        <v>83</v>
      </c>
      <c r="O100" s="242" t="s">
        <v>816</v>
      </c>
      <c r="P100" s="243" t="s">
        <v>808</v>
      </c>
      <c r="Q100" s="242" t="s">
        <v>199</v>
      </c>
      <c r="R100" s="243" t="s">
        <v>200</v>
      </c>
      <c r="S100" s="242">
        <v>1</v>
      </c>
      <c r="T100" s="242">
        <v>1</v>
      </c>
      <c r="U100" s="242">
        <v>2</v>
      </c>
      <c r="V100" s="242">
        <v>1</v>
      </c>
      <c r="W100" s="243">
        <v>1</v>
      </c>
      <c r="X100" s="242">
        <v>3</v>
      </c>
      <c r="Y100" s="242">
        <v>3</v>
      </c>
      <c r="Z100" s="242">
        <v>7</v>
      </c>
      <c r="AA100" s="242">
        <v>5</v>
      </c>
      <c r="AB100" s="243">
        <v>2</v>
      </c>
      <c r="AC100" s="242">
        <v>2</v>
      </c>
      <c r="AD100" s="242">
        <v>5</v>
      </c>
      <c r="AE100" s="242">
        <v>1</v>
      </c>
      <c r="AF100" s="242" t="s">
        <v>32</v>
      </c>
      <c r="AG100" s="242" t="s">
        <v>32</v>
      </c>
      <c r="AH100" s="242" t="s">
        <v>32</v>
      </c>
      <c r="AI100" s="242" t="s">
        <v>32</v>
      </c>
      <c r="AJ100" s="242" t="s">
        <v>32</v>
      </c>
      <c r="AK100" s="242" t="s">
        <v>32</v>
      </c>
      <c r="AL100" s="242">
        <v>3</v>
      </c>
      <c r="AM100" s="242" t="s">
        <v>32</v>
      </c>
      <c r="AN100" s="243" t="s">
        <v>32</v>
      </c>
      <c r="AO100" s="242">
        <v>3</v>
      </c>
      <c r="AP100" s="242">
        <v>6</v>
      </c>
      <c r="AQ100" s="243">
        <v>6</v>
      </c>
      <c r="AR100" s="244" t="s">
        <v>32</v>
      </c>
      <c r="AS100" s="243" t="s">
        <v>33</v>
      </c>
      <c r="AT100" s="248" t="s">
        <v>199</v>
      </c>
      <c r="AU100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-1.1666666666666667</v>
      </c>
      <c r="AV100" s="246" t="str">
        <f>IF(AU100&gt;9,"SuperStar",IF(AU100&gt;8,"Star",IF(AU100&gt;6.5,"GoodReg",IF(AU100&gt;5,"Reg",IF(AU100&gt;4,"Bench","Minors")))))</f>
        <v>Minors</v>
      </c>
      <c r="AW100" s="245">
        <f>AVERAGE(X100,Z100,AA100)+IF(OR(X100&gt;7,AND(X100&gt;5,AA100&gt;5)),0.5,0)+IF(Z100&gt;7,0.25,0)+IF(X100&lt;6,-0.5*(6-X100),0)</f>
        <v>3.5</v>
      </c>
      <c r="AX100" s="245" t="str">
        <f>IF(AW100&gt;9,"SuperStar",IF(AW100&gt;8,"Star",IF(AW100&gt;6.5,"GoodReg",IF(AW100&gt;5,"Reg",IF(AW100&gt;4,"Bench","Minors")))))</f>
        <v>Minors</v>
      </c>
      <c r="AY100" s="246">
        <f>MIN(AU100+(MAX(0,25-L100))^1.5,AW100)</f>
        <v>3.5</v>
      </c>
      <c r="AZ100" s="246" t="str">
        <f>IF(AY100&gt;9,"SuperStar",IF(AY100&gt;8,"Star",IF(AY100&gt;6.5,"GoodReg",IF(AY100&gt;5,"Reg",IF(AY100&gt;4,"Bench","Minors")))))</f>
        <v>Minors</v>
      </c>
      <c r="BA100" s="247">
        <f>IF(AND(OR(S100+V100&gt;12,AND(S100&gt;6,V100&gt;6)),AO100&gt;6,OR(AP100&gt;=AO100,AP100&gt;6)),1,0)</f>
        <v>0</v>
      </c>
      <c r="BB100" s="248">
        <f>IF(OR(AND(S100&gt;6,W100&gt;6),S100+V100&gt;12),1,0)</f>
        <v>0</v>
      </c>
      <c r="BC100" s="248">
        <f>IF(AND(S100&gt;6,U100&gt;6,V100&gt;6),1,0)</f>
        <v>0</v>
      </c>
      <c r="BD100" s="248">
        <f>IF(AND(U100&gt;7,OR(S100&gt;6,V100&gt;6)),1,0)</f>
        <v>0</v>
      </c>
      <c r="BE100" s="248">
        <f>IF(AND(U100&gt;6,OR(S100&gt;6,V100&gt;6)),1,0)</f>
        <v>0</v>
      </c>
      <c r="BF100" s="248">
        <f>IF(AND(OR(S100&gt;6,U100&gt;6),OR(S100&gt;6,V100&gt;6)),1,0)</f>
        <v>0</v>
      </c>
      <c r="BG100" s="248">
        <f>IF(AND(S100&gt;4,OR(S100&gt;6,U100&gt;6,V100&gt;6)),1,0)</f>
        <v>0</v>
      </c>
      <c r="BH100" s="248">
        <f>IF(AND(S100&gt;4,OR(S100&gt;6,T100&gt;6,U100&gt;6,V100&gt;6)),1,0)</f>
        <v>0</v>
      </c>
      <c r="BI100" s="243">
        <f>IF(AND(S100&gt;4,MAX(S100:W100)&gt;6),1,0)</f>
        <v>0</v>
      </c>
      <c r="BJ100" s="247">
        <f>IF(AND(OR(X100+AA100&gt;12,AND(X100&gt;6,AA100&gt;6)),AO100&gt;6,OR(AP100&gt;=AO100,AP100&gt;6)),1,0)</f>
        <v>0</v>
      </c>
      <c r="BK100" s="248">
        <f>IF(OR(AND(X100&gt;6,AB100&gt;6),X100+AA100&gt;12),1,0)</f>
        <v>0</v>
      </c>
      <c r="BL100" s="248">
        <f>IF(AND(X100&gt;6,Z100&gt;6,AA100&gt;6),1,0)</f>
        <v>0</v>
      </c>
      <c r="BM100" s="248">
        <f>IF(AND(Z100&gt;7,OR(X100&gt;6,AA100&gt;6)),1,0)</f>
        <v>0</v>
      </c>
      <c r="BN100" s="248">
        <f>IF(AND(Z100&gt;6,OR(X100&gt;6,AA100&gt;6)),1,0)</f>
        <v>0</v>
      </c>
      <c r="BO100" s="248">
        <f>IF(AND(OR(X100&gt;6,Z100&gt;6),OR(X100&gt;6,AA100&gt;6)),1,0)</f>
        <v>0</v>
      </c>
      <c r="BP100" s="248">
        <f>IF(AND(X100&gt;4,OR(X100&gt;6,Z100&gt;6,AA100&gt;6)),1,0)</f>
        <v>0</v>
      </c>
      <c r="BQ100" s="248">
        <f>IF(AND(X100&gt;4,OR(X100&gt;6,Y100&gt;6,Z100&gt;6,AA100&gt;6)),1,0)</f>
        <v>0</v>
      </c>
      <c r="BR100" s="243">
        <f>IF(AND(X100&gt;4,MAX(X100:AB100)&gt;6),1,0)</f>
        <v>0</v>
      </c>
      <c r="BS100" s="243">
        <f>IF(AVERAGE(AO100:AP100)&gt;9,1,0)+IF(AVERAGE(AO100:AP100)&gt;7,1,0)+IF(AO100&gt;7,1,0)+IF(AP100&gt;7,1,0)+IF(AQ100&gt;8,1,0)+IF(AQ100&gt;6,1,0)</f>
        <v>0</v>
      </c>
      <c r="BT100" s="249">
        <f>IF(OR(MAX(AG100,AH100,AL100,AN100)&gt;6,MAX(AI100,AJ100,AK100,AM100)&gt;7),2,IF(MAX(AG100:AN100)&gt;4,1,0))</f>
        <v>0</v>
      </c>
      <c r="BU100" s="242" t="str">
        <f>IF(AS100=1,"Yes","")</f>
        <v/>
      </c>
      <c r="BV100" s="241" t="str">
        <f>IF($B100="ML","There",IF(AND($X100&gt;=6,AVERAGE($Z100:$AA100)&gt;=6),"Likely",IF(OR($X100&gt;6,AND($X100=6,AVERAGE($Z100:$AA100)&gt;=3),AND($X100&gt;=5,AVERAGE($Z100:$AA100)&gt;=5),AVERAGE($X100,$Z100:$AA100)&gt;5),"Possible","Unlikely")))</f>
        <v>Unlikely</v>
      </c>
      <c r="BW100" s="242" t="str">
        <f>IF(OR(AND(S100&gt;=6,U100+V100&gt;=12),S100&gt;7),"Start",IF(AND(S100&gt;=5,U100+V100&gt;=8),"Bench","aack!"))</f>
        <v>aack!</v>
      </c>
      <c r="BX100" s="242" t="str">
        <f>IF(OR(AND(X100&gt;=6,Z100+AA100&gt;=12),X100&gt;7),"Start",IF(AND(X100&gt;=5,Z100+AA100&gt;=8),"Bench","aack!"))</f>
        <v>aack!</v>
      </c>
      <c r="BY100" s="242" t="str">
        <f>IF(S100&gt;5,"ML",IF(S100=5,"AAA",IF(S100=4,"AA",IF(S100=3,"A","SS-A"))))</f>
        <v>SS-A</v>
      </c>
      <c r="BZ100" s="242">
        <f>S100-X100</f>
        <v>-2</v>
      </c>
      <c r="CA100" s="242">
        <f>T100-Y100</f>
        <v>-2</v>
      </c>
      <c r="CB100" s="242">
        <f>U100-Z100</f>
        <v>-5</v>
      </c>
      <c r="CC100" s="242">
        <f>V100-AA100</f>
        <v>-4</v>
      </c>
      <c r="CD100" s="242">
        <f>W100-AB100</f>
        <v>-1</v>
      </c>
      <c r="CE100" s="242">
        <f>SUM(BZ100:CD100)</f>
        <v>-14</v>
      </c>
      <c r="CF100" s="242">
        <f>X100+Z100+AA100</f>
        <v>15</v>
      </c>
      <c r="CG100" s="242">
        <f>X100+Z100</f>
        <v>10</v>
      </c>
      <c r="CH100" s="242">
        <f>X100+AA100</f>
        <v>8</v>
      </c>
      <c r="CI100" s="242" t="str">
        <f>IF(L100&gt;24,"Now - Age",IF(S100&gt;6,"Now",IF(X100&lt;6,"With Dev",MIN(X100-S100,7-S100))))</f>
        <v>With Dev</v>
      </c>
      <c r="CJ100" s="257" t="str">
        <f>IF(AG100&lt;&gt;"-","X","")</f>
        <v/>
      </c>
      <c r="CK100" s="257" t="str">
        <f>IF(AND(AH100&lt;&gt;"-",AH100&gt;5),"X","")</f>
        <v/>
      </c>
      <c r="CL100" s="257" t="str">
        <f>IF(AND(AI100&lt;&gt;"-",AI100&gt;5),"X","")</f>
        <v/>
      </c>
      <c r="CM100" s="257" t="str">
        <f>IF(AND(AJ100&lt;&gt;"-",AJ100&gt;4,AC100&gt;6),"X","")</f>
        <v/>
      </c>
      <c r="CN100" s="257" t="str">
        <f>IF(AND(AK100&lt;&gt;"-",AK100&gt;5,AC100&gt;5),"X","")</f>
        <v/>
      </c>
      <c r="CO100" s="257" t="str">
        <f>IF(AND(AL100&lt;&gt;"-",AL100&gt;3),"X","")</f>
        <v/>
      </c>
      <c r="CP100" s="257" t="str">
        <f>IF(AND(AM100&lt;&gt;"-",AM100&gt;6),"X","")</f>
        <v/>
      </c>
      <c r="CQ100" s="257" t="str">
        <f>IF(AND(AN100&lt;&gt;"-",AN100&gt;5,AD100&gt;6),"X","")</f>
        <v/>
      </c>
      <c r="CR100" s="257" t="str">
        <f>IF(COUNTBLANK(CJ100:CQ100)=8,"X","")</f>
        <v>X</v>
      </c>
    </row>
    <row r="101" spans="1:96" s="306" customFormat="1" x14ac:dyDescent="0.25">
      <c r="A101" s="240" t="str">
        <f>H101&amp;" "&amp;I101</f>
        <v>Larry Ryan</v>
      </c>
      <c r="B101" s="240" t="str">
        <f>IF(ISERROR(VLOOKUP(A101,AMA!$C$3:$C$24,1,FALSE)),IF(ISERROR(VLOOKUP(A101,'END-AAA'!$C$6:$C$33,1,FALSE)),IF(ISERROR(VLOOKUP(A101,'DB-AA'!$C$6:$C$33,1,FALSE)),IF(ISERROR(VLOOKUP(A101,'UTR-A'!$C$6:$C$33,1,FALSE)),IF(ISERROR(VLOOKUP(A101,'FAI-S A'!$C$6:$C$33,1,FALSE)),"","S A"),"A"),"AA"),"AAA"),"ML")</f>
        <v/>
      </c>
      <c r="C101" s="241"/>
      <c r="D101" s="242" t="str">
        <f>IF(BL101=1,3,IF(BM101=1,4,IF(BJ101=1,1,IF(BN101=1,5,IF(BK101=1,2,IF(BO101=1,6,IF(BP101=1,7,IF(BQ101=1,8,IF(BR101=1,9,"-")))))))))</f>
        <v>-</v>
      </c>
      <c r="E101" s="242" t="str">
        <f>IF(BC101=1,3,IF(BD101=1,4,IF(BA101=1,1,IF(BE101=1,5,IF(BB101=1,2,IF(BF101=1,6,IF(BG101=1,7,IF(BH101=1,8,IF(BI101=1,9,"-")))))))))</f>
        <v>-</v>
      </c>
      <c r="F101" s="242" t="str">
        <f>IF(OR(OR(Q101="Very High",Q101="High"),AND(OR(Q101="Very High",Q101="High",Q101="Normal"),OR(R101="Very High",R101="High"))),"K","T")</f>
        <v>K</v>
      </c>
      <c r="G101" s="242" t="s">
        <v>73</v>
      </c>
      <c r="H101" s="242" t="s">
        <v>1284</v>
      </c>
      <c r="I101" s="242" t="s">
        <v>524</v>
      </c>
      <c r="J101" s="242" t="s">
        <v>810</v>
      </c>
      <c r="K101" s="242" t="s">
        <v>83</v>
      </c>
      <c r="L101" s="242">
        <v>18</v>
      </c>
      <c r="M101" s="242" t="s">
        <v>83</v>
      </c>
      <c r="N101" s="242" t="s">
        <v>83</v>
      </c>
      <c r="O101" s="242" t="s">
        <v>816</v>
      </c>
      <c r="P101" s="243" t="s">
        <v>808</v>
      </c>
      <c r="Q101" s="242" t="s">
        <v>200</v>
      </c>
      <c r="R101" s="243" t="s">
        <v>199</v>
      </c>
      <c r="S101" s="242">
        <v>1</v>
      </c>
      <c r="T101" s="242">
        <v>1</v>
      </c>
      <c r="U101" s="242">
        <v>2</v>
      </c>
      <c r="V101" s="242">
        <v>1</v>
      </c>
      <c r="W101" s="243">
        <v>1</v>
      </c>
      <c r="X101" s="242">
        <v>3</v>
      </c>
      <c r="Y101" s="242">
        <v>7</v>
      </c>
      <c r="Z101" s="242">
        <v>7</v>
      </c>
      <c r="AA101" s="242">
        <v>4</v>
      </c>
      <c r="AB101" s="243">
        <v>2</v>
      </c>
      <c r="AC101" s="242">
        <v>1</v>
      </c>
      <c r="AD101" s="242">
        <v>1</v>
      </c>
      <c r="AE101" s="242">
        <v>1</v>
      </c>
      <c r="AF101" s="242" t="s">
        <v>32</v>
      </c>
      <c r="AG101" s="242" t="s">
        <v>32</v>
      </c>
      <c r="AH101" s="242">
        <v>1</v>
      </c>
      <c r="AI101" s="242" t="s">
        <v>32</v>
      </c>
      <c r="AJ101" s="242" t="s">
        <v>32</v>
      </c>
      <c r="AK101" s="242" t="s">
        <v>32</v>
      </c>
      <c r="AL101" s="242" t="s">
        <v>32</v>
      </c>
      <c r="AM101" s="242" t="s">
        <v>32</v>
      </c>
      <c r="AN101" s="243" t="s">
        <v>32</v>
      </c>
      <c r="AO101" s="242">
        <v>6</v>
      </c>
      <c r="AP101" s="242">
        <v>5</v>
      </c>
      <c r="AQ101" s="243">
        <v>5</v>
      </c>
      <c r="AR101" s="244" t="s">
        <v>32</v>
      </c>
      <c r="AS101" s="243" t="s">
        <v>33</v>
      </c>
      <c r="AT101" s="248" t="s">
        <v>199</v>
      </c>
      <c r="AU101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-1.1666666666666667</v>
      </c>
      <c r="AV101" s="246" t="str">
        <f>IF(AU101&gt;9,"SuperStar",IF(AU101&gt;8,"Star",IF(AU101&gt;6.5,"GoodReg",IF(AU101&gt;5,"Reg",IF(AU101&gt;4,"Bench","Minors")))))</f>
        <v>Minors</v>
      </c>
      <c r="AW101" s="245">
        <f>AVERAGE(X101,Z101,AA101)+IF(OR(X101&gt;7,AND(X101&gt;5,AA101&gt;5)),0.5,0)+IF(Z101&gt;7,0.25,0)+IF(X101&lt;6,-0.5*(6-X101),0)</f>
        <v>3.166666666666667</v>
      </c>
      <c r="AX101" s="245" t="str">
        <f>IF(AW101&gt;9,"SuperStar",IF(AW101&gt;8,"Star",IF(AW101&gt;6.5,"GoodReg",IF(AW101&gt;5,"Reg",IF(AW101&gt;4,"Bench","Minors")))))</f>
        <v>Minors</v>
      </c>
      <c r="AY101" s="246">
        <f>MIN(AU101+(MAX(0,25-L101))^1.5,AW101)</f>
        <v>3.166666666666667</v>
      </c>
      <c r="AZ101" s="246" t="str">
        <f>IF(AY101&gt;9,"SuperStar",IF(AY101&gt;8,"Star",IF(AY101&gt;6.5,"GoodReg",IF(AY101&gt;5,"Reg",IF(AY101&gt;4,"Bench","Minors")))))</f>
        <v>Minors</v>
      </c>
      <c r="BA101" s="247">
        <f>IF(AND(OR(S101+V101&gt;12,AND(S101&gt;6,V101&gt;6)),AO101&gt;6,OR(AP101&gt;=AO101,AP101&gt;6)),1,0)</f>
        <v>0</v>
      </c>
      <c r="BB101" s="248">
        <f>IF(OR(AND(S101&gt;6,W101&gt;6),S101+V101&gt;12),1,0)</f>
        <v>0</v>
      </c>
      <c r="BC101" s="248">
        <f>IF(AND(S101&gt;6,U101&gt;6,V101&gt;6),1,0)</f>
        <v>0</v>
      </c>
      <c r="BD101" s="248">
        <f>IF(AND(U101&gt;7,OR(S101&gt;6,V101&gt;6)),1,0)</f>
        <v>0</v>
      </c>
      <c r="BE101" s="248">
        <f>IF(AND(U101&gt;6,OR(S101&gt;6,V101&gt;6)),1,0)</f>
        <v>0</v>
      </c>
      <c r="BF101" s="248">
        <f>IF(AND(OR(S101&gt;6,U101&gt;6),OR(S101&gt;6,V101&gt;6)),1,0)</f>
        <v>0</v>
      </c>
      <c r="BG101" s="248">
        <f>IF(AND(S101&gt;4,OR(S101&gt;6,U101&gt;6,V101&gt;6)),1,0)</f>
        <v>0</v>
      </c>
      <c r="BH101" s="248">
        <f>IF(AND(S101&gt;4,OR(S101&gt;6,T101&gt;6,U101&gt;6,V101&gt;6)),1,0)</f>
        <v>0</v>
      </c>
      <c r="BI101" s="243">
        <f>IF(AND(S101&gt;4,MAX(S101:W101)&gt;6),1,0)</f>
        <v>0</v>
      </c>
      <c r="BJ101" s="247">
        <f>IF(AND(OR(X101+AA101&gt;12,AND(X101&gt;6,AA101&gt;6)),AO101&gt;6,OR(AP101&gt;=AO101,AP101&gt;6)),1,0)</f>
        <v>0</v>
      </c>
      <c r="BK101" s="248">
        <f>IF(OR(AND(X101&gt;6,AB101&gt;6),X101+AA101&gt;12),1,0)</f>
        <v>0</v>
      </c>
      <c r="BL101" s="248">
        <f>IF(AND(X101&gt;6,Z101&gt;6,AA101&gt;6),1,0)</f>
        <v>0</v>
      </c>
      <c r="BM101" s="248">
        <f>IF(AND(Z101&gt;7,OR(X101&gt;6,AA101&gt;6)),1,0)</f>
        <v>0</v>
      </c>
      <c r="BN101" s="248">
        <f>IF(AND(Z101&gt;6,OR(X101&gt;6,AA101&gt;6)),1,0)</f>
        <v>0</v>
      </c>
      <c r="BO101" s="248">
        <f>IF(AND(OR(X101&gt;6,Z101&gt;6),OR(X101&gt;6,AA101&gt;6)),1,0)</f>
        <v>0</v>
      </c>
      <c r="BP101" s="248">
        <f>IF(AND(X101&gt;4,OR(X101&gt;6,Z101&gt;6,AA101&gt;6)),1,0)</f>
        <v>0</v>
      </c>
      <c r="BQ101" s="248">
        <f>IF(AND(X101&gt;4,OR(X101&gt;6,Y101&gt;6,Z101&gt;6,AA101&gt;6)),1,0)</f>
        <v>0</v>
      </c>
      <c r="BR101" s="243">
        <f>IF(AND(X101&gt;4,MAX(X101:AB101)&gt;6),1,0)</f>
        <v>0</v>
      </c>
      <c r="BS101" s="243">
        <f>IF(AVERAGE(AO101:AP101)&gt;9,1,0)+IF(AVERAGE(AO101:AP101)&gt;7,1,0)+IF(AO101&gt;7,1,0)+IF(AP101&gt;7,1,0)+IF(AQ101&gt;8,1,0)+IF(AQ101&gt;6,1,0)</f>
        <v>0</v>
      </c>
      <c r="BT101" s="249">
        <f>IF(OR(MAX(AG101,AH101,AL101,AN101)&gt;6,MAX(AI101,AJ101,AK101,AM101)&gt;7),2,IF(MAX(AG101:AN101)&gt;4,1,0))</f>
        <v>0</v>
      </c>
      <c r="BU101" s="242" t="str">
        <f>IF(AS101=1,"Yes","")</f>
        <v/>
      </c>
      <c r="BV101" s="241" t="str">
        <f>IF($B101="ML","There",IF(AND($X101&gt;=6,AVERAGE($Z101:$AA101)&gt;=6),"Likely",IF(OR($X101&gt;6,AND($X101=6,AVERAGE($Z101:$AA101)&gt;=3),AND($X101&gt;=5,AVERAGE($Z101:$AA101)&gt;=5),AVERAGE($X101,$Z101:$AA101)&gt;5),"Possible","Unlikely")))</f>
        <v>Unlikely</v>
      </c>
      <c r="BW101" s="242" t="str">
        <f>IF(OR(AND(S101&gt;=6,U101+V101&gt;=12),S101&gt;7),"Start",IF(AND(S101&gt;=5,U101+V101&gt;=8),"Bench","aack!"))</f>
        <v>aack!</v>
      </c>
      <c r="BX101" s="242" t="str">
        <f>IF(OR(AND(X101&gt;=6,Z101+AA101&gt;=12),X101&gt;7),"Start",IF(AND(X101&gt;=5,Z101+AA101&gt;=8),"Bench","aack!"))</f>
        <v>aack!</v>
      </c>
      <c r="BY101" s="242" t="str">
        <f>IF(S101&gt;5,"ML",IF(S101=5,"AAA",IF(S101=4,"AA",IF(S101=3,"A","SS-A"))))</f>
        <v>SS-A</v>
      </c>
      <c r="BZ101" s="242">
        <f>S101-X101</f>
        <v>-2</v>
      </c>
      <c r="CA101" s="242">
        <f>T101-Y101</f>
        <v>-6</v>
      </c>
      <c r="CB101" s="242">
        <f>U101-Z101</f>
        <v>-5</v>
      </c>
      <c r="CC101" s="242">
        <f>V101-AA101</f>
        <v>-3</v>
      </c>
      <c r="CD101" s="242">
        <f>W101-AB101</f>
        <v>-1</v>
      </c>
      <c r="CE101" s="242">
        <f>SUM(BZ101:CD101)</f>
        <v>-17</v>
      </c>
      <c r="CF101" s="242">
        <f>X101+Z101+AA101</f>
        <v>14</v>
      </c>
      <c r="CG101" s="242">
        <f>X101+Z101</f>
        <v>10</v>
      </c>
      <c r="CH101" s="242">
        <f>X101+AA101</f>
        <v>7</v>
      </c>
      <c r="CI101" s="242" t="str">
        <f>IF(L101&gt;24,"Now - Age",IF(S101&gt;6,"Now",IF(X101&lt;6,"With Dev",MIN(X101-S101,7-S101))))</f>
        <v>With Dev</v>
      </c>
      <c r="CJ101" s="257" t="str">
        <f>IF(AG101&lt;&gt;"-","X","")</f>
        <v/>
      </c>
      <c r="CK101" s="257" t="str">
        <f>IF(AND(AH101&lt;&gt;"-",AH101&gt;5),"X","")</f>
        <v/>
      </c>
      <c r="CL101" s="257" t="str">
        <f>IF(AND(AI101&lt;&gt;"-",AI101&gt;5),"X","")</f>
        <v/>
      </c>
      <c r="CM101" s="257" t="str">
        <f>IF(AND(AJ101&lt;&gt;"-",AJ101&gt;4,AC101&gt;6),"X","")</f>
        <v/>
      </c>
      <c r="CN101" s="257" t="str">
        <f>IF(AND(AK101&lt;&gt;"-",AK101&gt;5,AC101&gt;5),"X","")</f>
        <v/>
      </c>
      <c r="CO101" s="257" t="str">
        <f>IF(AND(AL101&lt;&gt;"-",AL101&gt;3),"X","")</f>
        <v/>
      </c>
      <c r="CP101" s="257" t="str">
        <f>IF(AND(AM101&lt;&gt;"-",AM101&gt;6),"X","")</f>
        <v/>
      </c>
      <c r="CQ101" s="257" t="str">
        <f>IF(AND(AN101&lt;&gt;"-",AN101&gt;5,AD101&gt;6),"X","")</f>
        <v/>
      </c>
      <c r="CR101" s="257" t="str">
        <f>IF(COUNTBLANK(CJ101:CQ101)=8,"X","")</f>
        <v>X</v>
      </c>
    </row>
    <row r="102" spans="1:96" s="306" customFormat="1" x14ac:dyDescent="0.25">
      <c r="A102" s="240" t="str">
        <f>H102&amp;" "&amp;I102</f>
        <v>Rob Robertson</v>
      </c>
      <c r="B102" s="240" t="str">
        <f>IF(ISERROR(VLOOKUP(A102,AMA!$C$3:$C$24,1,FALSE)),IF(ISERROR(VLOOKUP(A102,'END-AAA'!$C$6:$C$33,1,FALSE)),IF(ISERROR(VLOOKUP(A102,'DB-AA'!$C$6:$C$33,1,FALSE)),IF(ISERROR(VLOOKUP(A102,'UTR-A'!$C$6:$C$33,1,FALSE)),IF(ISERROR(VLOOKUP(A102,'FAI-S A'!$C$6:$C$33,1,FALSE)),"","S A"),"A"),"AA"),"AAA"),"ML")</f>
        <v/>
      </c>
      <c r="C102" s="241"/>
      <c r="D102" s="242" t="str">
        <f>IF(BL102=1,3,IF(BM102=1,4,IF(BJ102=1,1,IF(BN102=1,5,IF(BK102=1,2,IF(BO102=1,6,IF(BP102=1,7,IF(BQ102=1,8,IF(BR102=1,9,"-")))))))))</f>
        <v>-</v>
      </c>
      <c r="E102" s="242" t="str">
        <f>IF(BC102=1,3,IF(BD102=1,4,IF(BA102=1,1,IF(BE102=1,5,IF(BB102=1,2,IF(BF102=1,6,IF(BG102=1,7,IF(BH102=1,8,IF(BI102=1,9,"-")))))))))</f>
        <v>-</v>
      </c>
      <c r="F102" s="242" t="str">
        <f>IF(OR(OR(Q102="Very High",Q102="High"),AND(OR(Q102="Very High",Q102="High",Q102="Normal"),OR(R102="Very High",R102="High"))),"K","T")</f>
        <v>T</v>
      </c>
      <c r="G102" s="242" t="s">
        <v>75</v>
      </c>
      <c r="H102" s="242" t="s">
        <v>1288</v>
      </c>
      <c r="I102" s="242" t="s">
        <v>1156</v>
      </c>
      <c r="J102" s="242" t="s">
        <v>810</v>
      </c>
      <c r="K102" s="242" t="s">
        <v>83</v>
      </c>
      <c r="L102" s="242">
        <v>18</v>
      </c>
      <c r="M102" s="242" t="s">
        <v>83</v>
      </c>
      <c r="N102" s="242" t="s">
        <v>83</v>
      </c>
      <c r="O102" s="242" t="s">
        <v>816</v>
      </c>
      <c r="P102" s="243" t="s">
        <v>803</v>
      </c>
      <c r="Q102" s="242" t="s">
        <v>200</v>
      </c>
      <c r="R102" s="243" t="s">
        <v>200</v>
      </c>
      <c r="S102" s="242">
        <v>1</v>
      </c>
      <c r="T102" s="242">
        <v>1</v>
      </c>
      <c r="U102" s="242">
        <v>2</v>
      </c>
      <c r="V102" s="242">
        <v>1</v>
      </c>
      <c r="W102" s="243">
        <v>1</v>
      </c>
      <c r="X102" s="242">
        <v>3</v>
      </c>
      <c r="Y102" s="242">
        <v>3</v>
      </c>
      <c r="Z102" s="242">
        <v>5</v>
      </c>
      <c r="AA102" s="242">
        <v>5</v>
      </c>
      <c r="AB102" s="243">
        <v>3</v>
      </c>
      <c r="AC102" s="242">
        <v>7</v>
      </c>
      <c r="AD102" s="242">
        <v>6</v>
      </c>
      <c r="AE102" s="242">
        <v>1</v>
      </c>
      <c r="AF102" s="242" t="s">
        <v>32</v>
      </c>
      <c r="AG102" s="242" t="s">
        <v>32</v>
      </c>
      <c r="AH102" s="242" t="s">
        <v>32</v>
      </c>
      <c r="AI102" s="242" t="s">
        <v>32</v>
      </c>
      <c r="AJ102" s="242">
        <v>1</v>
      </c>
      <c r="AK102" s="242" t="s">
        <v>32</v>
      </c>
      <c r="AL102" s="242" t="s">
        <v>32</v>
      </c>
      <c r="AM102" s="242" t="s">
        <v>32</v>
      </c>
      <c r="AN102" s="243" t="s">
        <v>32</v>
      </c>
      <c r="AO102" s="242">
        <v>2</v>
      </c>
      <c r="AP102" s="242">
        <v>2</v>
      </c>
      <c r="AQ102" s="243">
        <v>1</v>
      </c>
      <c r="AR102" s="244" t="s">
        <v>32</v>
      </c>
      <c r="AS102" s="243" t="s">
        <v>33</v>
      </c>
      <c r="AT102" s="248" t="s">
        <v>779</v>
      </c>
      <c r="AU102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-1.1666666666666667</v>
      </c>
      <c r="AV102" s="246" t="str">
        <f>IF(AU102&gt;9,"SuperStar",IF(AU102&gt;8,"Star",IF(AU102&gt;6.5,"GoodReg",IF(AU102&gt;5,"Reg",IF(AU102&gt;4,"Bench","Minors")))))</f>
        <v>Minors</v>
      </c>
      <c r="AW102" s="245">
        <f>AVERAGE(X102,Z102,AA102)+IF(OR(X102&gt;7,AND(X102&gt;5,AA102&gt;5)),0.5,0)+IF(Z102&gt;7,0.25,0)+IF(X102&lt;6,-0.5*(6-X102),0)</f>
        <v>2.833333333333333</v>
      </c>
      <c r="AX102" s="245" t="str">
        <f>IF(AW102&gt;9,"SuperStar",IF(AW102&gt;8,"Star",IF(AW102&gt;6.5,"GoodReg",IF(AW102&gt;5,"Reg",IF(AW102&gt;4,"Bench","Minors")))))</f>
        <v>Minors</v>
      </c>
      <c r="AY102" s="246">
        <f>MIN(AU102+(MAX(0,25-L102))^1.5,AW102)</f>
        <v>2.833333333333333</v>
      </c>
      <c r="AZ102" s="246" t="str">
        <f>IF(AY102&gt;9,"SuperStar",IF(AY102&gt;8,"Star",IF(AY102&gt;6.5,"GoodReg",IF(AY102&gt;5,"Reg",IF(AY102&gt;4,"Bench","Minors")))))</f>
        <v>Minors</v>
      </c>
      <c r="BA102" s="247">
        <f>IF(AND(OR(S102+V102&gt;12,AND(S102&gt;6,V102&gt;6)),AO102&gt;6,OR(AP102&gt;=AO102,AP102&gt;6)),1,0)</f>
        <v>0</v>
      </c>
      <c r="BB102" s="248">
        <f>IF(OR(AND(S102&gt;6,W102&gt;6),S102+V102&gt;12),1,0)</f>
        <v>0</v>
      </c>
      <c r="BC102" s="248">
        <f>IF(AND(S102&gt;6,U102&gt;6,V102&gt;6),1,0)</f>
        <v>0</v>
      </c>
      <c r="BD102" s="248">
        <f>IF(AND(U102&gt;7,OR(S102&gt;6,V102&gt;6)),1,0)</f>
        <v>0</v>
      </c>
      <c r="BE102" s="248">
        <f>IF(AND(U102&gt;6,OR(S102&gt;6,V102&gt;6)),1,0)</f>
        <v>0</v>
      </c>
      <c r="BF102" s="248">
        <f>IF(AND(OR(S102&gt;6,U102&gt;6),OR(S102&gt;6,V102&gt;6)),1,0)</f>
        <v>0</v>
      </c>
      <c r="BG102" s="248">
        <f>IF(AND(S102&gt;4,OR(S102&gt;6,U102&gt;6,V102&gt;6)),1,0)</f>
        <v>0</v>
      </c>
      <c r="BH102" s="248">
        <f>IF(AND(S102&gt;4,OR(S102&gt;6,T102&gt;6,U102&gt;6,V102&gt;6)),1,0)</f>
        <v>0</v>
      </c>
      <c r="BI102" s="243">
        <f>IF(AND(S102&gt;4,MAX(S102:W102)&gt;6),1,0)</f>
        <v>0</v>
      </c>
      <c r="BJ102" s="247">
        <f>IF(AND(OR(X102+AA102&gt;12,AND(X102&gt;6,AA102&gt;6)),AO102&gt;6,OR(AP102&gt;=AO102,AP102&gt;6)),1,0)</f>
        <v>0</v>
      </c>
      <c r="BK102" s="248">
        <f>IF(OR(AND(X102&gt;6,AB102&gt;6),X102+AA102&gt;12),1,0)</f>
        <v>0</v>
      </c>
      <c r="BL102" s="248">
        <f>IF(AND(X102&gt;6,Z102&gt;6,AA102&gt;6),1,0)</f>
        <v>0</v>
      </c>
      <c r="BM102" s="248">
        <f>IF(AND(Z102&gt;7,OR(X102&gt;6,AA102&gt;6)),1,0)</f>
        <v>0</v>
      </c>
      <c r="BN102" s="248">
        <f>IF(AND(Z102&gt;6,OR(X102&gt;6,AA102&gt;6)),1,0)</f>
        <v>0</v>
      </c>
      <c r="BO102" s="248">
        <f>IF(AND(OR(X102&gt;6,Z102&gt;6),OR(X102&gt;6,AA102&gt;6)),1,0)</f>
        <v>0</v>
      </c>
      <c r="BP102" s="248">
        <f>IF(AND(X102&gt;4,OR(X102&gt;6,Z102&gt;6,AA102&gt;6)),1,0)</f>
        <v>0</v>
      </c>
      <c r="BQ102" s="248">
        <f>IF(AND(X102&gt;4,OR(X102&gt;6,Y102&gt;6,Z102&gt;6,AA102&gt;6)),1,0)</f>
        <v>0</v>
      </c>
      <c r="BR102" s="243">
        <f>IF(AND(X102&gt;4,MAX(X102:AB102)&gt;6),1,0)</f>
        <v>0</v>
      </c>
      <c r="BS102" s="243">
        <f>IF(AVERAGE(AO102:AP102)&gt;9,1,0)+IF(AVERAGE(AO102:AP102)&gt;7,1,0)+IF(AO102&gt;7,1,0)+IF(AP102&gt;7,1,0)+IF(AQ102&gt;8,1,0)+IF(AQ102&gt;6,1,0)</f>
        <v>0</v>
      </c>
      <c r="BT102" s="249">
        <f>IF(OR(MAX(AG102,AH102,AL102,AN102)&gt;6,MAX(AI102,AJ102,AK102,AM102)&gt;7),2,IF(MAX(AG102:AN102)&gt;4,1,0))</f>
        <v>0</v>
      </c>
      <c r="BU102" s="242" t="str">
        <f>IF(AS102=1,"Yes","")</f>
        <v/>
      </c>
      <c r="BV102" s="241" t="str">
        <f>IF($B102="ML","There",IF(AND($X102&gt;=6,AVERAGE($Z102:$AA102)&gt;=6),"Likely",IF(OR($X102&gt;6,AND($X102=6,AVERAGE($Z102:$AA102)&gt;=3),AND($X102&gt;=5,AVERAGE($Z102:$AA102)&gt;=5),AVERAGE($X102,$Z102:$AA102)&gt;5),"Possible","Unlikely")))</f>
        <v>Unlikely</v>
      </c>
      <c r="BW102" s="242" t="str">
        <f>IF(OR(AND(S102&gt;=6,U102+V102&gt;=12),S102&gt;7),"Start",IF(AND(S102&gt;=5,U102+V102&gt;=8),"Bench","aack!"))</f>
        <v>aack!</v>
      </c>
      <c r="BX102" s="242" t="str">
        <f>IF(OR(AND(X102&gt;=6,Z102+AA102&gt;=12),X102&gt;7),"Start",IF(AND(X102&gt;=5,Z102+AA102&gt;=8),"Bench","aack!"))</f>
        <v>aack!</v>
      </c>
      <c r="BY102" s="242" t="str">
        <f>IF(S102&gt;5,"ML",IF(S102=5,"AAA",IF(S102=4,"AA",IF(S102=3,"A","SS-A"))))</f>
        <v>SS-A</v>
      </c>
      <c r="BZ102" s="242">
        <f>S102-X102</f>
        <v>-2</v>
      </c>
      <c r="CA102" s="242">
        <f>T102-Y102</f>
        <v>-2</v>
      </c>
      <c r="CB102" s="242">
        <f>U102-Z102</f>
        <v>-3</v>
      </c>
      <c r="CC102" s="242">
        <f>V102-AA102</f>
        <v>-4</v>
      </c>
      <c r="CD102" s="242">
        <f>W102-AB102</f>
        <v>-2</v>
      </c>
      <c r="CE102" s="242">
        <f>SUM(BZ102:CD102)</f>
        <v>-13</v>
      </c>
      <c r="CF102" s="242">
        <f>X102+Z102+AA102</f>
        <v>13</v>
      </c>
      <c r="CG102" s="242">
        <f>X102+Z102</f>
        <v>8</v>
      </c>
      <c r="CH102" s="242">
        <f>X102+AA102</f>
        <v>8</v>
      </c>
      <c r="CI102" s="242" t="str">
        <f>IF(L102&gt;24,"Now - Age",IF(S102&gt;6,"Now",IF(X102&lt;6,"With Dev",MIN(X102-S102,7-S102))))</f>
        <v>With Dev</v>
      </c>
      <c r="CJ102" s="257" t="str">
        <f>IF(AG102&lt;&gt;"-","X","")</f>
        <v/>
      </c>
      <c r="CK102" s="257" t="str">
        <f>IF(AND(AH102&lt;&gt;"-",AH102&gt;5),"X","")</f>
        <v/>
      </c>
      <c r="CL102" s="257" t="str">
        <f>IF(AND(AI102&lt;&gt;"-",AI102&gt;5),"X","")</f>
        <v/>
      </c>
      <c r="CM102" s="257" t="str">
        <f>IF(AND(AJ102&lt;&gt;"-",AJ102&gt;4,AC102&gt;6),"X","")</f>
        <v/>
      </c>
      <c r="CN102" s="257" t="str">
        <f>IF(AND(AK102&lt;&gt;"-",AK102&gt;5,AC102&gt;5),"X","")</f>
        <v/>
      </c>
      <c r="CO102" s="257" t="str">
        <f>IF(AND(AL102&lt;&gt;"-",AL102&gt;3),"X","")</f>
        <v/>
      </c>
      <c r="CP102" s="257" t="str">
        <f>IF(AND(AM102&lt;&gt;"-",AM102&gt;6),"X","")</f>
        <v/>
      </c>
      <c r="CQ102" s="257" t="str">
        <f>IF(AND(AN102&lt;&gt;"-",AN102&gt;5,AD102&gt;6),"X","")</f>
        <v/>
      </c>
      <c r="CR102" s="257" t="str">
        <f>IF(COUNTBLANK(CJ102:CQ102)=8,"X","")</f>
        <v>X</v>
      </c>
    </row>
    <row r="103" spans="1:96" s="306" customFormat="1" x14ac:dyDescent="0.25">
      <c r="A103" s="240" t="str">
        <f>H103&amp;" "&amp;I103</f>
        <v>Roberto Rodríguez</v>
      </c>
      <c r="B103" s="240" t="str">
        <f>IF(ISERROR(VLOOKUP(A103,AMA!$C$3:$C$24,1,FALSE)),IF(ISERROR(VLOOKUP(A103,'END-AAA'!$C$6:$C$33,1,FALSE)),IF(ISERROR(VLOOKUP(A103,'DB-AA'!$C$6:$C$33,1,FALSE)),IF(ISERROR(VLOOKUP(A103,'UTR-A'!$C$6:$C$33,1,FALSE)),IF(ISERROR(VLOOKUP(A103,'FAI-S A'!$C$6:$C$33,1,FALSE)),"","S A"),"A"),"AA"),"AAA"),"ML")</f>
        <v/>
      </c>
      <c r="C103" s="241"/>
      <c r="D103" s="242" t="str">
        <f>IF(BL103=1,3,IF(BM103=1,4,IF(BJ103=1,1,IF(BN103=1,5,IF(BK103=1,2,IF(BO103=1,6,IF(BP103=1,7,IF(BQ103=1,8,IF(BR103=1,9,"-")))))))))</f>
        <v>-</v>
      </c>
      <c r="E103" s="242" t="str">
        <f>IF(BC103=1,3,IF(BD103=1,4,IF(BA103=1,1,IF(BE103=1,5,IF(BB103=1,2,IF(BF103=1,6,IF(BG103=1,7,IF(BH103=1,8,IF(BI103=1,9,"-")))))))))</f>
        <v>-</v>
      </c>
      <c r="F103" s="242" t="str">
        <f>IF(OR(OR(Q103="Very High",Q103="High"),AND(OR(Q103="Very High",Q103="High",Q103="Normal"),OR(R103="Very High",R103="High"))),"K","T")</f>
        <v>K</v>
      </c>
      <c r="G103" s="242" t="s">
        <v>71</v>
      </c>
      <c r="H103" s="242" t="s">
        <v>434</v>
      </c>
      <c r="I103" s="242" t="s">
        <v>410</v>
      </c>
      <c r="J103" s="242" t="s">
        <v>810</v>
      </c>
      <c r="K103" s="242" t="s">
        <v>83</v>
      </c>
      <c r="L103" s="242">
        <v>18</v>
      </c>
      <c r="M103" s="242" t="s">
        <v>83</v>
      </c>
      <c r="N103" s="242" t="s">
        <v>83</v>
      </c>
      <c r="O103" s="242" t="s">
        <v>816</v>
      </c>
      <c r="P103" s="243" t="s">
        <v>808</v>
      </c>
      <c r="Q103" s="242" t="s">
        <v>199</v>
      </c>
      <c r="R103" s="243" t="s">
        <v>200</v>
      </c>
      <c r="S103" s="242">
        <v>1</v>
      </c>
      <c r="T103" s="242">
        <v>1</v>
      </c>
      <c r="U103" s="242">
        <v>2</v>
      </c>
      <c r="V103" s="242">
        <v>1</v>
      </c>
      <c r="W103" s="243">
        <v>1</v>
      </c>
      <c r="X103" s="242">
        <v>2</v>
      </c>
      <c r="Y103" s="242">
        <v>3</v>
      </c>
      <c r="Z103" s="242">
        <v>4</v>
      </c>
      <c r="AA103" s="242">
        <v>5</v>
      </c>
      <c r="AB103" s="243">
        <v>2</v>
      </c>
      <c r="AC103" s="242">
        <v>2</v>
      </c>
      <c r="AD103" s="242">
        <v>2</v>
      </c>
      <c r="AE103" s="242">
        <v>4</v>
      </c>
      <c r="AF103" s="242" t="s">
        <v>32</v>
      </c>
      <c r="AG103" s="242" t="s">
        <v>32</v>
      </c>
      <c r="AH103" s="242" t="s">
        <v>32</v>
      </c>
      <c r="AI103" s="242" t="s">
        <v>32</v>
      </c>
      <c r="AJ103" s="242" t="s">
        <v>32</v>
      </c>
      <c r="AK103" s="242" t="s">
        <v>32</v>
      </c>
      <c r="AL103" s="242" t="s">
        <v>32</v>
      </c>
      <c r="AM103" s="242" t="s">
        <v>32</v>
      </c>
      <c r="AN103" s="243" t="s">
        <v>32</v>
      </c>
      <c r="AO103" s="242">
        <v>1</v>
      </c>
      <c r="AP103" s="242">
        <v>1</v>
      </c>
      <c r="AQ103" s="243">
        <v>1</v>
      </c>
      <c r="AR103" s="244" t="s">
        <v>32</v>
      </c>
      <c r="AS103" s="243" t="s">
        <v>33</v>
      </c>
      <c r="AT103" s="248" t="s">
        <v>779</v>
      </c>
      <c r="AU103" s="245">
        <f>AVERAGE(AllBatters[[#This Row],[CON]],AllBatters[[#This Row],[POW]],AllBatters[[#This Row],[EYE]])+IF(OR(AllBatters[[#This Row],[CON]]&gt;7,AND(AllBatters[[#This Row],[CON]]&gt;5,AllBatters[[#This Row],[EYE]]&gt;5)),0.5,0)+IF(AllBatters[[#This Row],[POW]]&gt;7,0.25,0)+IF(AllBatters[[#This Row],[CON]]&lt;6,-0.5*(6-AllBatters[[#This Row],[CON]]),0)</f>
        <v>-1.1666666666666667</v>
      </c>
      <c r="AV103" s="246" t="str">
        <f>IF(AU103&gt;9,"SuperStar",IF(AU103&gt;8,"Star",IF(AU103&gt;6.5,"GoodReg",IF(AU103&gt;5,"Reg",IF(AU103&gt;4,"Bench","Minors")))))</f>
        <v>Minors</v>
      </c>
      <c r="AW103" s="245">
        <f>AVERAGE(X103,Z103,AA103)+IF(OR(X103&gt;7,AND(X103&gt;5,AA103&gt;5)),0.5,0)+IF(Z103&gt;7,0.25,0)+IF(X103&lt;6,-0.5*(6-X103),0)</f>
        <v>1.6666666666666665</v>
      </c>
      <c r="AX103" s="245" t="str">
        <f>IF(AW103&gt;9,"SuperStar",IF(AW103&gt;8,"Star",IF(AW103&gt;6.5,"GoodReg",IF(AW103&gt;5,"Reg",IF(AW103&gt;4,"Bench","Minors")))))</f>
        <v>Minors</v>
      </c>
      <c r="AY103" s="246">
        <f>MIN(AU103+(MAX(0,25-L103))^1.5,AW103)</f>
        <v>1.6666666666666665</v>
      </c>
      <c r="AZ103" s="246" t="str">
        <f>IF(AY103&gt;9,"SuperStar",IF(AY103&gt;8,"Star",IF(AY103&gt;6.5,"GoodReg",IF(AY103&gt;5,"Reg",IF(AY103&gt;4,"Bench","Minors")))))</f>
        <v>Minors</v>
      </c>
      <c r="BA103" s="247">
        <f>IF(AND(OR(S103+V103&gt;12,AND(S103&gt;6,V103&gt;6)),AO103&gt;6,OR(AP103&gt;=AO103,AP103&gt;6)),1,0)</f>
        <v>0</v>
      </c>
      <c r="BB103" s="248">
        <f>IF(OR(AND(S103&gt;6,W103&gt;6),S103+V103&gt;12),1,0)</f>
        <v>0</v>
      </c>
      <c r="BC103" s="248">
        <f>IF(AND(S103&gt;6,U103&gt;6,V103&gt;6),1,0)</f>
        <v>0</v>
      </c>
      <c r="BD103" s="248">
        <f>IF(AND(U103&gt;7,OR(S103&gt;6,V103&gt;6)),1,0)</f>
        <v>0</v>
      </c>
      <c r="BE103" s="248">
        <f>IF(AND(U103&gt;6,OR(S103&gt;6,V103&gt;6)),1,0)</f>
        <v>0</v>
      </c>
      <c r="BF103" s="248">
        <f>IF(AND(OR(S103&gt;6,U103&gt;6),OR(S103&gt;6,V103&gt;6)),1,0)</f>
        <v>0</v>
      </c>
      <c r="BG103" s="248">
        <f>IF(AND(S103&gt;4,OR(S103&gt;6,U103&gt;6,V103&gt;6)),1,0)</f>
        <v>0</v>
      </c>
      <c r="BH103" s="248">
        <f>IF(AND(S103&gt;4,OR(S103&gt;6,T103&gt;6,U103&gt;6,V103&gt;6)),1,0)</f>
        <v>0</v>
      </c>
      <c r="BI103" s="243">
        <f>IF(AND(S103&gt;4,MAX(S103:W103)&gt;6),1,0)</f>
        <v>0</v>
      </c>
      <c r="BJ103" s="247">
        <f>IF(AND(OR(X103+AA103&gt;12,AND(X103&gt;6,AA103&gt;6)),AO103&gt;6,OR(AP103&gt;=AO103,AP103&gt;6)),1,0)</f>
        <v>0</v>
      </c>
      <c r="BK103" s="248">
        <f>IF(OR(AND(X103&gt;6,AB103&gt;6),X103+AA103&gt;12),1,0)</f>
        <v>0</v>
      </c>
      <c r="BL103" s="248">
        <f>IF(AND(X103&gt;6,Z103&gt;6,AA103&gt;6),1,0)</f>
        <v>0</v>
      </c>
      <c r="BM103" s="248">
        <f>IF(AND(Z103&gt;7,OR(X103&gt;6,AA103&gt;6)),1,0)</f>
        <v>0</v>
      </c>
      <c r="BN103" s="248">
        <f>IF(AND(Z103&gt;6,OR(X103&gt;6,AA103&gt;6)),1,0)</f>
        <v>0</v>
      </c>
      <c r="BO103" s="248">
        <f>IF(AND(OR(X103&gt;6,Z103&gt;6),OR(X103&gt;6,AA103&gt;6)),1,0)</f>
        <v>0</v>
      </c>
      <c r="BP103" s="248">
        <f>IF(AND(X103&gt;4,OR(X103&gt;6,Z103&gt;6,AA103&gt;6)),1,0)</f>
        <v>0</v>
      </c>
      <c r="BQ103" s="248">
        <f>IF(AND(X103&gt;4,OR(X103&gt;6,Y103&gt;6,Z103&gt;6,AA103&gt;6)),1,0)</f>
        <v>0</v>
      </c>
      <c r="BR103" s="243">
        <f>IF(AND(X103&gt;4,MAX(X103:AB103)&gt;6),1,0)</f>
        <v>0</v>
      </c>
      <c r="BS103" s="243">
        <f>IF(AVERAGE(AO103:AP103)&gt;9,1,0)+IF(AVERAGE(AO103:AP103)&gt;7,1,0)+IF(AO103&gt;7,1,0)+IF(AP103&gt;7,1,0)+IF(AQ103&gt;8,1,0)+IF(AQ103&gt;6,1,0)</f>
        <v>0</v>
      </c>
      <c r="BT103" s="249">
        <f>IF(OR(MAX(AG103,AH103,AL103,AN103)&gt;6,MAX(AI103,AJ103,AK103,AM103)&gt;7),2,IF(MAX(AG103:AN103)&gt;4,1,0))</f>
        <v>0</v>
      </c>
      <c r="BU103" s="242" t="str">
        <f>IF(AS103=1,"Yes","")</f>
        <v/>
      </c>
      <c r="BV103" s="241" t="str">
        <f>IF($B103="ML","There",IF(AND($X103&gt;=6,AVERAGE($Z103:$AA103)&gt;=6),"Likely",IF(OR($X103&gt;6,AND($X103=6,AVERAGE($Z103:$AA103)&gt;=3),AND($X103&gt;=5,AVERAGE($Z103:$AA103)&gt;=5),AVERAGE($X103,$Z103:$AA103)&gt;5),"Possible","Unlikely")))</f>
        <v>Unlikely</v>
      </c>
      <c r="BW103" s="242" t="str">
        <f>IF(OR(AND(S103&gt;=6,U103+V103&gt;=12),S103&gt;7),"Start",IF(AND(S103&gt;=5,U103+V103&gt;=8),"Bench","aack!"))</f>
        <v>aack!</v>
      </c>
      <c r="BX103" s="242" t="str">
        <f>IF(OR(AND(X103&gt;=6,Z103+AA103&gt;=12),X103&gt;7),"Start",IF(AND(X103&gt;=5,Z103+AA103&gt;=8),"Bench","aack!"))</f>
        <v>aack!</v>
      </c>
      <c r="BY103" s="242" t="str">
        <f>IF(S103&gt;5,"ML",IF(S103=5,"AAA",IF(S103=4,"AA",IF(S103=3,"A","SS-A"))))</f>
        <v>SS-A</v>
      </c>
      <c r="BZ103" s="242">
        <f>S103-X103</f>
        <v>-1</v>
      </c>
      <c r="CA103" s="242">
        <f>T103-Y103</f>
        <v>-2</v>
      </c>
      <c r="CB103" s="242">
        <f>U103-Z103</f>
        <v>-2</v>
      </c>
      <c r="CC103" s="242">
        <f>V103-AA103</f>
        <v>-4</v>
      </c>
      <c r="CD103" s="242">
        <f>W103-AB103</f>
        <v>-1</v>
      </c>
      <c r="CE103" s="242">
        <f>SUM(BZ103:CD103)</f>
        <v>-10</v>
      </c>
      <c r="CF103" s="242">
        <f>X103+Z103+AA103</f>
        <v>11</v>
      </c>
      <c r="CG103" s="242">
        <f>X103+Z103</f>
        <v>6</v>
      </c>
      <c r="CH103" s="242">
        <f>X103+AA103</f>
        <v>7</v>
      </c>
      <c r="CI103" s="242" t="str">
        <f>IF(L103&gt;24,"Now - Age",IF(S103&gt;6,"Now",IF(X103&lt;6,"With Dev",MIN(X103-S103,7-S103))))</f>
        <v>With Dev</v>
      </c>
      <c r="CJ103" s="257" t="str">
        <f>IF(AG103&lt;&gt;"-","X","")</f>
        <v/>
      </c>
      <c r="CK103" s="257" t="str">
        <f>IF(AND(AH103&lt;&gt;"-",AH103&gt;5),"X","")</f>
        <v/>
      </c>
      <c r="CL103" s="257" t="str">
        <f>IF(AND(AI103&lt;&gt;"-",AI103&gt;5),"X","")</f>
        <v/>
      </c>
      <c r="CM103" s="257" t="str">
        <f>IF(AND(AJ103&lt;&gt;"-",AJ103&gt;4,AC103&gt;6),"X","")</f>
        <v/>
      </c>
      <c r="CN103" s="257" t="str">
        <f>IF(AND(AK103&lt;&gt;"-",AK103&gt;5,AC103&gt;5),"X","")</f>
        <v/>
      </c>
      <c r="CO103" s="257" t="str">
        <f>IF(AND(AL103&lt;&gt;"-",AL103&gt;3),"X","")</f>
        <v/>
      </c>
      <c r="CP103" s="257" t="str">
        <f>IF(AND(AM103&lt;&gt;"-",AM103&gt;6),"X","")</f>
        <v/>
      </c>
      <c r="CQ103" s="257" t="str">
        <f>IF(AND(AN103&lt;&gt;"-",AN103&gt;5,AD103&gt;6),"X","")</f>
        <v/>
      </c>
      <c r="CR103" s="257" t="str">
        <f>IF(COUNTBLANK(CJ103:CQ103)=8,"X","")</f>
        <v>X</v>
      </c>
    </row>
    <row r="104" spans="1:96" s="306" customFormat="1" x14ac:dyDescent="0.25">
      <c r="A104" s="240"/>
      <c r="B104" s="240"/>
      <c r="C104" s="241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3"/>
      <c r="Q104" s="242"/>
      <c r="R104" s="243"/>
      <c r="S104" s="242"/>
      <c r="T104" s="242"/>
      <c r="U104" s="242"/>
      <c r="V104" s="242"/>
      <c r="W104" s="243"/>
      <c r="X104" s="242"/>
      <c r="Y104" s="242"/>
      <c r="Z104" s="242"/>
      <c r="AA104" s="242"/>
      <c r="AB104" s="243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3"/>
      <c r="AO104" s="242"/>
      <c r="AP104" s="242"/>
      <c r="AQ104" s="243"/>
      <c r="AR104" s="244"/>
      <c r="AS104" s="243"/>
      <c r="AT104" s="248"/>
      <c r="AU104" s="245"/>
      <c r="AV104" s="246"/>
      <c r="AW104" s="245"/>
      <c r="AX104" s="245"/>
      <c r="AY104" s="246"/>
      <c r="AZ104" s="246"/>
      <c r="BA104" s="247"/>
      <c r="BB104" s="248"/>
      <c r="BC104" s="248"/>
      <c r="BD104" s="248"/>
      <c r="BE104" s="248"/>
      <c r="BF104" s="248"/>
      <c r="BG104" s="248"/>
      <c r="BH104" s="248"/>
      <c r="BI104" s="243"/>
      <c r="BJ104" s="247"/>
      <c r="BK104" s="248"/>
      <c r="BL104" s="248"/>
      <c r="BM104" s="248"/>
      <c r="BN104" s="248"/>
      <c r="BO104" s="248"/>
      <c r="BP104" s="248"/>
      <c r="BQ104" s="248"/>
      <c r="BR104" s="243"/>
      <c r="BS104" s="243"/>
      <c r="BT104" s="249"/>
      <c r="BU104" s="242"/>
      <c r="BV104" s="241"/>
      <c r="BW104" s="242"/>
      <c r="BX104" s="242"/>
      <c r="BY104" s="242"/>
      <c r="BZ104" s="242"/>
      <c r="CA104" s="242"/>
      <c r="CB104" s="242"/>
      <c r="CC104" s="242"/>
      <c r="CD104" s="242"/>
      <c r="CE104" s="242"/>
      <c r="CF104" s="242"/>
      <c r="CG104" s="242"/>
      <c r="CH104" s="242"/>
      <c r="CI104" s="242"/>
      <c r="CJ104" s="257"/>
      <c r="CK104" s="257"/>
      <c r="CL104" s="257"/>
      <c r="CM104" s="257"/>
      <c r="CN104" s="257"/>
      <c r="CO104" s="257"/>
      <c r="CP104" s="257"/>
      <c r="CQ104" s="257"/>
      <c r="CR104" s="257"/>
    </row>
    <row r="105" spans="1:96" s="306" customFormat="1" x14ac:dyDescent="0.25">
      <c r="A105" s="240"/>
      <c r="B105" s="240"/>
      <c r="C105" s="241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3"/>
      <c r="Q105" s="242"/>
      <c r="R105" s="243"/>
      <c r="S105" s="242"/>
      <c r="T105" s="242"/>
      <c r="U105" s="242"/>
      <c r="V105" s="242"/>
      <c r="W105" s="243"/>
      <c r="X105" s="242"/>
      <c r="Y105" s="242"/>
      <c r="Z105" s="242"/>
      <c r="AA105" s="242"/>
      <c r="AB105" s="243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3"/>
      <c r="AO105" s="242"/>
      <c r="AP105" s="242"/>
      <c r="AQ105" s="243"/>
      <c r="AR105" s="244"/>
      <c r="AS105" s="243"/>
      <c r="AT105" s="248"/>
      <c r="AU105" s="245"/>
      <c r="AV105" s="246"/>
      <c r="AW105" s="245"/>
      <c r="AX105" s="245"/>
      <c r="AY105" s="246"/>
      <c r="AZ105" s="246"/>
      <c r="BA105" s="247"/>
      <c r="BB105" s="248"/>
      <c r="BC105" s="248"/>
      <c r="BD105" s="248"/>
      <c r="BE105" s="248"/>
      <c r="BF105" s="248"/>
      <c r="BG105" s="248"/>
      <c r="BH105" s="248"/>
      <c r="BI105" s="243"/>
      <c r="BJ105" s="247"/>
      <c r="BK105" s="248"/>
      <c r="BL105" s="248"/>
      <c r="BM105" s="248"/>
      <c r="BN105" s="248"/>
      <c r="BO105" s="248"/>
      <c r="BP105" s="248"/>
      <c r="BQ105" s="248"/>
      <c r="BR105" s="243"/>
      <c r="BS105" s="243"/>
      <c r="BT105" s="249"/>
      <c r="BU105" s="242"/>
      <c r="BV105" s="241"/>
      <c r="BW105" s="242"/>
      <c r="BX105" s="242"/>
      <c r="BY105" s="242"/>
      <c r="BZ105" s="242"/>
      <c r="CA105" s="242"/>
      <c r="CB105" s="242"/>
      <c r="CC105" s="242"/>
      <c r="CD105" s="242"/>
      <c r="CE105" s="242"/>
      <c r="CF105" s="242"/>
      <c r="CG105" s="242"/>
      <c r="CH105" s="242"/>
      <c r="CI105" s="242"/>
      <c r="CJ105" s="257"/>
      <c r="CK105" s="257"/>
      <c r="CL105" s="257"/>
      <c r="CM105" s="257"/>
      <c r="CN105" s="257"/>
      <c r="CO105" s="257"/>
      <c r="CP105" s="257"/>
      <c r="CQ105" s="257"/>
      <c r="CR105" s="257"/>
    </row>
    <row r="106" spans="1:96" s="306" customFormat="1" x14ac:dyDescent="0.25">
      <c r="A106" s="240"/>
      <c r="B106" s="240"/>
      <c r="C106" s="241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3"/>
      <c r="Q106" s="242"/>
      <c r="R106" s="243"/>
      <c r="S106" s="242"/>
      <c r="T106" s="242"/>
      <c r="U106" s="242"/>
      <c r="V106" s="242"/>
      <c r="W106" s="243"/>
      <c r="X106" s="242"/>
      <c r="Y106" s="242"/>
      <c r="Z106" s="242"/>
      <c r="AA106" s="242"/>
      <c r="AB106" s="243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3"/>
      <c r="AO106" s="242"/>
      <c r="AP106" s="242"/>
      <c r="AQ106" s="243"/>
      <c r="AR106" s="244"/>
      <c r="AS106" s="243"/>
      <c r="AT106" s="248"/>
      <c r="AU106" s="245"/>
      <c r="AV106" s="246"/>
      <c r="AW106" s="245"/>
      <c r="AX106" s="245"/>
      <c r="AY106" s="246"/>
      <c r="AZ106" s="246"/>
      <c r="BA106" s="247"/>
      <c r="BB106" s="248"/>
      <c r="BC106" s="248"/>
      <c r="BD106" s="248"/>
      <c r="BE106" s="248"/>
      <c r="BF106" s="248"/>
      <c r="BG106" s="248"/>
      <c r="BH106" s="248"/>
      <c r="BI106" s="243"/>
      <c r="BJ106" s="247"/>
      <c r="BK106" s="248"/>
      <c r="BL106" s="248"/>
      <c r="BM106" s="248"/>
      <c r="BN106" s="248"/>
      <c r="BO106" s="248"/>
      <c r="BP106" s="248"/>
      <c r="BQ106" s="248"/>
      <c r="BR106" s="243"/>
      <c r="BS106" s="243"/>
      <c r="BT106" s="249"/>
      <c r="BU106" s="242"/>
      <c r="BV106" s="241"/>
      <c r="BW106" s="242"/>
      <c r="BX106" s="242"/>
      <c r="BY106" s="242"/>
      <c r="BZ106" s="242"/>
      <c r="CA106" s="242"/>
      <c r="CB106" s="242"/>
      <c r="CC106" s="242"/>
      <c r="CD106" s="242"/>
      <c r="CE106" s="242"/>
      <c r="CF106" s="242"/>
      <c r="CG106" s="242"/>
      <c r="CH106" s="242"/>
      <c r="CI106" s="242"/>
      <c r="CJ106" s="257"/>
      <c r="CK106" s="257"/>
      <c r="CL106" s="257"/>
      <c r="CM106" s="257"/>
      <c r="CN106" s="257"/>
      <c r="CO106" s="257"/>
      <c r="CP106" s="257"/>
      <c r="CQ106" s="257"/>
      <c r="CR106" s="257"/>
    </row>
    <row r="107" spans="1:96" s="306" customFormat="1" x14ac:dyDescent="0.25">
      <c r="A107" s="240"/>
      <c r="B107" s="240"/>
      <c r="C107" s="241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3"/>
      <c r="Q107" s="242"/>
      <c r="R107" s="243"/>
      <c r="S107" s="242"/>
      <c r="T107" s="242"/>
      <c r="U107" s="242"/>
      <c r="V107" s="242"/>
      <c r="W107" s="243"/>
      <c r="X107" s="242"/>
      <c r="Y107" s="242"/>
      <c r="Z107" s="242"/>
      <c r="AA107" s="242"/>
      <c r="AB107" s="243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3"/>
      <c r="AO107" s="242"/>
      <c r="AP107" s="242"/>
      <c r="AQ107" s="243"/>
      <c r="AR107" s="244"/>
      <c r="AS107" s="243"/>
      <c r="AT107" s="248"/>
      <c r="AU107" s="245"/>
      <c r="AV107" s="246"/>
      <c r="AW107" s="245"/>
      <c r="AX107" s="245"/>
      <c r="AY107" s="246"/>
      <c r="AZ107" s="246"/>
      <c r="BA107" s="247"/>
      <c r="BB107" s="248"/>
      <c r="BC107" s="248"/>
      <c r="BD107" s="248"/>
      <c r="BE107" s="248"/>
      <c r="BF107" s="248"/>
      <c r="BG107" s="248"/>
      <c r="BH107" s="248"/>
      <c r="BI107" s="243"/>
      <c r="BJ107" s="247"/>
      <c r="BK107" s="248"/>
      <c r="BL107" s="248"/>
      <c r="BM107" s="248"/>
      <c r="BN107" s="248"/>
      <c r="BO107" s="248"/>
      <c r="BP107" s="248"/>
      <c r="BQ107" s="248"/>
      <c r="BR107" s="243"/>
      <c r="BS107" s="243"/>
      <c r="BT107" s="249"/>
      <c r="BU107" s="242"/>
      <c r="BV107" s="241"/>
      <c r="BW107" s="242"/>
      <c r="BX107" s="242"/>
      <c r="BY107" s="242"/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/>
      <c r="CJ107" s="257"/>
      <c r="CK107" s="257"/>
      <c r="CL107" s="257"/>
      <c r="CM107" s="257"/>
      <c r="CN107" s="257"/>
      <c r="CO107" s="257"/>
      <c r="CP107" s="257"/>
      <c r="CQ107" s="257"/>
      <c r="CR107" s="257"/>
    </row>
    <row r="108" spans="1:96" s="306" customFormat="1" x14ac:dyDescent="0.25">
      <c r="A108" s="240"/>
      <c r="B108" s="240"/>
      <c r="C108" s="241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3"/>
      <c r="Q108" s="242"/>
      <c r="R108" s="243"/>
      <c r="S108" s="242"/>
      <c r="T108" s="242"/>
      <c r="U108" s="242"/>
      <c r="V108" s="242"/>
      <c r="W108" s="243"/>
      <c r="X108" s="242"/>
      <c r="Y108" s="242"/>
      <c r="Z108" s="242"/>
      <c r="AA108" s="242"/>
      <c r="AB108" s="243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3"/>
      <c r="AO108" s="242"/>
      <c r="AP108" s="242"/>
      <c r="AQ108" s="243"/>
      <c r="AR108" s="244"/>
      <c r="AS108" s="243"/>
      <c r="AT108" s="248"/>
      <c r="AU108" s="245"/>
      <c r="AV108" s="246"/>
      <c r="AW108" s="245"/>
      <c r="AX108" s="245"/>
      <c r="AY108" s="246"/>
      <c r="AZ108" s="246"/>
      <c r="BA108" s="247"/>
      <c r="BB108" s="248"/>
      <c r="BC108" s="248"/>
      <c r="BD108" s="248"/>
      <c r="BE108" s="248"/>
      <c r="BF108" s="248"/>
      <c r="BG108" s="248"/>
      <c r="BH108" s="248"/>
      <c r="BI108" s="243"/>
      <c r="BJ108" s="247"/>
      <c r="BK108" s="248"/>
      <c r="BL108" s="248"/>
      <c r="BM108" s="248"/>
      <c r="BN108" s="248"/>
      <c r="BO108" s="248"/>
      <c r="BP108" s="248"/>
      <c r="BQ108" s="248"/>
      <c r="BR108" s="243"/>
      <c r="BS108" s="243"/>
      <c r="BT108" s="249"/>
      <c r="BU108" s="242"/>
      <c r="BV108" s="241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57"/>
      <c r="CK108" s="257"/>
      <c r="CL108" s="257"/>
      <c r="CM108" s="257"/>
      <c r="CN108" s="257"/>
      <c r="CO108" s="257"/>
      <c r="CP108" s="257"/>
      <c r="CQ108" s="257"/>
      <c r="CR108" s="257"/>
    </row>
    <row r="109" spans="1:96" s="306" customFormat="1" x14ac:dyDescent="0.25">
      <c r="A109" s="240"/>
      <c r="B109" s="240"/>
      <c r="C109" s="241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3"/>
      <c r="Q109" s="242"/>
      <c r="R109" s="243"/>
      <c r="S109" s="242"/>
      <c r="T109" s="242"/>
      <c r="U109" s="242"/>
      <c r="V109" s="242"/>
      <c r="W109" s="243"/>
      <c r="X109" s="242"/>
      <c r="Y109" s="242"/>
      <c r="Z109" s="242"/>
      <c r="AA109" s="242"/>
      <c r="AB109" s="243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3"/>
      <c r="AO109" s="242"/>
      <c r="AP109" s="242"/>
      <c r="AQ109" s="243"/>
      <c r="AR109" s="244"/>
      <c r="AS109" s="243"/>
      <c r="AT109" s="248"/>
      <c r="AU109" s="245"/>
      <c r="AV109" s="246"/>
      <c r="AW109" s="245"/>
      <c r="AX109" s="245"/>
      <c r="AY109" s="246"/>
      <c r="AZ109" s="246"/>
      <c r="BA109" s="247"/>
      <c r="BB109" s="248"/>
      <c r="BC109" s="248"/>
      <c r="BD109" s="248"/>
      <c r="BE109" s="248"/>
      <c r="BF109" s="248"/>
      <c r="BG109" s="248"/>
      <c r="BH109" s="248"/>
      <c r="BI109" s="243"/>
      <c r="BJ109" s="247"/>
      <c r="BK109" s="248"/>
      <c r="BL109" s="248"/>
      <c r="BM109" s="248"/>
      <c r="BN109" s="248"/>
      <c r="BO109" s="248"/>
      <c r="BP109" s="248"/>
      <c r="BQ109" s="248"/>
      <c r="BR109" s="243"/>
      <c r="BS109" s="243"/>
      <c r="BT109" s="249"/>
      <c r="BU109" s="242"/>
      <c r="BV109" s="241"/>
      <c r="BW109" s="242"/>
      <c r="BX109" s="242"/>
      <c r="BY109" s="242"/>
      <c r="BZ109" s="242"/>
      <c r="CA109" s="242"/>
      <c r="CB109" s="242"/>
      <c r="CC109" s="242"/>
      <c r="CD109" s="242"/>
      <c r="CE109" s="242"/>
      <c r="CF109" s="242"/>
      <c r="CG109" s="242"/>
      <c r="CH109" s="242"/>
      <c r="CI109" s="242"/>
      <c r="CJ109" s="257"/>
      <c r="CK109" s="257"/>
      <c r="CL109" s="257"/>
      <c r="CM109" s="257"/>
      <c r="CN109" s="257"/>
      <c r="CO109" s="257"/>
      <c r="CP109" s="257"/>
      <c r="CQ109" s="257"/>
      <c r="CR109" s="257"/>
    </row>
    <row r="110" spans="1:96" s="306" customFormat="1" x14ac:dyDescent="0.25">
      <c r="A110" s="240"/>
      <c r="B110" s="240"/>
      <c r="C110" s="241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3"/>
      <c r="Q110" s="242"/>
      <c r="R110" s="243"/>
      <c r="S110" s="242"/>
      <c r="T110" s="242"/>
      <c r="U110" s="242"/>
      <c r="V110" s="242"/>
      <c r="W110" s="243"/>
      <c r="X110" s="242"/>
      <c r="Y110" s="242"/>
      <c r="Z110" s="242"/>
      <c r="AA110" s="242"/>
      <c r="AB110" s="243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3"/>
      <c r="AO110" s="242"/>
      <c r="AP110" s="242"/>
      <c r="AQ110" s="243"/>
      <c r="AR110" s="244"/>
      <c r="AS110" s="243"/>
      <c r="AT110" s="248"/>
      <c r="AU110" s="245"/>
      <c r="AV110" s="246"/>
      <c r="AW110" s="245"/>
      <c r="AX110" s="245"/>
      <c r="AY110" s="246"/>
      <c r="AZ110" s="246"/>
      <c r="BA110" s="247"/>
      <c r="BB110" s="248"/>
      <c r="BC110" s="248"/>
      <c r="BD110" s="248"/>
      <c r="BE110" s="248"/>
      <c r="BF110" s="248"/>
      <c r="BG110" s="248"/>
      <c r="BH110" s="248"/>
      <c r="BI110" s="243"/>
      <c r="BJ110" s="247"/>
      <c r="BK110" s="248"/>
      <c r="BL110" s="248"/>
      <c r="BM110" s="248"/>
      <c r="BN110" s="248"/>
      <c r="BO110" s="248"/>
      <c r="BP110" s="248"/>
      <c r="BQ110" s="248"/>
      <c r="BR110" s="243"/>
      <c r="BS110" s="243"/>
      <c r="BT110" s="249"/>
      <c r="BU110" s="242"/>
      <c r="BV110" s="241"/>
      <c r="BW110" s="242"/>
      <c r="BX110" s="242"/>
      <c r="BY110" s="242"/>
      <c r="BZ110" s="242"/>
      <c r="CA110" s="242"/>
      <c r="CB110" s="242"/>
      <c r="CC110" s="242"/>
      <c r="CD110" s="242"/>
      <c r="CE110" s="242"/>
      <c r="CF110" s="242"/>
      <c r="CG110" s="242"/>
      <c r="CH110" s="242"/>
      <c r="CI110" s="242"/>
      <c r="CJ110" s="257"/>
      <c r="CK110" s="257"/>
      <c r="CL110" s="257"/>
      <c r="CM110" s="257"/>
      <c r="CN110" s="257"/>
      <c r="CO110" s="257"/>
      <c r="CP110" s="257"/>
      <c r="CQ110" s="257"/>
      <c r="CR110" s="257"/>
    </row>
    <row r="111" spans="1:96" s="306" customFormat="1" x14ac:dyDescent="0.25">
      <c r="A111" s="240"/>
      <c r="B111" s="240"/>
      <c r="C111" s="241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3"/>
      <c r="Q111" s="242"/>
      <c r="R111" s="243"/>
      <c r="S111" s="242"/>
      <c r="T111" s="242"/>
      <c r="U111" s="242"/>
      <c r="V111" s="242"/>
      <c r="W111" s="243"/>
      <c r="X111" s="242"/>
      <c r="Y111" s="242"/>
      <c r="Z111" s="242"/>
      <c r="AA111" s="242"/>
      <c r="AB111" s="243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3"/>
      <c r="AO111" s="242"/>
      <c r="AP111" s="242"/>
      <c r="AQ111" s="243"/>
      <c r="AR111" s="244"/>
      <c r="AS111" s="243"/>
      <c r="AT111" s="248"/>
      <c r="AU111" s="245"/>
      <c r="AV111" s="246"/>
      <c r="AW111" s="245"/>
      <c r="AX111" s="245"/>
      <c r="AY111" s="246"/>
      <c r="AZ111" s="246"/>
      <c r="BA111" s="247"/>
      <c r="BB111" s="248"/>
      <c r="BC111" s="248"/>
      <c r="BD111" s="248"/>
      <c r="BE111" s="248"/>
      <c r="BF111" s="248"/>
      <c r="BG111" s="248"/>
      <c r="BH111" s="248"/>
      <c r="BI111" s="243"/>
      <c r="BJ111" s="247"/>
      <c r="BK111" s="248"/>
      <c r="BL111" s="248"/>
      <c r="BM111" s="248"/>
      <c r="BN111" s="248"/>
      <c r="BO111" s="248"/>
      <c r="BP111" s="248"/>
      <c r="BQ111" s="248"/>
      <c r="BR111" s="243"/>
      <c r="BS111" s="243"/>
      <c r="BT111" s="249"/>
      <c r="BU111" s="242"/>
      <c r="BV111" s="241"/>
      <c r="BW111" s="242"/>
      <c r="BX111" s="242"/>
      <c r="BY111" s="242"/>
      <c r="BZ111" s="242"/>
      <c r="CA111" s="242"/>
      <c r="CB111" s="242"/>
      <c r="CC111" s="242"/>
      <c r="CD111" s="242"/>
      <c r="CE111" s="242"/>
      <c r="CF111" s="242"/>
      <c r="CG111" s="242"/>
      <c r="CH111" s="242"/>
      <c r="CI111" s="242"/>
      <c r="CJ111" s="257"/>
      <c r="CK111" s="257"/>
      <c r="CL111" s="257"/>
      <c r="CM111" s="257"/>
      <c r="CN111" s="257"/>
      <c r="CO111" s="257"/>
      <c r="CP111" s="257"/>
      <c r="CQ111" s="257"/>
      <c r="CR111" s="257"/>
    </row>
    <row r="112" spans="1:96" s="306" customFormat="1" x14ac:dyDescent="0.25">
      <c r="A112" s="240"/>
      <c r="B112" s="240"/>
      <c r="C112" s="241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3"/>
      <c r="Q112" s="242"/>
      <c r="R112" s="243"/>
      <c r="S112" s="242"/>
      <c r="T112" s="242"/>
      <c r="U112" s="242"/>
      <c r="V112" s="242"/>
      <c r="W112" s="243"/>
      <c r="X112" s="242"/>
      <c r="Y112" s="242"/>
      <c r="Z112" s="242"/>
      <c r="AA112" s="242"/>
      <c r="AB112" s="243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3"/>
      <c r="AO112" s="242"/>
      <c r="AP112" s="242"/>
      <c r="AQ112" s="243"/>
      <c r="AR112" s="244"/>
      <c r="AS112" s="243"/>
      <c r="AT112" s="248"/>
      <c r="AU112" s="245"/>
      <c r="AV112" s="246"/>
      <c r="AW112" s="245"/>
      <c r="AX112" s="245"/>
      <c r="AY112" s="246"/>
      <c r="AZ112" s="246"/>
      <c r="BA112" s="247"/>
      <c r="BB112" s="248"/>
      <c r="BC112" s="248"/>
      <c r="BD112" s="248"/>
      <c r="BE112" s="248"/>
      <c r="BF112" s="248"/>
      <c r="BG112" s="248"/>
      <c r="BH112" s="248"/>
      <c r="BI112" s="243"/>
      <c r="BJ112" s="247"/>
      <c r="BK112" s="248"/>
      <c r="BL112" s="248"/>
      <c r="BM112" s="248"/>
      <c r="BN112" s="248"/>
      <c r="BO112" s="248"/>
      <c r="BP112" s="248"/>
      <c r="BQ112" s="248"/>
      <c r="BR112" s="243"/>
      <c r="BS112" s="243"/>
      <c r="BT112" s="249"/>
      <c r="BU112" s="242"/>
      <c r="BV112" s="241"/>
      <c r="BW112" s="242"/>
      <c r="BX112" s="242"/>
      <c r="BY112" s="242"/>
      <c r="BZ112" s="242"/>
      <c r="CA112" s="242"/>
      <c r="CB112" s="242"/>
      <c r="CC112" s="242"/>
      <c r="CD112" s="242"/>
      <c r="CE112" s="242"/>
      <c r="CF112" s="242"/>
      <c r="CG112" s="242"/>
      <c r="CH112" s="242"/>
      <c r="CI112" s="242"/>
      <c r="CJ112" s="257"/>
      <c r="CK112" s="257"/>
      <c r="CL112" s="257"/>
      <c r="CM112" s="257"/>
      <c r="CN112" s="257"/>
      <c r="CO112" s="257"/>
      <c r="CP112" s="257"/>
      <c r="CQ112" s="257"/>
      <c r="CR112" s="257"/>
    </row>
    <row r="113" spans="1:96" s="306" customFormat="1" x14ac:dyDescent="0.25">
      <c r="A113" s="240"/>
      <c r="B113" s="240"/>
      <c r="C113" s="241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3"/>
      <c r="Q113" s="242"/>
      <c r="R113" s="243"/>
      <c r="S113" s="242"/>
      <c r="T113" s="242"/>
      <c r="U113" s="242"/>
      <c r="V113" s="242"/>
      <c r="W113" s="243"/>
      <c r="X113" s="242"/>
      <c r="Y113" s="242"/>
      <c r="Z113" s="242"/>
      <c r="AA113" s="242"/>
      <c r="AB113" s="243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3"/>
      <c r="AO113" s="242"/>
      <c r="AP113" s="242"/>
      <c r="AQ113" s="243"/>
      <c r="AR113" s="244"/>
      <c r="AS113" s="243"/>
      <c r="AT113" s="248"/>
      <c r="AU113" s="245"/>
      <c r="AV113" s="246"/>
      <c r="AW113" s="245"/>
      <c r="AX113" s="245"/>
      <c r="AY113" s="246"/>
      <c r="AZ113" s="246"/>
      <c r="BA113" s="247"/>
      <c r="BB113" s="248"/>
      <c r="BC113" s="248"/>
      <c r="BD113" s="248"/>
      <c r="BE113" s="248"/>
      <c r="BF113" s="248"/>
      <c r="BG113" s="248"/>
      <c r="BH113" s="248"/>
      <c r="BI113" s="243"/>
      <c r="BJ113" s="247"/>
      <c r="BK113" s="248"/>
      <c r="BL113" s="248"/>
      <c r="BM113" s="248"/>
      <c r="BN113" s="248"/>
      <c r="BO113" s="248"/>
      <c r="BP113" s="248"/>
      <c r="BQ113" s="248"/>
      <c r="BR113" s="243"/>
      <c r="BS113" s="243"/>
      <c r="BT113" s="249"/>
      <c r="BU113" s="242"/>
      <c r="BV113" s="241"/>
      <c r="BW113" s="242"/>
      <c r="BX113" s="242"/>
      <c r="BY113" s="242"/>
      <c r="BZ113" s="242"/>
      <c r="CA113" s="242"/>
      <c r="CB113" s="242"/>
      <c r="CC113" s="242"/>
      <c r="CD113" s="242"/>
      <c r="CE113" s="242"/>
      <c r="CF113" s="242"/>
      <c r="CG113" s="242"/>
      <c r="CH113" s="242"/>
      <c r="CI113" s="242"/>
      <c r="CJ113" s="257"/>
      <c r="CK113" s="257"/>
      <c r="CL113" s="257"/>
      <c r="CM113" s="257"/>
      <c r="CN113" s="257"/>
      <c r="CO113" s="257"/>
      <c r="CP113" s="257"/>
      <c r="CQ113" s="257"/>
      <c r="CR113" s="257"/>
    </row>
    <row r="114" spans="1:96" s="306" customFormat="1" x14ac:dyDescent="0.25">
      <c r="A114" s="240"/>
      <c r="B114" s="240"/>
      <c r="C114" s="241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3"/>
      <c r="Q114" s="242"/>
      <c r="R114" s="243"/>
      <c r="S114" s="242"/>
      <c r="T114" s="242"/>
      <c r="U114" s="242"/>
      <c r="V114" s="242"/>
      <c r="W114" s="243"/>
      <c r="X114" s="242"/>
      <c r="Y114" s="242"/>
      <c r="Z114" s="242"/>
      <c r="AA114" s="242"/>
      <c r="AB114" s="243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3"/>
      <c r="AO114" s="242"/>
      <c r="AP114" s="242"/>
      <c r="AQ114" s="243"/>
      <c r="AR114" s="244"/>
      <c r="AS114" s="243"/>
      <c r="AT114" s="248"/>
      <c r="AU114" s="245"/>
      <c r="AV114" s="246"/>
      <c r="AW114" s="245"/>
      <c r="AX114" s="245"/>
      <c r="AY114" s="246"/>
      <c r="AZ114" s="246"/>
      <c r="BA114" s="247"/>
      <c r="BB114" s="248"/>
      <c r="BC114" s="248"/>
      <c r="BD114" s="248"/>
      <c r="BE114" s="248"/>
      <c r="BF114" s="248"/>
      <c r="BG114" s="248"/>
      <c r="BH114" s="248"/>
      <c r="BI114" s="243"/>
      <c r="BJ114" s="247"/>
      <c r="BK114" s="248"/>
      <c r="BL114" s="248"/>
      <c r="BM114" s="248"/>
      <c r="BN114" s="248"/>
      <c r="BO114" s="248"/>
      <c r="BP114" s="248"/>
      <c r="BQ114" s="248"/>
      <c r="BR114" s="243"/>
      <c r="BS114" s="243"/>
      <c r="BT114" s="249"/>
      <c r="BU114" s="242"/>
      <c r="BV114" s="241"/>
      <c r="BW114" s="242"/>
      <c r="BX114" s="242"/>
      <c r="BY114" s="242"/>
      <c r="BZ114" s="242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57"/>
      <c r="CK114" s="257"/>
      <c r="CL114" s="257"/>
      <c r="CM114" s="257"/>
      <c r="CN114" s="257"/>
      <c r="CO114" s="257"/>
      <c r="CP114" s="257"/>
      <c r="CQ114" s="257"/>
      <c r="CR114" s="257"/>
    </row>
    <row r="115" spans="1:96" s="306" customFormat="1" x14ac:dyDescent="0.25">
      <c r="A115" s="240"/>
      <c r="B115" s="240"/>
      <c r="C115" s="241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3"/>
      <c r="Q115" s="242"/>
      <c r="R115" s="243"/>
      <c r="S115" s="242"/>
      <c r="T115" s="242"/>
      <c r="U115" s="242"/>
      <c r="V115" s="242"/>
      <c r="W115" s="243"/>
      <c r="X115" s="242"/>
      <c r="Y115" s="242"/>
      <c r="Z115" s="242"/>
      <c r="AA115" s="242"/>
      <c r="AB115" s="243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3"/>
      <c r="AO115" s="242"/>
      <c r="AP115" s="242"/>
      <c r="AQ115" s="243"/>
      <c r="AR115" s="244"/>
      <c r="AS115" s="243"/>
      <c r="AT115" s="248"/>
      <c r="AU115" s="245"/>
      <c r="AV115" s="246"/>
      <c r="AW115" s="245"/>
      <c r="AX115" s="245"/>
      <c r="AY115" s="246"/>
      <c r="AZ115" s="246"/>
      <c r="BA115" s="247"/>
      <c r="BB115" s="248"/>
      <c r="BC115" s="248"/>
      <c r="BD115" s="248"/>
      <c r="BE115" s="248"/>
      <c r="BF115" s="248"/>
      <c r="BG115" s="248"/>
      <c r="BH115" s="248"/>
      <c r="BI115" s="243"/>
      <c r="BJ115" s="247"/>
      <c r="BK115" s="248"/>
      <c r="BL115" s="248"/>
      <c r="BM115" s="248"/>
      <c r="BN115" s="248"/>
      <c r="BO115" s="248"/>
      <c r="BP115" s="248"/>
      <c r="BQ115" s="248"/>
      <c r="BR115" s="243"/>
      <c r="BS115" s="243"/>
      <c r="BT115" s="249"/>
      <c r="BU115" s="242"/>
      <c r="BV115" s="241"/>
      <c r="BW115" s="242"/>
      <c r="BX115" s="242"/>
      <c r="BY115" s="242"/>
      <c r="BZ115" s="242"/>
      <c r="CA115" s="242"/>
      <c r="CB115" s="242"/>
      <c r="CC115" s="242"/>
      <c r="CD115" s="242"/>
      <c r="CE115" s="242"/>
      <c r="CF115" s="242"/>
      <c r="CG115" s="242"/>
      <c r="CH115" s="242"/>
      <c r="CI115" s="242"/>
      <c r="CJ115" s="257"/>
      <c r="CK115" s="257"/>
      <c r="CL115" s="257"/>
      <c r="CM115" s="257"/>
      <c r="CN115" s="257"/>
      <c r="CO115" s="257"/>
      <c r="CP115" s="257"/>
      <c r="CQ115" s="257"/>
      <c r="CR115" s="257"/>
    </row>
    <row r="116" spans="1:96" s="306" customFormat="1" x14ac:dyDescent="0.25">
      <c r="A116" s="240"/>
      <c r="B116" s="240"/>
      <c r="C116" s="241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3"/>
      <c r="Q116" s="242"/>
      <c r="R116" s="243"/>
      <c r="S116" s="242"/>
      <c r="T116" s="242"/>
      <c r="U116" s="242"/>
      <c r="V116" s="242"/>
      <c r="W116" s="243"/>
      <c r="X116" s="242"/>
      <c r="Y116" s="242"/>
      <c r="Z116" s="242"/>
      <c r="AA116" s="242"/>
      <c r="AB116" s="243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3"/>
      <c r="AO116" s="242"/>
      <c r="AP116" s="242"/>
      <c r="AQ116" s="243"/>
      <c r="AR116" s="244"/>
      <c r="AS116" s="243"/>
      <c r="AT116" s="248"/>
      <c r="AU116" s="245"/>
      <c r="AV116" s="246"/>
      <c r="AW116" s="245"/>
      <c r="AX116" s="245"/>
      <c r="AY116" s="246"/>
      <c r="AZ116" s="246"/>
      <c r="BA116" s="247"/>
      <c r="BB116" s="248"/>
      <c r="BC116" s="248"/>
      <c r="BD116" s="248"/>
      <c r="BE116" s="248"/>
      <c r="BF116" s="248"/>
      <c r="BG116" s="248"/>
      <c r="BH116" s="248"/>
      <c r="BI116" s="243"/>
      <c r="BJ116" s="247"/>
      <c r="BK116" s="248"/>
      <c r="BL116" s="248"/>
      <c r="BM116" s="248"/>
      <c r="BN116" s="248"/>
      <c r="BO116" s="248"/>
      <c r="BP116" s="248"/>
      <c r="BQ116" s="248"/>
      <c r="BR116" s="243"/>
      <c r="BS116" s="243"/>
      <c r="BT116" s="249"/>
      <c r="BU116" s="242"/>
      <c r="BV116" s="241"/>
      <c r="BW116" s="242"/>
      <c r="BX116" s="242"/>
      <c r="BY116" s="242"/>
      <c r="BZ116" s="242"/>
      <c r="CA116" s="242"/>
      <c r="CB116" s="242"/>
      <c r="CC116" s="242"/>
      <c r="CD116" s="242"/>
      <c r="CE116" s="242"/>
      <c r="CF116" s="242"/>
      <c r="CG116" s="242"/>
      <c r="CH116" s="242"/>
      <c r="CI116" s="242"/>
      <c r="CJ116" s="257"/>
      <c r="CK116" s="257"/>
      <c r="CL116" s="257"/>
      <c r="CM116" s="257"/>
      <c r="CN116" s="257"/>
      <c r="CO116" s="257"/>
      <c r="CP116" s="257"/>
      <c r="CQ116" s="257"/>
      <c r="CR116" s="257"/>
    </row>
    <row r="117" spans="1:96" s="306" customFormat="1" x14ac:dyDescent="0.25">
      <c r="A117" s="240"/>
      <c r="B117" s="240"/>
      <c r="C117" s="241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3"/>
      <c r="Q117" s="242"/>
      <c r="R117" s="243"/>
      <c r="S117" s="242"/>
      <c r="T117" s="242"/>
      <c r="U117" s="242"/>
      <c r="V117" s="242"/>
      <c r="W117" s="243"/>
      <c r="X117" s="242"/>
      <c r="Y117" s="242"/>
      <c r="Z117" s="242"/>
      <c r="AA117" s="242"/>
      <c r="AB117" s="243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3"/>
      <c r="AO117" s="242"/>
      <c r="AP117" s="242"/>
      <c r="AQ117" s="243"/>
      <c r="AR117" s="244"/>
      <c r="AS117" s="243"/>
      <c r="AT117" s="248"/>
      <c r="AU117" s="245"/>
      <c r="AV117" s="246"/>
      <c r="AW117" s="245"/>
      <c r="AX117" s="245"/>
      <c r="AY117" s="246"/>
      <c r="AZ117" s="246"/>
      <c r="BA117" s="247"/>
      <c r="BB117" s="248"/>
      <c r="BC117" s="248"/>
      <c r="BD117" s="248"/>
      <c r="BE117" s="248"/>
      <c r="BF117" s="248"/>
      <c r="BG117" s="248"/>
      <c r="BH117" s="248"/>
      <c r="BI117" s="243"/>
      <c r="BJ117" s="247"/>
      <c r="BK117" s="248"/>
      <c r="BL117" s="248"/>
      <c r="BM117" s="248"/>
      <c r="BN117" s="248"/>
      <c r="BO117" s="248"/>
      <c r="BP117" s="248"/>
      <c r="BQ117" s="248"/>
      <c r="BR117" s="243"/>
      <c r="BS117" s="243"/>
      <c r="BT117" s="249"/>
      <c r="BU117" s="242"/>
      <c r="BV117" s="241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57"/>
      <c r="CK117" s="257"/>
      <c r="CL117" s="257"/>
      <c r="CM117" s="257"/>
      <c r="CN117" s="257"/>
      <c r="CO117" s="257"/>
      <c r="CP117" s="257"/>
      <c r="CQ117" s="257"/>
      <c r="CR117" s="257"/>
    </row>
    <row r="118" spans="1:96" s="306" customFormat="1" x14ac:dyDescent="0.25">
      <c r="A118" s="240"/>
      <c r="B118" s="240"/>
      <c r="C118" s="241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3"/>
      <c r="Q118" s="242"/>
      <c r="R118" s="243"/>
      <c r="S118" s="242"/>
      <c r="T118" s="242"/>
      <c r="U118" s="242"/>
      <c r="V118" s="242"/>
      <c r="W118" s="243"/>
      <c r="X118" s="242"/>
      <c r="Y118" s="242"/>
      <c r="Z118" s="242"/>
      <c r="AA118" s="242"/>
      <c r="AB118" s="243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3"/>
      <c r="AO118" s="242"/>
      <c r="AP118" s="242"/>
      <c r="AQ118" s="243"/>
      <c r="AR118" s="244"/>
      <c r="AS118" s="243"/>
      <c r="AT118" s="248"/>
      <c r="AU118" s="245"/>
      <c r="AV118" s="246"/>
      <c r="AW118" s="245"/>
      <c r="AX118" s="245"/>
      <c r="AY118" s="246"/>
      <c r="AZ118" s="246"/>
      <c r="BA118" s="247"/>
      <c r="BB118" s="248"/>
      <c r="BC118" s="248"/>
      <c r="BD118" s="248"/>
      <c r="BE118" s="248"/>
      <c r="BF118" s="248"/>
      <c r="BG118" s="248"/>
      <c r="BH118" s="248"/>
      <c r="BI118" s="243"/>
      <c r="BJ118" s="247"/>
      <c r="BK118" s="248"/>
      <c r="BL118" s="248"/>
      <c r="BM118" s="248"/>
      <c r="BN118" s="248"/>
      <c r="BO118" s="248"/>
      <c r="BP118" s="248"/>
      <c r="BQ118" s="248"/>
      <c r="BR118" s="243"/>
      <c r="BS118" s="243"/>
      <c r="BT118" s="249"/>
      <c r="BU118" s="242"/>
      <c r="BV118" s="241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57"/>
      <c r="CK118" s="257"/>
      <c r="CL118" s="257"/>
      <c r="CM118" s="257"/>
      <c r="CN118" s="257"/>
      <c r="CO118" s="257"/>
      <c r="CP118" s="257"/>
      <c r="CQ118" s="257"/>
      <c r="CR118" s="257"/>
    </row>
    <row r="119" spans="1:96" s="306" customFormat="1" x14ac:dyDescent="0.25">
      <c r="A119" s="240"/>
      <c r="B119" s="240"/>
      <c r="C119" s="241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3"/>
      <c r="Q119" s="242"/>
      <c r="R119" s="243"/>
      <c r="S119" s="242"/>
      <c r="T119" s="242"/>
      <c r="U119" s="242"/>
      <c r="V119" s="242"/>
      <c r="W119" s="243"/>
      <c r="X119" s="242"/>
      <c r="Y119" s="242"/>
      <c r="Z119" s="242"/>
      <c r="AA119" s="242"/>
      <c r="AB119" s="243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3"/>
      <c r="AO119" s="242"/>
      <c r="AP119" s="242"/>
      <c r="AQ119" s="243"/>
      <c r="AR119" s="244"/>
      <c r="AS119" s="243"/>
      <c r="AT119" s="248"/>
      <c r="AU119" s="245"/>
      <c r="AV119" s="246"/>
      <c r="AW119" s="245"/>
      <c r="AX119" s="245"/>
      <c r="AY119" s="246"/>
      <c r="AZ119" s="246"/>
      <c r="BA119" s="247"/>
      <c r="BB119" s="248"/>
      <c r="BC119" s="248"/>
      <c r="BD119" s="248"/>
      <c r="BE119" s="248"/>
      <c r="BF119" s="248"/>
      <c r="BG119" s="248"/>
      <c r="BH119" s="248"/>
      <c r="BI119" s="243"/>
      <c r="BJ119" s="247"/>
      <c r="BK119" s="248"/>
      <c r="BL119" s="248"/>
      <c r="BM119" s="248"/>
      <c r="BN119" s="248"/>
      <c r="BO119" s="248"/>
      <c r="BP119" s="248"/>
      <c r="BQ119" s="248"/>
      <c r="BR119" s="243"/>
      <c r="BS119" s="243"/>
      <c r="BT119" s="249"/>
      <c r="BU119" s="242"/>
      <c r="BV119" s="241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57"/>
      <c r="CK119" s="257"/>
      <c r="CL119" s="257"/>
      <c r="CM119" s="257"/>
      <c r="CN119" s="257"/>
      <c r="CO119" s="257"/>
      <c r="CP119" s="257"/>
      <c r="CQ119" s="257"/>
      <c r="CR119" s="257"/>
    </row>
    <row r="120" spans="1:96" s="306" customFormat="1" x14ac:dyDescent="0.25">
      <c r="A120" s="240"/>
      <c r="B120" s="240"/>
      <c r="C120" s="241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3"/>
      <c r="Q120" s="242"/>
      <c r="R120" s="243"/>
      <c r="S120" s="242"/>
      <c r="T120" s="242"/>
      <c r="U120" s="242"/>
      <c r="V120" s="242"/>
      <c r="W120" s="243"/>
      <c r="X120" s="242"/>
      <c r="Y120" s="242"/>
      <c r="Z120" s="242"/>
      <c r="AA120" s="242"/>
      <c r="AB120" s="243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3"/>
      <c r="AO120" s="242"/>
      <c r="AP120" s="242"/>
      <c r="AQ120" s="243"/>
      <c r="AR120" s="244"/>
      <c r="AS120" s="243"/>
      <c r="AT120" s="248"/>
      <c r="AU120" s="245"/>
      <c r="AV120" s="246"/>
      <c r="AW120" s="245"/>
      <c r="AX120" s="245"/>
      <c r="AY120" s="246"/>
      <c r="AZ120" s="246"/>
      <c r="BA120" s="247"/>
      <c r="BB120" s="248"/>
      <c r="BC120" s="248"/>
      <c r="BD120" s="248"/>
      <c r="BE120" s="248"/>
      <c r="BF120" s="248"/>
      <c r="BG120" s="248"/>
      <c r="BH120" s="248"/>
      <c r="BI120" s="243"/>
      <c r="BJ120" s="247"/>
      <c r="BK120" s="248"/>
      <c r="BL120" s="248"/>
      <c r="BM120" s="248"/>
      <c r="BN120" s="248"/>
      <c r="BO120" s="248"/>
      <c r="BP120" s="248"/>
      <c r="BQ120" s="248"/>
      <c r="BR120" s="243"/>
      <c r="BS120" s="243"/>
      <c r="BT120" s="249"/>
      <c r="BU120" s="242"/>
      <c r="BV120" s="241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57"/>
      <c r="CK120" s="257"/>
      <c r="CL120" s="257"/>
      <c r="CM120" s="257"/>
      <c r="CN120" s="257"/>
      <c r="CO120" s="257"/>
      <c r="CP120" s="257"/>
      <c r="CQ120" s="257"/>
      <c r="CR120" s="257"/>
    </row>
    <row r="121" spans="1:96" s="306" customFormat="1" x14ac:dyDescent="0.25">
      <c r="A121" s="240"/>
      <c r="B121" s="240"/>
      <c r="C121" s="241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3"/>
      <c r="Q121" s="242"/>
      <c r="R121" s="243"/>
      <c r="S121" s="242"/>
      <c r="T121" s="242"/>
      <c r="U121" s="242"/>
      <c r="V121" s="242"/>
      <c r="W121" s="243"/>
      <c r="X121" s="242"/>
      <c r="Y121" s="242"/>
      <c r="Z121" s="242"/>
      <c r="AA121" s="242"/>
      <c r="AB121" s="243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3"/>
      <c r="AO121" s="242"/>
      <c r="AP121" s="242"/>
      <c r="AQ121" s="243"/>
      <c r="AR121" s="244"/>
      <c r="AS121" s="243"/>
      <c r="AT121" s="248"/>
      <c r="AU121" s="245"/>
      <c r="AV121" s="246"/>
      <c r="AW121" s="245"/>
      <c r="AX121" s="245"/>
      <c r="AY121" s="246"/>
      <c r="AZ121" s="246"/>
      <c r="BA121" s="247"/>
      <c r="BB121" s="248"/>
      <c r="BC121" s="248"/>
      <c r="BD121" s="248"/>
      <c r="BE121" s="248"/>
      <c r="BF121" s="248"/>
      <c r="BG121" s="248"/>
      <c r="BH121" s="248"/>
      <c r="BI121" s="243"/>
      <c r="BJ121" s="247"/>
      <c r="BK121" s="248"/>
      <c r="BL121" s="248"/>
      <c r="BM121" s="248"/>
      <c r="BN121" s="248"/>
      <c r="BO121" s="248"/>
      <c r="BP121" s="248"/>
      <c r="BQ121" s="248"/>
      <c r="BR121" s="243"/>
      <c r="BS121" s="243"/>
      <c r="BT121" s="249"/>
      <c r="BU121" s="242"/>
      <c r="BV121" s="241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57"/>
      <c r="CK121" s="257"/>
      <c r="CL121" s="257"/>
      <c r="CM121" s="257"/>
      <c r="CN121" s="257"/>
      <c r="CO121" s="257"/>
      <c r="CP121" s="257"/>
      <c r="CQ121" s="257"/>
      <c r="CR121" s="257"/>
    </row>
    <row r="122" spans="1:96" s="306" customFormat="1" x14ac:dyDescent="0.25">
      <c r="A122" s="240"/>
      <c r="B122" s="240"/>
      <c r="C122" s="241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3"/>
      <c r="Q122" s="242"/>
      <c r="R122" s="243"/>
      <c r="S122" s="242"/>
      <c r="T122" s="242"/>
      <c r="U122" s="242"/>
      <c r="V122" s="242"/>
      <c r="W122" s="243"/>
      <c r="X122" s="242"/>
      <c r="Y122" s="242"/>
      <c r="Z122" s="242"/>
      <c r="AA122" s="242"/>
      <c r="AB122" s="243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3"/>
      <c r="AO122" s="242"/>
      <c r="AP122" s="242"/>
      <c r="AQ122" s="243"/>
      <c r="AR122" s="244"/>
      <c r="AS122" s="243"/>
      <c r="AT122" s="248"/>
      <c r="AU122" s="245"/>
      <c r="AV122" s="246"/>
      <c r="AW122" s="245"/>
      <c r="AX122" s="245"/>
      <c r="AY122" s="246"/>
      <c r="AZ122" s="246"/>
      <c r="BA122" s="247"/>
      <c r="BB122" s="248"/>
      <c r="BC122" s="248"/>
      <c r="BD122" s="248"/>
      <c r="BE122" s="248"/>
      <c r="BF122" s="248"/>
      <c r="BG122" s="248"/>
      <c r="BH122" s="248"/>
      <c r="BI122" s="243"/>
      <c r="BJ122" s="247"/>
      <c r="BK122" s="248"/>
      <c r="BL122" s="248"/>
      <c r="BM122" s="248"/>
      <c r="BN122" s="248"/>
      <c r="BO122" s="248"/>
      <c r="BP122" s="248"/>
      <c r="BQ122" s="248"/>
      <c r="BR122" s="243"/>
      <c r="BS122" s="243"/>
      <c r="BT122" s="249"/>
      <c r="BU122" s="242"/>
      <c r="BV122" s="241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57"/>
      <c r="CK122" s="257"/>
      <c r="CL122" s="257"/>
      <c r="CM122" s="257"/>
      <c r="CN122" s="257"/>
      <c r="CO122" s="257"/>
      <c r="CP122" s="257"/>
      <c r="CQ122" s="257"/>
      <c r="CR122" s="257"/>
    </row>
    <row r="123" spans="1:96" s="306" customFormat="1" x14ac:dyDescent="0.25">
      <c r="A123" s="240"/>
      <c r="B123" s="240"/>
      <c r="C123" s="241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3"/>
      <c r="Q123" s="242"/>
      <c r="R123" s="243"/>
      <c r="S123" s="242"/>
      <c r="T123" s="242"/>
      <c r="U123" s="242"/>
      <c r="V123" s="242"/>
      <c r="W123" s="243"/>
      <c r="X123" s="242"/>
      <c r="Y123" s="242"/>
      <c r="Z123" s="242"/>
      <c r="AA123" s="242"/>
      <c r="AB123" s="243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3"/>
      <c r="AO123" s="242"/>
      <c r="AP123" s="242"/>
      <c r="AQ123" s="243"/>
      <c r="AR123" s="244"/>
      <c r="AS123" s="243"/>
      <c r="AT123" s="248"/>
      <c r="AU123" s="245"/>
      <c r="AV123" s="246"/>
      <c r="AW123" s="245"/>
      <c r="AX123" s="245"/>
      <c r="AY123" s="246"/>
      <c r="AZ123" s="246"/>
      <c r="BA123" s="247"/>
      <c r="BB123" s="248"/>
      <c r="BC123" s="248"/>
      <c r="BD123" s="248"/>
      <c r="BE123" s="248"/>
      <c r="BF123" s="248"/>
      <c r="BG123" s="248"/>
      <c r="BH123" s="248"/>
      <c r="BI123" s="243"/>
      <c r="BJ123" s="247"/>
      <c r="BK123" s="248"/>
      <c r="BL123" s="248"/>
      <c r="BM123" s="248"/>
      <c r="BN123" s="248"/>
      <c r="BO123" s="248"/>
      <c r="BP123" s="248"/>
      <c r="BQ123" s="248"/>
      <c r="BR123" s="243"/>
      <c r="BS123" s="243"/>
      <c r="BT123" s="249"/>
      <c r="BU123" s="242"/>
      <c r="BV123" s="241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57"/>
      <c r="CK123" s="257"/>
      <c r="CL123" s="257"/>
      <c r="CM123" s="257"/>
      <c r="CN123" s="257"/>
      <c r="CO123" s="257"/>
      <c r="CP123" s="257"/>
      <c r="CQ123" s="257"/>
      <c r="CR123" s="257"/>
    </row>
    <row r="124" spans="1:96" s="306" customFormat="1" x14ac:dyDescent="0.25">
      <c r="A124" s="240"/>
      <c r="B124" s="240"/>
      <c r="C124" s="241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3"/>
      <c r="Q124" s="242"/>
      <c r="R124" s="243"/>
      <c r="S124" s="242"/>
      <c r="T124" s="242"/>
      <c r="U124" s="242"/>
      <c r="V124" s="242"/>
      <c r="W124" s="243"/>
      <c r="X124" s="242"/>
      <c r="Y124" s="242"/>
      <c r="Z124" s="242"/>
      <c r="AA124" s="242"/>
      <c r="AB124" s="243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3"/>
      <c r="AO124" s="242"/>
      <c r="AP124" s="242"/>
      <c r="AQ124" s="243"/>
      <c r="AR124" s="244"/>
      <c r="AS124" s="243"/>
      <c r="AT124" s="248"/>
      <c r="AU124" s="245"/>
      <c r="AV124" s="246"/>
      <c r="AW124" s="245"/>
      <c r="AX124" s="245"/>
      <c r="AY124" s="246"/>
      <c r="AZ124" s="246"/>
      <c r="BA124" s="247"/>
      <c r="BB124" s="248"/>
      <c r="BC124" s="248"/>
      <c r="BD124" s="248"/>
      <c r="BE124" s="248"/>
      <c r="BF124" s="248"/>
      <c r="BG124" s="248"/>
      <c r="BH124" s="248"/>
      <c r="BI124" s="243"/>
      <c r="BJ124" s="247"/>
      <c r="BK124" s="248"/>
      <c r="BL124" s="248"/>
      <c r="BM124" s="248"/>
      <c r="BN124" s="248"/>
      <c r="BO124" s="248"/>
      <c r="BP124" s="248"/>
      <c r="BQ124" s="248"/>
      <c r="BR124" s="243"/>
      <c r="BS124" s="243"/>
      <c r="BT124" s="249"/>
      <c r="BU124" s="242"/>
      <c r="BV124" s="241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57"/>
      <c r="CK124" s="257"/>
      <c r="CL124" s="257"/>
      <c r="CM124" s="257"/>
      <c r="CN124" s="257"/>
      <c r="CO124" s="257"/>
      <c r="CP124" s="257"/>
      <c r="CQ124" s="257"/>
      <c r="CR124" s="257"/>
    </row>
    <row r="125" spans="1:96" s="306" customFormat="1" x14ac:dyDescent="0.25">
      <c r="A125" s="240"/>
      <c r="B125" s="240"/>
      <c r="C125" s="241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3"/>
      <c r="Q125" s="242"/>
      <c r="R125" s="243"/>
      <c r="S125" s="242"/>
      <c r="T125" s="242"/>
      <c r="U125" s="242"/>
      <c r="V125" s="242"/>
      <c r="W125" s="243"/>
      <c r="X125" s="242"/>
      <c r="Y125" s="242"/>
      <c r="Z125" s="242"/>
      <c r="AA125" s="242"/>
      <c r="AB125" s="243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3"/>
      <c r="AO125" s="242"/>
      <c r="AP125" s="242"/>
      <c r="AQ125" s="243"/>
      <c r="AR125" s="244"/>
      <c r="AS125" s="243"/>
      <c r="AT125" s="248"/>
      <c r="AU125" s="245"/>
      <c r="AV125" s="246"/>
      <c r="AW125" s="245"/>
      <c r="AX125" s="245"/>
      <c r="AY125" s="246"/>
      <c r="AZ125" s="246"/>
      <c r="BA125" s="247"/>
      <c r="BB125" s="248"/>
      <c r="BC125" s="248"/>
      <c r="BD125" s="248"/>
      <c r="BE125" s="248"/>
      <c r="BF125" s="248"/>
      <c r="BG125" s="248"/>
      <c r="BH125" s="248"/>
      <c r="BI125" s="243"/>
      <c r="BJ125" s="247"/>
      <c r="BK125" s="248"/>
      <c r="BL125" s="248"/>
      <c r="BM125" s="248"/>
      <c r="BN125" s="248"/>
      <c r="BO125" s="248"/>
      <c r="BP125" s="248"/>
      <c r="BQ125" s="248"/>
      <c r="BR125" s="243"/>
      <c r="BS125" s="243"/>
      <c r="BT125" s="249"/>
      <c r="BU125" s="242"/>
      <c r="BV125" s="241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57"/>
      <c r="CK125" s="257"/>
      <c r="CL125" s="257"/>
      <c r="CM125" s="257"/>
      <c r="CN125" s="257"/>
      <c r="CO125" s="257"/>
      <c r="CP125" s="257"/>
      <c r="CQ125" s="257"/>
      <c r="CR125" s="257"/>
    </row>
    <row r="126" spans="1:96" s="306" customFormat="1" x14ac:dyDescent="0.25">
      <c r="A126" s="240"/>
      <c r="B126" s="240"/>
      <c r="C126" s="241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3"/>
      <c r="Q126" s="242"/>
      <c r="R126" s="243"/>
      <c r="S126" s="242"/>
      <c r="T126" s="242"/>
      <c r="U126" s="242"/>
      <c r="V126" s="242"/>
      <c r="W126" s="243"/>
      <c r="X126" s="242"/>
      <c r="Y126" s="242"/>
      <c r="Z126" s="242"/>
      <c r="AA126" s="242"/>
      <c r="AB126" s="243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3"/>
      <c r="AO126" s="242"/>
      <c r="AP126" s="242"/>
      <c r="AQ126" s="243"/>
      <c r="AR126" s="244"/>
      <c r="AS126" s="243"/>
      <c r="AT126" s="248"/>
      <c r="AU126" s="245"/>
      <c r="AV126" s="246"/>
      <c r="AW126" s="245"/>
      <c r="AX126" s="245"/>
      <c r="AY126" s="246"/>
      <c r="AZ126" s="246"/>
      <c r="BA126" s="247"/>
      <c r="BB126" s="248"/>
      <c r="BC126" s="248"/>
      <c r="BD126" s="248"/>
      <c r="BE126" s="248"/>
      <c r="BF126" s="248"/>
      <c r="BG126" s="248"/>
      <c r="BH126" s="248"/>
      <c r="BI126" s="243"/>
      <c r="BJ126" s="247"/>
      <c r="BK126" s="248"/>
      <c r="BL126" s="248"/>
      <c r="BM126" s="248"/>
      <c r="BN126" s="248"/>
      <c r="BO126" s="248"/>
      <c r="BP126" s="248"/>
      <c r="BQ126" s="248"/>
      <c r="BR126" s="243"/>
      <c r="BS126" s="243"/>
      <c r="BT126" s="249"/>
      <c r="BU126" s="242"/>
      <c r="BV126" s="241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57"/>
      <c r="CK126" s="257"/>
      <c r="CL126" s="257"/>
      <c r="CM126" s="257"/>
      <c r="CN126" s="257"/>
      <c r="CO126" s="257"/>
      <c r="CP126" s="257"/>
      <c r="CQ126" s="257"/>
      <c r="CR126" s="257"/>
    </row>
    <row r="127" spans="1:96" s="306" customFormat="1" x14ac:dyDescent="0.25">
      <c r="A127" s="240"/>
      <c r="B127" s="240"/>
      <c r="C127" s="241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3"/>
      <c r="Q127" s="242"/>
      <c r="R127" s="243"/>
      <c r="S127" s="242"/>
      <c r="T127" s="242"/>
      <c r="U127" s="242"/>
      <c r="V127" s="242"/>
      <c r="W127" s="243"/>
      <c r="X127" s="242"/>
      <c r="Y127" s="242"/>
      <c r="Z127" s="242"/>
      <c r="AA127" s="242"/>
      <c r="AB127" s="243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3"/>
      <c r="AO127" s="242"/>
      <c r="AP127" s="242"/>
      <c r="AQ127" s="243"/>
      <c r="AR127" s="244"/>
      <c r="AS127" s="243"/>
      <c r="AT127" s="248"/>
      <c r="AU127" s="245"/>
      <c r="AV127" s="246"/>
      <c r="AW127" s="245"/>
      <c r="AX127" s="245"/>
      <c r="AY127" s="246"/>
      <c r="AZ127" s="246"/>
      <c r="BA127" s="247"/>
      <c r="BB127" s="248"/>
      <c r="BC127" s="248"/>
      <c r="BD127" s="248"/>
      <c r="BE127" s="248"/>
      <c r="BF127" s="248"/>
      <c r="BG127" s="248"/>
      <c r="BH127" s="248"/>
      <c r="BI127" s="243"/>
      <c r="BJ127" s="247"/>
      <c r="BK127" s="248"/>
      <c r="BL127" s="248"/>
      <c r="BM127" s="248"/>
      <c r="BN127" s="248"/>
      <c r="BO127" s="248"/>
      <c r="BP127" s="248"/>
      <c r="BQ127" s="248"/>
      <c r="BR127" s="243"/>
      <c r="BS127" s="243"/>
      <c r="BT127" s="249"/>
      <c r="BU127" s="242"/>
      <c r="BV127" s="241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57"/>
      <c r="CK127" s="257"/>
      <c r="CL127" s="257"/>
      <c r="CM127" s="257"/>
      <c r="CN127" s="257"/>
      <c r="CO127" s="257"/>
      <c r="CP127" s="257"/>
      <c r="CQ127" s="257"/>
      <c r="CR127" s="257"/>
    </row>
    <row r="128" spans="1:96" s="306" customFormat="1" x14ac:dyDescent="0.25">
      <c r="A128" s="240"/>
      <c r="B128" s="240"/>
      <c r="C128" s="241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3"/>
      <c r="Q128" s="242"/>
      <c r="R128" s="243"/>
      <c r="S128" s="242"/>
      <c r="T128" s="242"/>
      <c r="U128" s="242"/>
      <c r="V128" s="242"/>
      <c r="W128" s="243"/>
      <c r="X128" s="242"/>
      <c r="Y128" s="242"/>
      <c r="Z128" s="242"/>
      <c r="AA128" s="242"/>
      <c r="AB128" s="243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3"/>
      <c r="AO128" s="242"/>
      <c r="AP128" s="242"/>
      <c r="AQ128" s="243"/>
      <c r="AR128" s="244"/>
      <c r="AS128" s="243"/>
      <c r="AT128" s="248"/>
      <c r="AU128" s="245"/>
      <c r="AV128" s="246"/>
      <c r="AW128" s="245"/>
      <c r="AX128" s="245"/>
      <c r="AY128" s="246"/>
      <c r="AZ128" s="246"/>
      <c r="BA128" s="247"/>
      <c r="BB128" s="248"/>
      <c r="BC128" s="248"/>
      <c r="BD128" s="248"/>
      <c r="BE128" s="248"/>
      <c r="BF128" s="248"/>
      <c r="BG128" s="248"/>
      <c r="BH128" s="248"/>
      <c r="BI128" s="243"/>
      <c r="BJ128" s="247"/>
      <c r="BK128" s="248"/>
      <c r="BL128" s="248"/>
      <c r="BM128" s="248"/>
      <c r="BN128" s="248"/>
      <c r="BO128" s="248"/>
      <c r="BP128" s="248"/>
      <c r="BQ128" s="248"/>
      <c r="BR128" s="243"/>
      <c r="BS128" s="243"/>
      <c r="BT128" s="249"/>
      <c r="BU128" s="242"/>
      <c r="BV128" s="241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57"/>
      <c r="CK128" s="257"/>
      <c r="CL128" s="257"/>
      <c r="CM128" s="257"/>
      <c r="CN128" s="257"/>
      <c r="CO128" s="257"/>
      <c r="CP128" s="257"/>
      <c r="CQ128" s="257"/>
      <c r="CR128" s="257"/>
    </row>
    <row r="129" spans="1:96" s="306" customFormat="1" x14ac:dyDescent="0.25">
      <c r="A129" s="240"/>
      <c r="B129" s="240"/>
      <c r="C129" s="241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3"/>
      <c r="Q129" s="242"/>
      <c r="R129" s="243"/>
      <c r="S129" s="242"/>
      <c r="T129" s="242"/>
      <c r="U129" s="242"/>
      <c r="V129" s="242"/>
      <c r="W129" s="243"/>
      <c r="X129" s="242"/>
      <c r="Y129" s="242"/>
      <c r="Z129" s="242"/>
      <c r="AA129" s="242"/>
      <c r="AB129" s="243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3"/>
      <c r="AO129" s="242"/>
      <c r="AP129" s="242"/>
      <c r="AQ129" s="243"/>
      <c r="AR129" s="244"/>
      <c r="AS129" s="243"/>
      <c r="AT129" s="248"/>
      <c r="AU129" s="245"/>
      <c r="AV129" s="246"/>
      <c r="AW129" s="245"/>
      <c r="AX129" s="245"/>
      <c r="AY129" s="246"/>
      <c r="AZ129" s="246"/>
      <c r="BA129" s="247"/>
      <c r="BB129" s="248"/>
      <c r="BC129" s="248"/>
      <c r="BD129" s="248"/>
      <c r="BE129" s="248"/>
      <c r="BF129" s="248"/>
      <c r="BG129" s="248"/>
      <c r="BH129" s="248"/>
      <c r="BI129" s="243"/>
      <c r="BJ129" s="247"/>
      <c r="BK129" s="248"/>
      <c r="BL129" s="248"/>
      <c r="BM129" s="248"/>
      <c r="BN129" s="248"/>
      <c r="BO129" s="248"/>
      <c r="BP129" s="248"/>
      <c r="BQ129" s="248"/>
      <c r="BR129" s="243"/>
      <c r="BS129" s="243"/>
      <c r="BT129" s="249"/>
      <c r="BU129" s="242"/>
      <c r="BV129" s="241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57"/>
      <c r="CK129" s="257"/>
      <c r="CL129" s="257"/>
      <c r="CM129" s="257"/>
      <c r="CN129" s="257"/>
      <c r="CO129" s="257"/>
      <c r="CP129" s="257"/>
      <c r="CQ129" s="257"/>
      <c r="CR129" s="257"/>
    </row>
    <row r="130" spans="1:96" s="306" customFormat="1" x14ac:dyDescent="0.25">
      <c r="A130" s="240"/>
      <c r="B130" s="240"/>
      <c r="C130" s="241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3"/>
      <c r="Q130" s="242"/>
      <c r="R130" s="243"/>
      <c r="S130" s="242"/>
      <c r="T130" s="242"/>
      <c r="U130" s="242"/>
      <c r="V130" s="242"/>
      <c r="W130" s="243"/>
      <c r="X130" s="242"/>
      <c r="Y130" s="242"/>
      <c r="Z130" s="242"/>
      <c r="AA130" s="242"/>
      <c r="AB130" s="243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3"/>
      <c r="AO130" s="242"/>
      <c r="AP130" s="242"/>
      <c r="AQ130" s="243"/>
      <c r="AR130" s="244"/>
      <c r="AS130" s="243"/>
      <c r="AT130" s="248"/>
      <c r="AU130" s="245"/>
      <c r="AV130" s="246"/>
      <c r="AW130" s="245"/>
      <c r="AX130" s="245"/>
      <c r="AY130" s="246"/>
      <c r="AZ130" s="246"/>
      <c r="BA130" s="247"/>
      <c r="BB130" s="248"/>
      <c r="BC130" s="248"/>
      <c r="BD130" s="248"/>
      <c r="BE130" s="248"/>
      <c r="BF130" s="248"/>
      <c r="BG130" s="248"/>
      <c r="BH130" s="248"/>
      <c r="BI130" s="243"/>
      <c r="BJ130" s="247"/>
      <c r="BK130" s="248"/>
      <c r="BL130" s="248"/>
      <c r="BM130" s="248"/>
      <c r="BN130" s="248"/>
      <c r="BO130" s="248"/>
      <c r="BP130" s="248"/>
      <c r="BQ130" s="248"/>
      <c r="BR130" s="243"/>
      <c r="BS130" s="243"/>
      <c r="BT130" s="249"/>
      <c r="BU130" s="242"/>
      <c r="BV130" s="241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57"/>
      <c r="CK130" s="257"/>
      <c r="CL130" s="257"/>
      <c r="CM130" s="257"/>
      <c r="CN130" s="257"/>
      <c r="CO130" s="257"/>
      <c r="CP130" s="257"/>
      <c r="CQ130" s="257"/>
      <c r="CR130" s="257"/>
    </row>
    <row r="131" spans="1:96" s="306" customFormat="1" x14ac:dyDescent="0.25">
      <c r="A131" s="240"/>
      <c r="B131" s="240"/>
      <c r="C131" s="241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3"/>
      <c r="Q131" s="242"/>
      <c r="R131" s="243"/>
      <c r="S131" s="242"/>
      <c r="T131" s="242"/>
      <c r="U131" s="242"/>
      <c r="V131" s="242"/>
      <c r="W131" s="243"/>
      <c r="X131" s="242"/>
      <c r="Y131" s="242"/>
      <c r="Z131" s="242"/>
      <c r="AA131" s="242"/>
      <c r="AB131" s="243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3"/>
      <c r="AO131" s="242"/>
      <c r="AP131" s="242"/>
      <c r="AQ131" s="243"/>
      <c r="AR131" s="244"/>
      <c r="AS131" s="243"/>
      <c r="AT131" s="248"/>
      <c r="AU131" s="245"/>
      <c r="AV131" s="246"/>
      <c r="AW131" s="245"/>
      <c r="AX131" s="245"/>
      <c r="AY131" s="246"/>
      <c r="AZ131" s="246"/>
      <c r="BA131" s="247"/>
      <c r="BB131" s="248"/>
      <c r="BC131" s="248"/>
      <c r="BD131" s="248"/>
      <c r="BE131" s="248"/>
      <c r="BF131" s="248"/>
      <c r="BG131" s="248"/>
      <c r="BH131" s="248"/>
      <c r="BI131" s="243"/>
      <c r="BJ131" s="247"/>
      <c r="BK131" s="248"/>
      <c r="BL131" s="248"/>
      <c r="BM131" s="248"/>
      <c r="BN131" s="248"/>
      <c r="BO131" s="248"/>
      <c r="BP131" s="248"/>
      <c r="BQ131" s="248"/>
      <c r="BR131" s="243"/>
      <c r="BS131" s="243"/>
      <c r="BT131" s="249"/>
      <c r="BU131" s="242"/>
      <c r="BV131" s="241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57"/>
      <c r="CK131" s="257"/>
      <c r="CL131" s="257"/>
      <c r="CM131" s="257"/>
      <c r="CN131" s="257"/>
      <c r="CO131" s="257"/>
      <c r="CP131" s="257"/>
      <c r="CQ131" s="257"/>
      <c r="CR131" s="257"/>
    </row>
    <row r="132" spans="1:96" s="306" customFormat="1" x14ac:dyDescent="0.25">
      <c r="A132" s="240"/>
      <c r="B132" s="240"/>
      <c r="C132" s="241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3"/>
      <c r="Q132" s="242"/>
      <c r="R132" s="243"/>
      <c r="S132" s="242"/>
      <c r="T132" s="242"/>
      <c r="U132" s="242"/>
      <c r="V132" s="242"/>
      <c r="W132" s="243"/>
      <c r="X132" s="242"/>
      <c r="Y132" s="242"/>
      <c r="Z132" s="242"/>
      <c r="AA132" s="242"/>
      <c r="AB132" s="243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3"/>
      <c r="AO132" s="242"/>
      <c r="AP132" s="242"/>
      <c r="AQ132" s="243"/>
      <c r="AR132" s="244"/>
      <c r="AS132" s="243"/>
      <c r="AT132" s="248"/>
      <c r="AU132" s="245"/>
      <c r="AV132" s="246"/>
      <c r="AW132" s="245"/>
      <c r="AX132" s="245"/>
      <c r="AY132" s="246"/>
      <c r="AZ132" s="246"/>
      <c r="BA132" s="247"/>
      <c r="BB132" s="248"/>
      <c r="BC132" s="248"/>
      <c r="BD132" s="248"/>
      <c r="BE132" s="248"/>
      <c r="BF132" s="248"/>
      <c r="BG132" s="248"/>
      <c r="BH132" s="248"/>
      <c r="BI132" s="243"/>
      <c r="BJ132" s="247"/>
      <c r="BK132" s="248"/>
      <c r="BL132" s="248"/>
      <c r="BM132" s="248"/>
      <c r="BN132" s="248"/>
      <c r="BO132" s="248"/>
      <c r="BP132" s="248"/>
      <c r="BQ132" s="248"/>
      <c r="BR132" s="243"/>
      <c r="BS132" s="243"/>
      <c r="BT132" s="249"/>
      <c r="BU132" s="242"/>
      <c r="BV132" s="241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57"/>
      <c r="CK132" s="257"/>
      <c r="CL132" s="257"/>
      <c r="CM132" s="257"/>
      <c r="CN132" s="257"/>
      <c r="CO132" s="257"/>
      <c r="CP132" s="257"/>
      <c r="CQ132" s="257"/>
      <c r="CR132" s="257"/>
    </row>
    <row r="133" spans="1:96" s="306" customFormat="1" x14ac:dyDescent="0.25">
      <c r="A133" s="240"/>
      <c r="B133" s="240"/>
      <c r="C133" s="241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3"/>
      <c r="Q133" s="242"/>
      <c r="R133" s="243"/>
      <c r="S133" s="242"/>
      <c r="T133" s="242"/>
      <c r="U133" s="242"/>
      <c r="V133" s="242"/>
      <c r="W133" s="243"/>
      <c r="X133" s="242"/>
      <c r="Y133" s="242"/>
      <c r="Z133" s="242"/>
      <c r="AA133" s="242"/>
      <c r="AB133" s="243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3"/>
      <c r="AO133" s="242"/>
      <c r="AP133" s="242"/>
      <c r="AQ133" s="243"/>
      <c r="AR133" s="244"/>
      <c r="AS133" s="243"/>
      <c r="AT133" s="248"/>
      <c r="AU133" s="245"/>
      <c r="AV133" s="246"/>
      <c r="AW133" s="245"/>
      <c r="AX133" s="245"/>
      <c r="AY133" s="246"/>
      <c r="AZ133" s="246"/>
      <c r="BA133" s="247"/>
      <c r="BB133" s="248"/>
      <c r="BC133" s="248"/>
      <c r="BD133" s="248"/>
      <c r="BE133" s="248"/>
      <c r="BF133" s="248"/>
      <c r="BG133" s="248"/>
      <c r="BH133" s="248"/>
      <c r="BI133" s="243"/>
      <c r="BJ133" s="247"/>
      <c r="BK133" s="248"/>
      <c r="BL133" s="248"/>
      <c r="BM133" s="248"/>
      <c r="BN133" s="248"/>
      <c r="BO133" s="248"/>
      <c r="BP133" s="248"/>
      <c r="BQ133" s="248"/>
      <c r="BR133" s="243"/>
      <c r="BS133" s="243"/>
      <c r="BT133" s="249"/>
      <c r="BU133" s="242"/>
      <c r="BV133" s="241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57"/>
      <c r="CK133" s="257"/>
      <c r="CL133" s="257"/>
      <c r="CM133" s="257"/>
      <c r="CN133" s="257"/>
      <c r="CO133" s="257"/>
      <c r="CP133" s="257"/>
      <c r="CQ133" s="257"/>
      <c r="CR133" s="257"/>
    </row>
    <row r="134" spans="1:96" s="306" customFormat="1" x14ac:dyDescent="0.25">
      <c r="A134" s="240"/>
      <c r="B134" s="240"/>
      <c r="C134" s="241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3"/>
      <c r="Q134" s="242"/>
      <c r="R134" s="243"/>
      <c r="S134" s="242"/>
      <c r="T134" s="242"/>
      <c r="U134" s="242"/>
      <c r="V134" s="242"/>
      <c r="W134" s="243"/>
      <c r="X134" s="242"/>
      <c r="Y134" s="242"/>
      <c r="Z134" s="242"/>
      <c r="AA134" s="242"/>
      <c r="AB134" s="243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3"/>
      <c r="AO134" s="242"/>
      <c r="AP134" s="242"/>
      <c r="AQ134" s="243"/>
      <c r="AR134" s="244"/>
      <c r="AS134" s="243"/>
      <c r="AT134" s="248"/>
      <c r="AU134" s="245"/>
      <c r="AV134" s="246"/>
      <c r="AW134" s="245"/>
      <c r="AX134" s="245"/>
      <c r="AY134" s="246"/>
      <c r="AZ134" s="246"/>
      <c r="BA134" s="247"/>
      <c r="BB134" s="248"/>
      <c r="BC134" s="248"/>
      <c r="BD134" s="248"/>
      <c r="BE134" s="248"/>
      <c r="BF134" s="248"/>
      <c r="BG134" s="248"/>
      <c r="BH134" s="248"/>
      <c r="BI134" s="243"/>
      <c r="BJ134" s="247"/>
      <c r="BK134" s="248"/>
      <c r="BL134" s="248"/>
      <c r="BM134" s="248"/>
      <c r="BN134" s="248"/>
      <c r="BO134" s="248"/>
      <c r="BP134" s="248"/>
      <c r="BQ134" s="248"/>
      <c r="BR134" s="243"/>
      <c r="BS134" s="243"/>
      <c r="BT134" s="249"/>
      <c r="BU134" s="242"/>
      <c r="BV134" s="241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57"/>
      <c r="CK134" s="257"/>
      <c r="CL134" s="257"/>
      <c r="CM134" s="257"/>
      <c r="CN134" s="257"/>
      <c r="CO134" s="257"/>
      <c r="CP134" s="257"/>
      <c r="CQ134" s="257"/>
      <c r="CR134" s="257"/>
    </row>
    <row r="135" spans="1:96" s="306" customFormat="1" x14ac:dyDescent="0.25">
      <c r="A135" s="240"/>
      <c r="B135" s="240"/>
      <c r="C135" s="241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3"/>
      <c r="Q135" s="242"/>
      <c r="R135" s="243"/>
      <c r="S135" s="242"/>
      <c r="T135" s="242"/>
      <c r="U135" s="242"/>
      <c r="V135" s="242"/>
      <c r="W135" s="243"/>
      <c r="X135" s="242"/>
      <c r="Y135" s="242"/>
      <c r="Z135" s="242"/>
      <c r="AA135" s="242"/>
      <c r="AB135" s="243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3"/>
      <c r="AO135" s="242"/>
      <c r="AP135" s="242"/>
      <c r="AQ135" s="243"/>
      <c r="AR135" s="244"/>
      <c r="AS135" s="243"/>
      <c r="AT135" s="248"/>
      <c r="AU135" s="245"/>
      <c r="AV135" s="246"/>
      <c r="AW135" s="245"/>
      <c r="AX135" s="245"/>
      <c r="AY135" s="246"/>
      <c r="AZ135" s="246"/>
      <c r="BA135" s="247"/>
      <c r="BB135" s="248"/>
      <c r="BC135" s="248"/>
      <c r="BD135" s="248"/>
      <c r="BE135" s="248"/>
      <c r="BF135" s="248"/>
      <c r="BG135" s="248"/>
      <c r="BH135" s="248"/>
      <c r="BI135" s="243"/>
      <c r="BJ135" s="247"/>
      <c r="BK135" s="248"/>
      <c r="BL135" s="248"/>
      <c r="BM135" s="248"/>
      <c r="BN135" s="248"/>
      <c r="BO135" s="248"/>
      <c r="BP135" s="248"/>
      <c r="BQ135" s="248"/>
      <c r="BR135" s="243"/>
      <c r="BS135" s="243"/>
      <c r="BT135" s="249"/>
      <c r="BU135" s="242"/>
      <c r="BV135" s="241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57"/>
      <c r="CK135" s="257"/>
      <c r="CL135" s="257"/>
      <c r="CM135" s="257"/>
      <c r="CN135" s="257"/>
      <c r="CO135" s="257"/>
      <c r="CP135" s="257"/>
      <c r="CQ135" s="257"/>
      <c r="CR135" s="257"/>
    </row>
    <row r="136" spans="1:96" s="306" customFormat="1" x14ac:dyDescent="0.25">
      <c r="A136" s="240"/>
      <c r="B136" s="240"/>
      <c r="C136" s="241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3"/>
      <c r="Q136" s="242"/>
      <c r="R136" s="243"/>
      <c r="S136" s="242"/>
      <c r="T136" s="242"/>
      <c r="U136" s="242"/>
      <c r="V136" s="242"/>
      <c r="W136" s="243"/>
      <c r="X136" s="242"/>
      <c r="Y136" s="242"/>
      <c r="Z136" s="242"/>
      <c r="AA136" s="242"/>
      <c r="AB136" s="243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3"/>
      <c r="AO136" s="242"/>
      <c r="AP136" s="242"/>
      <c r="AQ136" s="243"/>
      <c r="AR136" s="244"/>
      <c r="AS136" s="243"/>
      <c r="AT136" s="248"/>
      <c r="AU136" s="245"/>
      <c r="AV136" s="246"/>
      <c r="AW136" s="245"/>
      <c r="AX136" s="245"/>
      <c r="AY136" s="246"/>
      <c r="AZ136" s="246"/>
      <c r="BA136" s="247"/>
      <c r="BB136" s="248"/>
      <c r="BC136" s="248"/>
      <c r="BD136" s="248"/>
      <c r="BE136" s="248"/>
      <c r="BF136" s="248"/>
      <c r="BG136" s="248"/>
      <c r="BH136" s="248"/>
      <c r="BI136" s="243"/>
      <c r="BJ136" s="247"/>
      <c r="BK136" s="248"/>
      <c r="BL136" s="248"/>
      <c r="BM136" s="248"/>
      <c r="BN136" s="248"/>
      <c r="BO136" s="248"/>
      <c r="BP136" s="248"/>
      <c r="BQ136" s="248"/>
      <c r="BR136" s="243"/>
      <c r="BS136" s="243"/>
      <c r="BT136" s="249"/>
      <c r="BU136" s="242"/>
      <c r="BV136" s="241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57"/>
      <c r="CK136" s="257"/>
      <c r="CL136" s="257"/>
      <c r="CM136" s="257"/>
      <c r="CN136" s="257"/>
      <c r="CO136" s="257"/>
      <c r="CP136" s="257"/>
      <c r="CQ136" s="257"/>
      <c r="CR136" s="257"/>
    </row>
    <row r="137" spans="1:96" s="306" customFormat="1" x14ac:dyDescent="0.25">
      <c r="A137" s="240"/>
      <c r="B137" s="240"/>
      <c r="C137" s="241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3"/>
      <c r="Q137" s="242"/>
      <c r="R137" s="243"/>
      <c r="S137" s="242"/>
      <c r="T137" s="242"/>
      <c r="U137" s="242"/>
      <c r="V137" s="242"/>
      <c r="W137" s="243"/>
      <c r="X137" s="242"/>
      <c r="Y137" s="242"/>
      <c r="Z137" s="242"/>
      <c r="AA137" s="242"/>
      <c r="AB137" s="243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242"/>
      <c r="AM137" s="242"/>
      <c r="AN137" s="243"/>
      <c r="AO137" s="242"/>
      <c r="AP137" s="242"/>
      <c r="AQ137" s="243"/>
      <c r="AR137" s="244"/>
      <c r="AS137" s="243"/>
      <c r="AT137" s="248"/>
      <c r="AU137" s="245"/>
      <c r="AV137" s="246"/>
      <c r="AW137" s="245"/>
      <c r="AX137" s="245"/>
      <c r="AY137" s="246"/>
      <c r="AZ137" s="246"/>
      <c r="BA137" s="247"/>
      <c r="BB137" s="248"/>
      <c r="BC137" s="248"/>
      <c r="BD137" s="248"/>
      <c r="BE137" s="248"/>
      <c r="BF137" s="248"/>
      <c r="BG137" s="248"/>
      <c r="BH137" s="248"/>
      <c r="BI137" s="243"/>
      <c r="BJ137" s="247"/>
      <c r="BK137" s="248"/>
      <c r="BL137" s="248"/>
      <c r="BM137" s="248"/>
      <c r="BN137" s="248"/>
      <c r="BO137" s="248"/>
      <c r="BP137" s="248"/>
      <c r="BQ137" s="248"/>
      <c r="BR137" s="243"/>
      <c r="BS137" s="243"/>
      <c r="BT137" s="249"/>
      <c r="BU137" s="242"/>
      <c r="BV137" s="241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57"/>
      <c r="CK137" s="257"/>
      <c r="CL137" s="257"/>
      <c r="CM137" s="257"/>
      <c r="CN137" s="257"/>
      <c r="CO137" s="257"/>
      <c r="CP137" s="257"/>
      <c r="CQ137" s="257"/>
      <c r="CR137" s="257"/>
    </row>
    <row r="138" spans="1:96" s="306" customFormat="1" x14ac:dyDescent="0.25">
      <c r="A138" s="240"/>
      <c r="B138" s="240"/>
      <c r="C138" s="241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3"/>
      <c r="Q138" s="242"/>
      <c r="R138" s="243"/>
      <c r="S138" s="242"/>
      <c r="T138" s="242"/>
      <c r="U138" s="242"/>
      <c r="V138" s="242"/>
      <c r="W138" s="243"/>
      <c r="X138" s="242"/>
      <c r="Y138" s="242"/>
      <c r="Z138" s="242"/>
      <c r="AA138" s="242"/>
      <c r="AB138" s="243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3"/>
      <c r="AO138" s="242"/>
      <c r="AP138" s="242"/>
      <c r="AQ138" s="243"/>
      <c r="AR138" s="244"/>
      <c r="AS138" s="243"/>
      <c r="AT138" s="248"/>
      <c r="AU138" s="245"/>
      <c r="AV138" s="246"/>
      <c r="AW138" s="245"/>
      <c r="AX138" s="245"/>
      <c r="AY138" s="246"/>
      <c r="AZ138" s="246"/>
      <c r="BA138" s="247"/>
      <c r="BB138" s="248"/>
      <c r="BC138" s="248"/>
      <c r="BD138" s="248"/>
      <c r="BE138" s="248"/>
      <c r="BF138" s="248"/>
      <c r="BG138" s="248"/>
      <c r="BH138" s="248"/>
      <c r="BI138" s="243"/>
      <c r="BJ138" s="247"/>
      <c r="BK138" s="248"/>
      <c r="BL138" s="248"/>
      <c r="BM138" s="248"/>
      <c r="BN138" s="248"/>
      <c r="BO138" s="248"/>
      <c r="BP138" s="248"/>
      <c r="BQ138" s="248"/>
      <c r="BR138" s="243"/>
      <c r="BS138" s="243"/>
      <c r="BT138" s="249"/>
      <c r="BU138" s="242"/>
      <c r="BV138" s="241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57"/>
      <c r="CK138" s="257"/>
      <c r="CL138" s="257"/>
      <c r="CM138" s="257"/>
      <c r="CN138" s="257"/>
      <c r="CO138" s="257"/>
      <c r="CP138" s="257"/>
      <c r="CQ138" s="257"/>
      <c r="CR138" s="257"/>
    </row>
    <row r="139" spans="1:96" s="306" customFormat="1" x14ac:dyDescent="0.25">
      <c r="A139" s="240"/>
      <c r="B139" s="240"/>
      <c r="C139" s="241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3"/>
      <c r="Q139" s="242"/>
      <c r="R139" s="243"/>
      <c r="S139" s="242"/>
      <c r="T139" s="242"/>
      <c r="U139" s="242"/>
      <c r="V139" s="242"/>
      <c r="W139" s="243"/>
      <c r="X139" s="242"/>
      <c r="Y139" s="242"/>
      <c r="Z139" s="242"/>
      <c r="AA139" s="242"/>
      <c r="AB139" s="243"/>
      <c r="AC139" s="242"/>
      <c r="AD139" s="242"/>
      <c r="AE139" s="242"/>
      <c r="AF139" s="242"/>
      <c r="AG139" s="242"/>
      <c r="AH139" s="242"/>
      <c r="AI139" s="242"/>
      <c r="AJ139" s="242"/>
      <c r="AK139" s="242"/>
      <c r="AL139" s="242"/>
      <c r="AM139" s="242"/>
      <c r="AN139" s="243"/>
      <c r="AO139" s="242"/>
      <c r="AP139" s="242"/>
      <c r="AQ139" s="243"/>
      <c r="AR139" s="244"/>
      <c r="AS139" s="243"/>
      <c r="AT139" s="248"/>
      <c r="AU139" s="245"/>
      <c r="AV139" s="246"/>
      <c r="AW139" s="245"/>
      <c r="AX139" s="245"/>
      <c r="AY139" s="246"/>
      <c r="AZ139" s="246"/>
      <c r="BA139" s="247"/>
      <c r="BB139" s="248"/>
      <c r="BC139" s="248"/>
      <c r="BD139" s="248"/>
      <c r="BE139" s="248"/>
      <c r="BF139" s="248"/>
      <c r="BG139" s="248"/>
      <c r="BH139" s="248"/>
      <c r="BI139" s="243"/>
      <c r="BJ139" s="247"/>
      <c r="BK139" s="248"/>
      <c r="BL139" s="248"/>
      <c r="BM139" s="248"/>
      <c r="BN139" s="248"/>
      <c r="BO139" s="248"/>
      <c r="BP139" s="248"/>
      <c r="BQ139" s="248"/>
      <c r="BR139" s="243"/>
      <c r="BS139" s="243"/>
      <c r="BT139" s="249"/>
      <c r="BU139" s="242"/>
      <c r="BV139" s="241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57"/>
      <c r="CK139" s="257"/>
      <c r="CL139" s="257"/>
      <c r="CM139" s="257"/>
      <c r="CN139" s="257"/>
      <c r="CO139" s="257"/>
      <c r="CP139" s="257"/>
      <c r="CQ139" s="257"/>
      <c r="CR139" s="257"/>
    </row>
    <row r="140" spans="1:96" s="306" customFormat="1" x14ac:dyDescent="0.25">
      <c r="A140" s="240"/>
      <c r="B140" s="240"/>
      <c r="C140" s="241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3"/>
      <c r="Q140" s="242"/>
      <c r="R140" s="243"/>
      <c r="S140" s="242"/>
      <c r="T140" s="242"/>
      <c r="U140" s="242"/>
      <c r="V140" s="242"/>
      <c r="W140" s="243"/>
      <c r="X140" s="242"/>
      <c r="Y140" s="242"/>
      <c r="Z140" s="242"/>
      <c r="AA140" s="242"/>
      <c r="AB140" s="243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3"/>
      <c r="AO140" s="242"/>
      <c r="AP140" s="242"/>
      <c r="AQ140" s="243"/>
      <c r="AR140" s="244"/>
      <c r="AS140" s="243"/>
      <c r="AT140" s="248"/>
      <c r="AU140" s="245"/>
      <c r="AV140" s="246"/>
      <c r="AW140" s="245"/>
      <c r="AX140" s="245"/>
      <c r="AY140" s="246"/>
      <c r="AZ140" s="246"/>
      <c r="BA140" s="247"/>
      <c r="BB140" s="248"/>
      <c r="BC140" s="248"/>
      <c r="BD140" s="248"/>
      <c r="BE140" s="248"/>
      <c r="BF140" s="248"/>
      <c r="BG140" s="248"/>
      <c r="BH140" s="248"/>
      <c r="BI140" s="243"/>
      <c r="BJ140" s="247"/>
      <c r="BK140" s="248"/>
      <c r="BL140" s="248"/>
      <c r="BM140" s="248"/>
      <c r="BN140" s="248"/>
      <c r="BO140" s="248"/>
      <c r="BP140" s="248"/>
      <c r="BQ140" s="248"/>
      <c r="BR140" s="243"/>
      <c r="BS140" s="243"/>
      <c r="BT140" s="249"/>
      <c r="BU140" s="242"/>
      <c r="BV140" s="241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57"/>
      <c r="CK140" s="257"/>
      <c r="CL140" s="257"/>
      <c r="CM140" s="257"/>
      <c r="CN140" s="257"/>
      <c r="CO140" s="257"/>
      <c r="CP140" s="257"/>
      <c r="CQ140" s="257"/>
      <c r="CR140" s="257"/>
    </row>
    <row r="141" spans="1:96" x14ac:dyDescent="0.25">
      <c r="A141" s="240"/>
      <c r="B141" s="240"/>
      <c r="C141" s="241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3"/>
      <c r="Q141" s="242"/>
      <c r="R141" s="243"/>
      <c r="S141" s="242"/>
      <c r="T141" s="242"/>
      <c r="U141" s="242"/>
      <c r="V141" s="242"/>
      <c r="W141" s="243"/>
      <c r="X141" s="242"/>
      <c r="Y141" s="242"/>
      <c r="Z141" s="242"/>
      <c r="AA141" s="242"/>
      <c r="AB141" s="243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3"/>
      <c r="AO141" s="242"/>
      <c r="AP141" s="242"/>
      <c r="AQ141" s="243"/>
      <c r="AR141" s="244"/>
      <c r="AS141" s="243"/>
      <c r="AT141" s="248"/>
      <c r="AU141" s="245"/>
      <c r="AV141" s="246"/>
      <c r="AW141" s="245"/>
      <c r="AX141" s="245"/>
      <c r="AY141" s="246"/>
      <c r="AZ141" s="246"/>
      <c r="BA141" s="247"/>
      <c r="BB141" s="248"/>
      <c r="BC141" s="248"/>
      <c r="BD141" s="248"/>
      <c r="BE141" s="248"/>
      <c r="BF141" s="248"/>
      <c r="BG141" s="248"/>
      <c r="BH141" s="248"/>
      <c r="BI141" s="243"/>
      <c r="BJ141" s="247"/>
      <c r="BK141" s="248"/>
      <c r="BL141" s="248"/>
      <c r="BM141" s="248"/>
      <c r="BN141" s="248"/>
      <c r="BO141" s="248"/>
      <c r="BP141" s="248"/>
      <c r="BQ141" s="248"/>
      <c r="BR141" s="243"/>
      <c r="BS141" s="243"/>
      <c r="BT141" s="249"/>
      <c r="BU141" s="242"/>
      <c r="BV141" s="241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57"/>
      <c r="CK141" s="257"/>
      <c r="CL141" s="257"/>
      <c r="CM141" s="257"/>
      <c r="CN141" s="257"/>
      <c r="CO141" s="257"/>
      <c r="CP141" s="257"/>
      <c r="CQ141" s="257"/>
      <c r="CR141" s="257"/>
    </row>
    <row r="142" spans="1:96" x14ac:dyDescent="0.25">
      <c r="A142" s="240"/>
      <c r="B142" s="240"/>
      <c r="C142" s="241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3"/>
      <c r="Q142" s="242"/>
      <c r="R142" s="243"/>
      <c r="S142" s="242"/>
      <c r="T142" s="242"/>
      <c r="U142" s="242"/>
      <c r="V142" s="242"/>
      <c r="W142" s="243"/>
      <c r="X142" s="242"/>
      <c r="Y142" s="242"/>
      <c r="Z142" s="242"/>
      <c r="AA142" s="242"/>
      <c r="AB142" s="243"/>
      <c r="AC142" s="242"/>
      <c r="AD142" s="242"/>
      <c r="AE142" s="242"/>
      <c r="AF142" s="242"/>
      <c r="AG142" s="242"/>
      <c r="AH142" s="242"/>
      <c r="AI142" s="242"/>
      <c r="AJ142" s="242"/>
      <c r="AK142" s="242"/>
      <c r="AL142" s="242"/>
      <c r="AM142" s="242"/>
      <c r="AN142" s="243"/>
      <c r="AO142" s="242"/>
      <c r="AP142" s="242"/>
      <c r="AQ142" s="243"/>
      <c r="AR142" s="244"/>
      <c r="AS142" s="243"/>
      <c r="AT142" s="248"/>
      <c r="AU142" s="245"/>
      <c r="AV142" s="246"/>
      <c r="AW142" s="245"/>
      <c r="AX142" s="245"/>
      <c r="AY142" s="246"/>
      <c r="AZ142" s="246"/>
      <c r="BA142" s="247"/>
      <c r="BB142" s="248"/>
      <c r="BC142" s="248"/>
      <c r="BD142" s="248"/>
      <c r="BE142" s="248"/>
      <c r="BF142" s="248"/>
      <c r="BG142" s="248"/>
      <c r="BH142" s="248"/>
      <c r="BI142" s="243"/>
      <c r="BJ142" s="247"/>
      <c r="BK142" s="248"/>
      <c r="BL142" s="248"/>
      <c r="BM142" s="248"/>
      <c r="BN142" s="248"/>
      <c r="BO142" s="248"/>
      <c r="BP142" s="248"/>
      <c r="BQ142" s="248"/>
      <c r="BR142" s="243"/>
      <c r="BS142" s="243"/>
      <c r="BT142" s="249"/>
      <c r="BU142" s="242"/>
      <c r="BV142" s="241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57"/>
      <c r="CK142" s="257"/>
      <c r="CL142" s="257"/>
      <c r="CM142" s="257"/>
      <c r="CN142" s="257"/>
      <c r="CO142" s="257"/>
      <c r="CP142" s="257"/>
      <c r="CQ142" s="257"/>
      <c r="CR142" s="257"/>
    </row>
    <row r="143" spans="1:96" x14ac:dyDescent="0.25">
      <c r="A143" s="240"/>
      <c r="B143" s="240"/>
      <c r="C143" s="241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3"/>
      <c r="Q143" s="242"/>
      <c r="R143" s="243"/>
      <c r="S143" s="242"/>
      <c r="T143" s="242"/>
      <c r="U143" s="242"/>
      <c r="V143" s="242"/>
      <c r="W143" s="243"/>
      <c r="X143" s="242"/>
      <c r="Y143" s="242"/>
      <c r="Z143" s="242"/>
      <c r="AA143" s="242"/>
      <c r="AB143" s="243"/>
      <c r="AC143" s="242"/>
      <c r="AD143" s="242"/>
      <c r="AE143" s="242"/>
      <c r="AF143" s="242"/>
      <c r="AG143" s="242"/>
      <c r="AH143" s="242"/>
      <c r="AI143" s="242"/>
      <c r="AJ143" s="242"/>
      <c r="AK143" s="242"/>
      <c r="AL143" s="242"/>
      <c r="AM143" s="242"/>
      <c r="AN143" s="243"/>
      <c r="AO143" s="242"/>
      <c r="AP143" s="242"/>
      <c r="AQ143" s="243"/>
      <c r="AR143" s="244"/>
      <c r="AS143" s="243"/>
      <c r="AT143" s="248"/>
      <c r="AU143" s="245"/>
      <c r="AV143" s="246"/>
      <c r="AW143" s="245"/>
      <c r="AX143" s="245"/>
      <c r="AY143" s="246"/>
      <c r="AZ143" s="246"/>
      <c r="BA143" s="247"/>
      <c r="BB143" s="248"/>
      <c r="BC143" s="248"/>
      <c r="BD143" s="248"/>
      <c r="BE143" s="248"/>
      <c r="BF143" s="248"/>
      <c r="BG143" s="248"/>
      <c r="BH143" s="248"/>
      <c r="BI143" s="243"/>
      <c r="BJ143" s="247"/>
      <c r="BK143" s="248"/>
      <c r="BL143" s="248"/>
      <c r="BM143" s="248"/>
      <c r="BN143" s="248"/>
      <c r="BO143" s="248"/>
      <c r="BP143" s="248"/>
      <c r="BQ143" s="248"/>
      <c r="BR143" s="243"/>
      <c r="BS143" s="243"/>
      <c r="BT143" s="249"/>
      <c r="BU143" s="242"/>
      <c r="BV143" s="241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57"/>
      <c r="CK143" s="257"/>
      <c r="CL143" s="257"/>
      <c r="CM143" s="257"/>
      <c r="CN143" s="257"/>
      <c r="CO143" s="257"/>
      <c r="CP143" s="257"/>
      <c r="CQ143" s="257"/>
      <c r="CR143" s="257"/>
    </row>
    <row r="144" spans="1:96" x14ac:dyDescent="0.25">
      <c r="A144" s="240"/>
      <c r="B144" s="240"/>
      <c r="C144" s="241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3"/>
      <c r="Q144" s="242"/>
      <c r="R144" s="243"/>
      <c r="S144" s="242"/>
      <c r="T144" s="242"/>
      <c r="U144" s="242"/>
      <c r="V144" s="242"/>
      <c r="W144" s="243"/>
      <c r="X144" s="242"/>
      <c r="Y144" s="242"/>
      <c r="Z144" s="242"/>
      <c r="AA144" s="242"/>
      <c r="AB144" s="243"/>
      <c r="AC144" s="242"/>
      <c r="AD144" s="242"/>
      <c r="AE144" s="242"/>
      <c r="AF144" s="242"/>
      <c r="AG144" s="242"/>
      <c r="AH144" s="242"/>
      <c r="AI144" s="242"/>
      <c r="AJ144" s="242"/>
      <c r="AK144" s="242"/>
      <c r="AL144" s="242"/>
      <c r="AM144" s="242"/>
      <c r="AN144" s="243"/>
      <c r="AO144" s="242"/>
      <c r="AP144" s="242"/>
      <c r="AQ144" s="243"/>
      <c r="AR144" s="244"/>
      <c r="AS144" s="243"/>
      <c r="AT144" s="248"/>
      <c r="AU144" s="245"/>
      <c r="AV144" s="246"/>
      <c r="AW144" s="245"/>
      <c r="AX144" s="245"/>
      <c r="AY144" s="246"/>
      <c r="AZ144" s="246"/>
      <c r="BA144" s="247"/>
      <c r="BB144" s="248"/>
      <c r="BC144" s="248"/>
      <c r="BD144" s="248"/>
      <c r="BE144" s="248"/>
      <c r="BF144" s="248"/>
      <c r="BG144" s="248"/>
      <c r="BH144" s="248"/>
      <c r="BI144" s="243"/>
      <c r="BJ144" s="247"/>
      <c r="BK144" s="248"/>
      <c r="BL144" s="248"/>
      <c r="BM144" s="248"/>
      <c r="BN144" s="248"/>
      <c r="BO144" s="248"/>
      <c r="BP144" s="248"/>
      <c r="BQ144" s="248"/>
      <c r="BR144" s="243"/>
      <c r="BS144" s="243"/>
      <c r="BT144" s="249"/>
      <c r="BU144" s="242"/>
      <c r="BV144" s="241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57"/>
      <c r="CK144" s="257"/>
      <c r="CL144" s="257"/>
      <c r="CM144" s="257"/>
      <c r="CN144" s="257"/>
      <c r="CO144" s="257"/>
      <c r="CP144" s="257"/>
      <c r="CQ144" s="257"/>
      <c r="CR144" s="257"/>
    </row>
    <row r="145" spans="1:96" x14ac:dyDescent="0.25">
      <c r="A145" s="240"/>
      <c r="B145" s="240"/>
      <c r="C145" s="241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3"/>
      <c r="Q145" s="242"/>
      <c r="R145" s="243"/>
      <c r="S145" s="242"/>
      <c r="T145" s="242"/>
      <c r="U145" s="242"/>
      <c r="V145" s="242"/>
      <c r="W145" s="243"/>
      <c r="X145" s="242"/>
      <c r="Y145" s="242"/>
      <c r="Z145" s="242"/>
      <c r="AA145" s="242"/>
      <c r="AB145" s="243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3"/>
      <c r="AO145" s="242"/>
      <c r="AP145" s="242"/>
      <c r="AQ145" s="243"/>
      <c r="AR145" s="244"/>
      <c r="AS145" s="243"/>
      <c r="AT145" s="248"/>
      <c r="AU145" s="245"/>
      <c r="AV145" s="246"/>
      <c r="AW145" s="245"/>
      <c r="AX145" s="245"/>
      <c r="AY145" s="246"/>
      <c r="AZ145" s="246"/>
      <c r="BA145" s="247"/>
      <c r="BB145" s="248"/>
      <c r="BC145" s="248"/>
      <c r="BD145" s="248"/>
      <c r="BE145" s="248"/>
      <c r="BF145" s="248"/>
      <c r="BG145" s="248"/>
      <c r="BH145" s="248"/>
      <c r="BI145" s="243"/>
      <c r="BJ145" s="247"/>
      <c r="BK145" s="248"/>
      <c r="BL145" s="248"/>
      <c r="BM145" s="248"/>
      <c r="BN145" s="248"/>
      <c r="BO145" s="248"/>
      <c r="BP145" s="248"/>
      <c r="BQ145" s="248"/>
      <c r="BR145" s="243"/>
      <c r="BS145" s="243"/>
      <c r="BT145" s="249"/>
      <c r="BU145" s="242"/>
      <c r="BV145" s="241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57"/>
      <c r="CK145" s="257"/>
      <c r="CL145" s="257"/>
      <c r="CM145" s="257"/>
      <c r="CN145" s="257"/>
      <c r="CO145" s="257"/>
      <c r="CP145" s="257"/>
      <c r="CQ145" s="257"/>
      <c r="CR145" s="257"/>
    </row>
    <row r="146" spans="1:96" x14ac:dyDescent="0.25">
      <c r="A146" s="240"/>
      <c r="B146" s="240"/>
      <c r="C146" s="241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3"/>
      <c r="Q146" s="242"/>
      <c r="R146" s="243"/>
      <c r="S146" s="242"/>
      <c r="T146" s="242"/>
      <c r="U146" s="242"/>
      <c r="V146" s="242"/>
      <c r="W146" s="243"/>
      <c r="X146" s="242"/>
      <c r="Y146" s="242"/>
      <c r="Z146" s="242"/>
      <c r="AA146" s="242"/>
      <c r="AB146" s="243"/>
      <c r="AC146" s="242"/>
      <c r="AD146" s="242"/>
      <c r="AE146" s="242"/>
      <c r="AF146" s="242"/>
      <c r="AG146" s="242"/>
      <c r="AH146" s="242"/>
      <c r="AI146" s="242"/>
      <c r="AJ146" s="242"/>
      <c r="AK146" s="242"/>
      <c r="AL146" s="242"/>
      <c r="AM146" s="242"/>
      <c r="AN146" s="243"/>
      <c r="AO146" s="242"/>
      <c r="AP146" s="242"/>
      <c r="AQ146" s="243"/>
      <c r="AR146" s="244"/>
      <c r="AS146" s="243"/>
      <c r="AT146" s="248"/>
      <c r="AU146" s="245"/>
      <c r="AV146" s="246"/>
      <c r="AW146" s="245"/>
      <c r="AX146" s="245"/>
      <c r="AY146" s="246"/>
      <c r="AZ146" s="246"/>
      <c r="BA146" s="247"/>
      <c r="BB146" s="248"/>
      <c r="BC146" s="248"/>
      <c r="BD146" s="248"/>
      <c r="BE146" s="248"/>
      <c r="BF146" s="248"/>
      <c r="BG146" s="248"/>
      <c r="BH146" s="248"/>
      <c r="BI146" s="243"/>
      <c r="BJ146" s="247"/>
      <c r="BK146" s="248"/>
      <c r="BL146" s="248"/>
      <c r="BM146" s="248"/>
      <c r="BN146" s="248"/>
      <c r="BO146" s="248"/>
      <c r="BP146" s="248"/>
      <c r="BQ146" s="248"/>
      <c r="BR146" s="243"/>
      <c r="BS146" s="243"/>
      <c r="BT146" s="249"/>
      <c r="BU146" s="242"/>
      <c r="BV146" s="241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57"/>
      <c r="CK146" s="257"/>
      <c r="CL146" s="257"/>
      <c r="CM146" s="257"/>
      <c r="CN146" s="257"/>
      <c r="CO146" s="257"/>
      <c r="CP146" s="257"/>
      <c r="CQ146" s="257"/>
      <c r="CR146" s="257"/>
    </row>
  </sheetData>
  <sortState xmlns:xlrd2="http://schemas.microsoft.com/office/spreadsheetml/2017/richdata2" ref="A38:CR140">
    <sortCondition descending="1" ref="AU11:AU140"/>
    <sortCondition descending="1" ref="AW11:AW140"/>
    <sortCondition ref="B11:B140" customList="ML,AAA,AA,A,S A"/>
    <sortCondition ref="C11:C140" customList="C,C-b,1B,1B-b,2B,2B-b,3B,3B-b,SS,SS-b,IF-b,CI,MI,LF,LF-b,CF,CF-b,RF,RF-b,OF,OF-b,DH"/>
    <sortCondition descending="1" ref="BX11:BX140"/>
    <sortCondition descending="1" ref="X11:X140"/>
    <sortCondition descending="1" ref="Z11:Z140"/>
    <sortCondition ref="H11:H140"/>
  </sortState>
  <phoneticPr fontId="2" type="noConversion"/>
  <conditionalFormatting sqref="O11:P146">
    <cfRule type="expression" dxfId="122" priority="22">
      <formula>IF(O11&lt;&gt;"1 star",1,0)</formula>
    </cfRule>
  </conditionalFormatting>
  <conditionalFormatting sqref="A11:CR11 G12:CR146">
    <cfRule type="expression" dxfId="121" priority="14">
      <formula>IF(MOD(ROW(),2)=1,1,0)</formula>
    </cfRule>
    <cfRule type="expression" dxfId="120" priority="15">
      <formula>IF(AND($CF11&lt;12,$CG11&lt;10,$CH11&lt;10),1,0)</formula>
    </cfRule>
    <cfRule type="expression" dxfId="119" priority="16">
      <formula>IF(AND($CF11&lt;15,$CG11&lt;12,$CH11&lt;12),1,0)</formula>
    </cfRule>
    <cfRule type="expression" dxfId="118" priority="17">
      <formula>IF(AND($CF11&lt;18,$CG11&lt;14,$CH11&lt;14),1,0)</formula>
    </cfRule>
  </conditionalFormatting>
  <conditionalFormatting sqref="A12:F146">
    <cfRule type="expression" dxfId="117" priority="1">
      <formula>IF(MOD(ROW(),2)=1,1,0)</formula>
    </cfRule>
    <cfRule type="expression" dxfId="116" priority="2">
      <formula>IF(AND($CF12&lt;12,$CG12&lt;10,$CH12&lt;10),1,0)</formula>
    </cfRule>
    <cfRule type="expression" dxfId="115" priority="3">
      <formula>IF(AND($CF12&lt;15,$CG12&lt;12,$CH12&lt;12),1,0)</formula>
    </cfRule>
    <cfRule type="expression" dxfId="114" priority="4">
      <formula>IF(AND($CF12&lt;18,$CG12&lt;14,$CH12&lt;14),1,0)</formula>
    </cfRule>
  </conditionalFormatting>
  <pageMargins left="0.75" right="0.75" top="1" bottom="1" header="0.5" footer="0.5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6">
    <tabColor theme="9"/>
  </sheetPr>
  <dimension ref="A1:BT125"/>
  <sheetViews>
    <sheetView zoomScale="85" zoomScaleNormal="85" workbookViewId="0">
      <pane xSplit="22" ySplit="10" topLeftCell="AZ11" activePane="bottomRight" state="frozenSplit"/>
      <selection pane="topRight" activeCell="H1" sqref="H1"/>
      <selection pane="bottomLeft" activeCell="A11" sqref="A11"/>
      <selection pane="bottomRight" activeCell="A18" sqref="A18:XFD19"/>
    </sheetView>
  </sheetViews>
  <sheetFormatPr defaultColWidth="11.42578125" defaultRowHeight="15" x14ac:dyDescent="0.25"/>
  <cols>
    <col min="1" max="1" width="8.28515625" style="305" customWidth="1"/>
    <col min="2" max="2" width="8.42578125" bestFit="1" customWidth="1"/>
    <col min="3" max="3" width="7.5703125" bestFit="1" customWidth="1"/>
    <col min="4" max="4" width="6.5703125" bestFit="1" customWidth="1"/>
    <col min="5" max="5" width="5.85546875" bestFit="1" customWidth="1"/>
    <col min="6" max="6" width="14.140625" customWidth="1"/>
    <col min="7" max="7" width="16.28515625" style="305" customWidth="1"/>
    <col min="8" max="8" width="6.5703125" bestFit="1" customWidth="1"/>
    <col min="9" max="9" width="6.42578125" customWidth="1"/>
    <col min="10" max="10" width="7" bestFit="1" customWidth="1"/>
    <col min="11" max="11" width="5" bestFit="1" customWidth="1"/>
    <col min="12" max="12" width="4.85546875" style="3" bestFit="1" customWidth="1"/>
    <col min="13" max="13" width="7.5703125" bestFit="1" customWidth="1"/>
    <col min="14" max="14" width="7.140625" bestFit="1" customWidth="1"/>
    <col min="15" max="15" width="9.7109375" bestFit="1" customWidth="1"/>
    <col min="16" max="16" width="9.7109375" style="3" bestFit="1" customWidth="1"/>
    <col min="17" max="17" width="7.140625" bestFit="1" customWidth="1"/>
    <col min="18" max="18" width="8" bestFit="1" customWidth="1"/>
    <col min="19" max="19" width="7.5703125" style="3" bestFit="1" customWidth="1"/>
    <col min="20" max="20" width="8.7109375" bestFit="1" customWidth="1"/>
    <col min="21" max="21" width="9.5703125" bestFit="1" customWidth="1"/>
    <col min="22" max="22" width="9" style="3" bestFit="1" customWidth="1"/>
    <col min="23" max="45" width="6.7109375" customWidth="1"/>
    <col min="46" max="46" width="6.7109375" style="3" customWidth="1"/>
    <col min="47" max="47" width="10.42578125" bestFit="1" customWidth="1"/>
    <col min="48" max="48" width="7.5703125" bestFit="1" customWidth="1"/>
    <col min="49" max="49" width="7" style="3" bestFit="1" customWidth="1"/>
    <col min="50" max="50" width="13" bestFit="1" customWidth="1"/>
    <col min="51" max="51" width="9.5703125" style="3" bestFit="1" customWidth="1"/>
    <col min="52" max="52" width="9.5703125" style="365" customWidth="1"/>
    <col min="53" max="53" width="11.7109375" bestFit="1" customWidth="1"/>
    <col min="54" max="54" width="10" style="5" bestFit="1" customWidth="1"/>
    <col min="55" max="55" width="11.42578125" style="5" bestFit="1" customWidth="1"/>
    <col min="56" max="56" width="10.7109375" style="5" customWidth="1"/>
    <col min="57" max="57" width="6.85546875" bestFit="1" customWidth="1"/>
    <col min="58" max="58" width="9.42578125" style="5" bestFit="1" customWidth="1"/>
    <col min="59" max="59" width="9.7109375" style="5" bestFit="1" customWidth="1"/>
    <col min="60" max="60" width="6.140625" style="5" bestFit="1" customWidth="1"/>
    <col min="61" max="61" width="7" bestFit="1" customWidth="1"/>
    <col min="62" max="62" width="12.85546875" style="20" bestFit="1" customWidth="1"/>
    <col min="63" max="63" width="7.7109375" bestFit="1" customWidth="1"/>
    <col min="64" max="64" width="9.5703125" bestFit="1" customWidth="1"/>
    <col min="65" max="65" width="10.5703125" bestFit="1" customWidth="1"/>
    <col min="66" max="66" width="11.140625" customWidth="1"/>
    <col min="67" max="67" width="11.85546875" customWidth="1"/>
    <col min="68" max="68" width="11.140625" customWidth="1"/>
    <col min="69" max="69" width="6" customWidth="1"/>
  </cols>
  <sheetData>
    <row r="1" spans="1:72" s="88" customFormat="1" x14ac:dyDescent="0.25">
      <c r="A1" s="329"/>
      <c r="B1" s="5"/>
      <c r="C1" s="5" t="s">
        <v>124</v>
      </c>
      <c r="D1" s="5" t="s">
        <v>80</v>
      </c>
      <c r="E1" s="5"/>
      <c r="F1" s="5" t="s">
        <v>195</v>
      </c>
      <c r="G1" s="5" t="s">
        <v>194</v>
      </c>
      <c r="H1" s="5" t="s">
        <v>196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365"/>
      <c r="BA1" s="5"/>
      <c r="BB1" s="5"/>
      <c r="BC1" s="5"/>
      <c r="BD1" s="5"/>
      <c r="BE1" s="5"/>
      <c r="BF1" s="5"/>
      <c r="BG1" s="5"/>
      <c r="BH1" s="5"/>
      <c r="BI1" s="5"/>
      <c r="BJ1" s="6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5" customFormat="1" x14ac:dyDescent="0.25">
      <c r="A2" s="322"/>
      <c r="B2" s="5" t="s">
        <v>184</v>
      </c>
      <c r="C2" s="223">
        <f>COUNTIF($B$11:$B$122,B2)</f>
        <v>12</v>
      </c>
      <c r="D2" s="88">
        <f>VLOOKUP($B2,AMABat!$B$2:$C$8,2,FALSE)</f>
        <v>11</v>
      </c>
      <c r="E2" s="5">
        <v>26</v>
      </c>
      <c r="F2" s="105">
        <f>C2/$E2</f>
        <v>0.46153846153846156</v>
      </c>
      <c r="G2" s="106">
        <f>D2/$E2</f>
        <v>0.42307692307692307</v>
      </c>
      <c r="H2" s="105">
        <f>(C2+D2)/$E2</f>
        <v>0.88461538461538458</v>
      </c>
      <c r="AZ2" s="365"/>
      <c r="BJ2" s="65"/>
    </row>
    <row r="3" spans="1:72" s="5" customFormat="1" x14ac:dyDescent="0.25">
      <c r="A3" s="322"/>
      <c r="B3" s="5" t="s">
        <v>185</v>
      </c>
      <c r="C3" s="223">
        <f>COUNTIF($B$11:$B$122,B3)</f>
        <v>0</v>
      </c>
      <c r="D3" s="88">
        <f>VLOOKUP($B3,AMABat!$B$2:$C$8,2,FALSE)</f>
        <v>1</v>
      </c>
      <c r="E3" s="5">
        <v>27</v>
      </c>
      <c r="F3" s="105">
        <f t="shared" ref="F3:F6" si="0">C3/$E3</f>
        <v>0</v>
      </c>
      <c r="G3" s="106">
        <f>D3/$E3</f>
        <v>3.7037037037037035E-2</v>
      </c>
      <c r="H3" s="105">
        <f>(C3+D3)/$E3</f>
        <v>3.7037037037037035E-2</v>
      </c>
      <c r="AZ3" s="365"/>
      <c r="BJ3" s="65"/>
    </row>
    <row r="4" spans="1:72" s="5" customFormat="1" x14ac:dyDescent="0.25">
      <c r="A4" s="322"/>
      <c r="B4" s="5" t="s">
        <v>186</v>
      </c>
      <c r="C4" s="223">
        <f>COUNTIF($B$11:$B$122,B4)</f>
        <v>0</v>
      </c>
      <c r="D4" s="88">
        <f>VLOOKUP($B4,AMABat!$B$2:$C$8,2,FALSE)</f>
        <v>0</v>
      </c>
      <c r="E4" s="5">
        <v>27</v>
      </c>
      <c r="F4" s="105">
        <f t="shared" si="0"/>
        <v>0</v>
      </c>
      <c r="G4" s="106">
        <f>D4/$E4</f>
        <v>0</v>
      </c>
      <c r="H4" s="105">
        <f>(C4+D4)/$E4</f>
        <v>0</v>
      </c>
      <c r="AZ4" s="365"/>
      <c r="BJ4" s="65"/>
    </row>
    <row r="5" spans="1:72" s="5" customFormat="1" x14ac:dyDescent="0.25">
      <c r="A5" s="322"/>
      <c r="B5" s="5" t="s">
        <v>187</v>
      </c>
      <c r="C5" s="223">
        <f>COUNTIF($B$11:$B$122,B5)</f>
        <v>0</v>
      </c>
      <c r="D5" s="88">
        <f>VLOOKUP($B5,AMABat!$B$2:$C$8,2,FALSE)</f>
        <v>0</v>
      </c>
      <c r="E5" s="5">
        <v>27</v>
      </c>
      <c r="F5" s="105">
        <f t="shared" si="0"/>
        <v>0</v>
      </c>
      <c r="G5" s="106">
        <f>D5/$E5</f>
        <v>0</v>
      </c>
      <c r="H5" s="105">
        <f>(C5+D5)/$E5</f>
        <v>0</v>
      </c>
      <c r="AZ5" s="365"/>
      <c r="BJ5" s="65"/>
    </row>
    <row r="6" spans="1:72" s="5" customFormat="1" x14ac:dyDescent="0.25">
      <c r="A6" s="322"/>
      <c r="B6" s="223" t="s">
        <v>277</v>
      </c>
      <c r="C6" s="5">
        <f>COUNTIF($B$11:$B$122,B6)</f>
        <v>0</v>
      </c>
      <c r="D6" s="88">
        <f>VLOOKUP($B6,AMABat!$B$2:$C$8,2,FALSE)</f>
        <v>0</v>
      </c>
      <c r="E6" s="5">
        <v>35</v>
      </c>
      <c r="F6" s="105">
        <f t="shared" si="0"/>
        <v>0</v>
      </c>
      <c r="G6" s="106">
        <f>D6/$E6</f>
        <v>0</v>
      </c>
      <c r="H6" s="105">
        <f>(C6+D6)/$E6</f>
        <v>0</v>
      </c>
      <c r="AZ6" s="365"/>
      <c r="BJ6" s="65"/>
    </row>
    <row r="7" spans="1:72" s="88" customFormat="1" x14ac:dyDescent="0.25">
      <c r="A7" s="329"/>
      <c r="B7" s="5" t="s">
        <v>192</v>
      </c>
      <c r="C7" s="5">
        <f>COUNTBLANK($B$11:$B$122)-COUNTBLANK($K$11:$K$122)</f>
        <v>74</v>
      </c>
      <c r="D7" s="88">
        <f>VLOOKUP($B7,AMABat!$B$2:$C$8,2,FALSE)</f>
        <v>81</v>
      </c>
      <c r="E7" s="106"/>
      <c r="F7" s="105"/>
      <c r="G7" s="106"/>
      <c r="H7" s="10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>
        <f>COUNT(W11,Y11,AA11,AC11,AE11,AG11,AI11,AK11,AM11,AO11,AQ11,AS11)</f>
        <v>5</v>
      </c>
      <c r="AV7" s="5"/>
      <c r="AW7" s="5"/>
      <c r="AX7" s="5"/>
      <c r="AY7" s="5"/>
      <c r="AZ7" s="365"/>
      <c r="BA7" s="5"/>
      <c r="BB7" s="5"/>
      <c r="BC7" s="5"/>
      <c r="BD7" s="5"/>
      <c r="BE7" s="5"/>
      <c r="BF7" s="5"/>
      <c r="BG7" s="5"/>
      <c r="BH7" s="5"/>
      <c r="BI7" s="5"/>
      <c r="BJ7" s="6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88" customFormat="1" x14ac:dyDescent="0.25">
      <c r="A8" s="329"/>
      <c r="B8" s="5" t="s">
        <v>193</v>
      </c>
      <c r="C8" s="5">
        <f>SUM(C2:C7)</f>
        <v>86</v>
      </c>
      <c r="D8" s="5">
        <f>SUM(D2:D7)</f>
        <v>93</v>
      </c>
      <c r="E8" s="5">
        <f>SUM(E2:E7)</f>
        <v>142</v>
      </c>
      <c r="F8" s="105">
        <f t="shared" ref="F8" si="1">C8/$E8</f>
        <v>0.60563380281690138</v>
      </c>
      <c r="G8" s="106">
        <f>D8/$E8</f>
        <v>0.65492957746478875</v>
      </c>
      <c r="H8" s="105">
        <f>(C8+D8)/$E8</f>
        <v>1.2605633802816902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65"/>
      <c r="BA8" s="5"/>
      <c r="BB8" s="5"/>
      <c r="BC8" s="5"/>
      <c r="BD8" s="5"/>
      <c r="BE8" s="5"/>
      <c r="BF8" s="5"/>
      <c r="BG8" s="5"/>
      <c r="BH8" s="5"/>
      <c r="BI8" s="5"/>
      <c r="BJ8" s="6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s="5" customFormat="1" x14ac:dyDescent="0.25">
      <c r="A9" s="322"/>
      <c r="G9" s="322"/>
      <c r="H9" s="205"/>
      <c r="AZ9" s="365"/>
      <c r="BJ9" s="65"/>
    </row>
    <row r="10" spans="1:72" s="1" customFormat="1" x14ac:dyDescent="0.25">
      <c r="A10" s="1" t="s">
        <v>12</v>
      </c>
      <c r="B10" s="1" t="s">
        <v>183</v>
      </c>
      <c r="C10" s="1" t="s">
        <v>188</v>
      </c>
      <c r="D10" s="1" t="s">
        <v>92</v>
      </c>
      <c r="E10" s="1" t="s">
        <v>35</v>
      </c>
      <c r="F10" s="1" t="s">
        <v>398</v>
      </c>
      <c r="G10" s="1" t="s">
        <v>399</v>
      </c>
      <c r="H10" s="1" t="s">
        <v>318</v>
      </c>
      <c r="I10" s="1" t="s">
        <v>1030</v>
      </c>
      <c r="J10" s="1" t="s">
        <v>70</v>
      </c>
      <c r="K10" s="1" t="s">
        <v>80</v>
      </c>
      <c r="L10" s="2" t="s">
        <v>81</v>
      </c>
      <c r="M10" s="1" t="s">
        <v>13</v>
      </c>
      <c r="N10" s="1" t="s">
        <v>14</v>
      </c>
      <c r="O10" s="1" t="s">
        <v>15</v>
      </c>
      <c r="P10" s="2" t="s">
        <v>16</v>
      </c>
      <c r="Q10" s="1" t="s">
        <v>36</v>
      </c>
      <c r="R10" s="1" t="s">
        <v>37</v>
      </c>
      <c r="S10" s="2" t="s">
        <v>17</v>
      </c>
      <c r="T10" s="1" t="s">
        <v>38</v>
      </c>
      <c r="U10" s="1" t="s">
        <v>39</v>
      </c>
      <c r="V10" s="2" t="s">
        <v>22</v>
      </c>
      <c r="W10" s="1" t="s">
        <v>40</v>
      </c>
      <c r="X10" s="1" t="s">
        <v>41</v>
      </c>
      <c r="Y10" s="1" t="s">
        <v>42</v>
      </c>
      <c r="Z10" s="1" t="s">
        <v>43</v>
      </c>
      <c r="AA10" s="1" t="s">
        <v>44</v>
      </c>
      <c r="AB10" s="1" t="s">
        <v>45</v>
      </c>
      <c r="AC10" s="1" t="s">
        <v>46</v>
      </c>
      <c r="AD10" s="1" t="s">
        <v>47</v>
      </c>
      <c r="AE10" s="1" t="s">
        <v>48</v>
      </c>
      <c r="AF10" s="1" t="s">
        <v>49</v>
      </c>
      <c r="AG10" s="1" t="s">
        <v>87</v>
      </c>
      <c r="AH10" s="1" t="s">
        <v>50</v>
      </c>
      <c r="AI10" s="1" t="s">
        <v>51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  <c r="AO10" s="1" t="s">
        <v>57</v>
      </c>
      <c r="AP10" s="1" t="s">
        <v>58</v>
      </c>
      <c r="AQ10" s="1" t="s">
        <v>59</v>
      </c>
      <c r="AR10" s="1" t="s">
        <v>60</v>
      </c>
      <c r="AS10" s="1" t="s">
        <v>61</v>
      </c>
      <c r="AT10" s="2" t="s">
        <v>62</v>
      </c>
      <c r="AU10" s="1" t="s">
        <v>63</v>
      </c>
      <c r="AV10" s="1" t="s">
        <v>64</v>
      </c>
      <c r="AW10" s="2" t="s">
        <v>65</v>
      </c>
      <c r="AX10" s="1" t="s">
        <v>30</v>
      </c>
      <c r="AY10" s="2" t="s">
        <v>31</v>
      </c>
      <c r="AZ10" s="4" t="s">
        <v>760</v>
      </c>
      <c r="BA10" s="1" t="s">
        <v>90</v>
      </c>
      <c r="BB10" s="4" t="s">
        <v>67</v>
      </c>
      <c r="BC10" s="4" t="s">
        <v>91</v>
      </c>
      <c r="BD10" s="4" t="s">
        <v>1031</v>
      </c>
      <c r="BE10" s="4" t="s">
        <v>66</v>
      </c>
      <c r="BF10" s="4" t="s">
        <v>69</v>
      </c>
      <c r="BG10" s="4" t="s">
        <v>166</v>
      </c>
      <c r="BH10" s="4" t="s">
        <v>179</v>
      </c>
      <c r="BI10" s="1" t="s">
        <v>93</v>
      </c>
      <c r="BJ10" s="110" t="s">
        <v>206</v>
      </c>
      <c r="BK10" s="1" t="s">
        <v>205</v>
      </c>
      <c r="BL10" s="1" t="s">
        <v>305</v>
      </c>
      <c r="BM10" s="1" t="s">
        <v>306</v>
      </c>
      <c r="BN10" s="1" t="s">
        <v>316</v>
      </c>
      <c r="BO10" s="1" t="s">
        <v>317</v>
      </c>
      <c r="BP10" s="1" t="s">
        <v>310</v>
      </c>
      <c r="BQ10" s="1" t="s">
        <v>315</v>
      </c>
    </row>
    <row r="11" spans="1:72" s="305" customFormat="1" x14ac:dyDescent="0.25">
      <c r="A11" s="248" t="str">
        <f t="shared" ref="A11:A42" si="2">F11&amp;" "&amp;G11</f>
        <v>Iwao Maruyama</v>
      </c>
      <c r="B11" s="248" t="str">
        <f>IF(ISERROR(VLOOKUP(A11,AMA!$C$53:$C$100,1,FALSE)),IF(ISERROR(VLOOKUP(A11,'END-AAA'!$C$51:$C$100,1,FALSE)),IF(ISERROR(VLOOKUP(A11,'DB-AA'!$C$51:$C$100,1,FALSE)),IF(ISERROR(VLOOKUP(A11,'UTR-A'!$C$51:$C$100,1,FALSE)),IF(ISERROR(VLOOKUP(A11,'FAI-S A'!$C$51:$C$100,1,FALSE)),"","S A"),"A"),"AA"),"AAA"),"ML")</f>
        <v>ML</v>
      </c>
      <c r="C11" s="242"/>
      <c r="D11" s="242" t="str">
        <f t="shared" ref="D11:D42" si="3">IF(OR(OR(O11="Very High",O11="High"),AND(OR(O11="Very High",O11="High",O11="Normal"),OR(P11="Very High",P11="High"))),"K","T")</f>
        <v>T</v>
      </c>
      <c r="E11" s="241" t="s">
        <v>87</v>
      </c>
      <c r="F11" s="241" t="s">
        <v>539</v>
      </c>
      <c r="G11" s="241" t="s">
        <v>540</v>
      </c>
      <c r="H11" s="241" t="s">
        <v>763</v>
      </c>
      <c r="I11" s="241" t="s">
        <v>402</v>
      </c>
      <c r="J11" s="241">
        <v>27</v>
      </c>
      <c r="K11" s="241" t="s">
        <v>83</v>
      </c>
      <c r="L11" s="298" t="s">
        <v>83</v>
      </c>
      <c r="M11" s="241" t="s">
        <v>865</v>
      </c>
      <c r="N11" s="241" t="s">
        <v>765</v>
      </c>
      <c r="O11" s="241" t="s">
        <v>200</v>
      </c>
      <c r="P11" s="298" t="s">
        <v>200</v>
      </c>
      <c r="Q11" s="241">
        <v>7</v>
      </c>
      <c r="R11" s="241">
        <v>7</v>
      </c>
      <c r="S11" s="298">
        <v>7</v>
      </c>
      <c r="T11" s="241">
        <v>7</v>
      </c>
      <c r="U11" s="241">
        <v>7</v>
      </c>
      <c r="V11" s="298">
        <v>8</v>
      </c>
      <c r="W11" s="241">
        <v>7</v>
      </c>
      <c r="X11" s="241">
        <v>7</v>
      </c>
      <c r="Y11" s="241">
        <v>3</v>
      </c>
      <c r="Z11" s="241">
        <v>3</v>
      </c>
      <c r="AA11" s="241">
        <v>8</v>
      </c>
      <c r="AB11" s="241">
        <v>8</v>
      </c>
      <c r="AC11" s="241" t="s">
        <v>32</v>
      </c>
      <c r="AD11" s="241" t="s">
        <v>32</v>
      </c>
      <c r="AE11" s="241">
        <v>8</v>
      </c>
      <c r="AF11" s="241">
        <v>8</v>
      </c>
      <c r="AG11" s="241" t="s">
        <v>32</v>
      </c>
      <c r="AH11" s="241" t="s">
        <v>32</v>
      </c>
      <c r="AI11" s="241" t="s">
        <v>32</v>
      </c>
      <c r="AJ11" s="241" t="s">
        <v>32</v>
      </c>
      <c r="AK11" s="241">
        <v>8</v>
      </c>
      <c r="AL11" s="241">
        <v>8</v>
      </c>
      <c r="AM11" s="241" t="s">
        <v>32</v>
      </c>
      <c r="AN11" s="241" t="s">
        <v>32</v>
      </c>
      <c r="AO11" s="241" t="s">
        <v>32</v>
      </c>
      <c r="AP11" s="241" t="s">
        <v>32</v>
      </c>
      <c r="AQ11" s="241" t="s">
        <v>32</v>
      </c>
      <c r="AR11" s="241" t="s">
        <v>32</v>
      </c>
      <c r="AS11" s="241" t="s">
        <v>32</v>
      </c>
      <c r="AT11" s="298" t="s">
        <v>32</v>
      </c>
      <c r="AU11" s="241" t="s">
        <v>209</v>
      </c>
      <c r="AV11" s="241">
        <v>9</v>
      </c>
      <c r="AW11" s="299" t="s">
        <v>393</v>
      </c>
      <c r="AX11" s="300">
        <v>10520000</v>
      </c>
      <c r="AY11" s="298">
        <v>1</v>
      </c>
      <c r="AZ11" s="240" t="s">
        <v>779</v>
      </c>
      <c r="BA11" s="301">
        <f t="shared" ref="BA11:BA42" si="4">AVERAGE(Q11:S11)+0.25*MAX(0,(COUNT(W11,Y11,AA11,AC11,AE11,AG11,AI11,AK11,AM11,AO11,AQ11,AS11)-3))+IF(AW11&gt;0.55,0.25,0)+IF(MAX(W11,Y11,AA11,AC11,AE11,AG11,AI11,AK11,AM11,AO11,AQ11,AS11)&gt;5,0.25,0)</f>
        <v>8</v>
      </c>
      <c r="BB11" s="302" t="str">
        <f t="shared" ref="BB11:BB42" si="5">IF(BA11&gt;9,"SuperStar",IF(BA11&gt;8,"Star",IF(BA11&gt;6.5,"GoodReg",IF(BA11&gt;5,"Reg",IF(BA11&gt;4,"Bench","Minors")))))</f>
        <v>GoodReg</v>
      </c>
      <c r="BC11" s="302">
        <f t="shared" ref="BC11:BC42" si="6">AVERAGE(T11:V11)+0.25*MAX(0,(COUNT(X11,Z11,AB11,AD11,AF11,AH11,AJ11,AL11,AN11,AP11,AR11,AT11)-3))+IF(AW11&gt;0.55,0.25,0)+IF(MAX(X11,Z11,AB11,AD11,AF11,AH11,AJ11,AL11,AN11,AP11,AR11,AT11)&gt;5,0.25,0)</f>
        <v>8.3333333333333321</v>
      </c>
      <c r="BD11" s="302" t="str">
        <f t="shared" ref="BD11:BD42" si="7">IF(BC11&gt;9,"SuperStar",IF(BC11&gt;8,"Star",IF(BC11&gt;6.5,"GoodReg",IF(BC11&gt;5,"Reg",IF(BC11&gt;4,"Bench","Minors")))))</f>
        <v>Star</v>
      </c>
      <c r="BE11" s="302">
        <f t="shared" ref="BE11:BE42" si="8">MIN(BA11+(MAX(0,25-U11))^1.5,BC11)</f>
        <v>8.3333333333333321</v>
      </c>
      <c r="BF11" s="302" t="str">
        <f t="shared" ref="BF11:BF42" si="9">IF(BE11&gt;9,"SuperStar",IF(BE11&gt;8,"Star",IF(BE11&gt;6.5,"GoodReg",IF(BE11&gt;5,"Reg",IF(BE11&gt;4,"Bench","Minors")))))</f>
        <v>Star</v>
      </c>
      <c r="BG11" s="303">
        <f t="shared" ref="BG11:BG42" si="10">COUNT(W11:AT11)/2</f>
        <v>5</v>
      </c>
      <c r="BH11" s="304">
        <f t="shared" ref="BH11:BH42" si="11">COUNTIF(W11:AT11,"&gt;5")/2</f>
        <v>4</v>
      </c>
      <c r="BI11" s="241" t="str">
        <f t="shared" ref="BI11:BI42" si="12">IF(AY11=1,"Yes","")</f>
        <v>Yes</v>
      </c>
      <c r="BJ11" s="241" t="str">
        <f t="shared" ref="BJ11:BJ42" si="13">IF(B11="ML","There",IF(AVERAGE($T11:$V11)&gt;=6,"Likely",IF(AVERAGE($T11:$V11)&gt;=4,"Possible","Unlikely")))</f>
        <v>There</v>
      </c>
      <c r="BK11" s="242" t="str">
        <f t="shared" ref="BK11:BK42" si="14">IF(AVERAGE(Q11:S11)&gt;=5.5,"ML",IF(AVERAGE(Q11:S11)&gt;=4.5,"AAA",IF(AVERAGE(Q11:S11)&gt;=4,"AA",IF(AVERAGE(Q11:S11)&gt;=3.5,"A","SS-A"))))</f>
        <v>ML</v>
      </c>
      <c r="BL11" s="242">
        <f t="shared" ref="BL11:BL42" si="15">SUM(Q11:S11)</f>
        <v>21</v>
      </c>
      <c r="BM11" s="242">
        <f t="shared" ref="BM11:BM42" si="16">SUM(T11:V11)</f>
        <v>22</v>
      </c>
      <c r="BN11" s="242">
        <f t="shared" ref="BN11:BN42" si="17">Q11-T11</f>
        <v>0</v>
      </c>
      <c r="BO11" s="242">
        <f t="shared" ref="BO11:BO42" si="18">R11-U11</f>
        <v>0</v>
      </c>
      <c r="BP11" s="242">
        <f t="shared" ref="BP11:BP42" si="19">S11-V11</f>
        <v>-1</v>
      </c>
      <c r="BQ11" s="242">
        <f t="shared" ref="BQ11:BQ42" si="20">SUM(BN11:BP11)</f>
        <v>-1</v>
      </c>
    </row>
    <row r="12" spans="1:72" s="305" customFormat="1" x14ac:dyDescent="0.25">
      <c r="A12" s="248" t="str">
        <f t="shared" si="2"/>
        <v>ENRIQUE VÁZQUEZ</v>
      </c>
      <c r="B12" s="248" t="str">
        <f>IF(ISERROR(VLOOKUP(A12,AMA!$C$53:$C$100,1,FALSE)),IF(ISERROR(VLOOKUP(A12,'END-AAA'!$C$51:$C$100,1,FALSE)),IF(ISERROR(VLOOKUP(A12,'DB-AA'!$C$51:$C$100,1,FALSE)),IF(ISERROR(VLOOKUP(A12,'UTR-A'!$C$51:$C$100,1,FALSE)),IF(ISERROR(VLOOKUP(A12,'FAI-S A'!$C$51:$C$100,1,FALSE)),"","S A"),"A"),"AA"),"AAA"),"ML")</f>
        <v>ML</v>
      </c>
      <c r="C12" s="242"/>
      <c r="D12" s="242" t="str">
        <f t="shared" si="3"/>
        <v>T</v>
      </c>
      <c r="E12" s="241" t="s">
        <v>87</v>
      </c>
      <c r="F12" s="241" t="s">
        <v>1141</v>
      </c>
      <c r="G12" s="241" t="s">
        <v>1266</v>
      </c>
      <c r="H12" s="241" t="s">
        <v>763</v>
      </c>
      <c r="I12" s="241" t="s">
        <v>402</v>
      </c>
      <c r="J12" s="241">
        <v>31</v>
      </c>
      <c r="K12" s="241" t="s">
        <v>83</v>
      </c>
      <c r="L12" s="298" t="s">
        <v>82</v>
      </c>
      <c r="M12" s="241" t="s">
        <v>922</v>
      </c>
      <c r="N12" s="241" t="s">
        <v>922</v>
      </c>
      <c r="O12" s="241" t="s">
        <v>200</v>
      </c>
      <c r="P12" s="298" t="s">
        <v>200</v>
      </c>
      <c r="Q12" s="241">
        <v>10</v>
      </c>
      <c r="R12" s="241">
        <v>7</v>
      </c>
      <c r="S12" s="298">
        <v>5</v>
      </c>
      <c r="T12" s="241">
        <v>10</v>
      </c>
      <c r="U12" s="241">
        <v>7</v>
      </c>
      <c r="V12" s="298">
        <v>5</v>
      </c>
      <c r="W12" s="241">
        <v>10</v>
      </c>
      <c r="X12" s="241">
        <v>10</v>
      </c>
      <c r="Y12" s="241">
        <v>10</v>
      </c>
      <c r="Z12" s="241">
        <v>10</v>
      </c>
      <c r="AA12" s="241" t="s">
        <v>32</v>
      </c>
      <c r="AB12" s="241" t="s">
        <v>32</v>
      </c>
      <c r="AC12" s="241" t="s">
        <v>32</v>
      </c>
      <c r="AD12" s="241" t="s">
        <v>32</v>
      </c>
      <c r="AE12" s="241">
        <v>8</v>
      </c>
      <c r="AF12" s="241">
        <v>8</v>
      </c>
      <c r="AG12" s="241" t="s">
        <v>32</v>
      </c>
      <c r="AH12" s="241" t="s">
        <v>32</v>
      </c>
      <c r="AI12" s="241" t="s">
        <v>32</v>
      </c>
      <c r="AJ12" s="241" t="s">
        <v>32</v>
      </c>
      <c r="AK12" s="241" t="s">
        <v>32</v>
      </c>
      <c r="AL12" s="241" t="s">
        <v>32</v>
      </c>
      <c r="AM12" s="241" t="s">
        <v>32</v>
      </c>
      <c r="AN12" s="241" t="s">
        <v>32</v>
      </c>
      <c r="AO12" s="241" t="s">
        <v>32</v>
      </c>
      <c r="AP12" s="241" t="s">
        <v>32</v>
      </c>
      <c r="AQ12" s="241" t="s">
        <v>32</v>
      </c>
      <c r="AR12" s="241" t="s">
        <v>32</v>
      </c>
      <c r="AS12" s="241" t="s">
        <v>32</v>
      </c>
      <c r="AT12" s="298" t="s">
        <v>32</v>
      </c>
      <c r="AU12" s="241" t="s">
        <v>326</v>
      </c>
      <c r="AV12" s="241">
        <v>10</v>
      </c>
      <c r="AW12" s="299" t="s">
        <v>490</v>
      </c>
      <c r="AX12" s="300">
        <v>43980000</v>
      </c>
      <c r="AY12" s="298">
        <v>6</v>
      </c>
      <c r="AZ12" s="240" t="s">
        <v>779</v>
      </c>
      <c r="BA12" s="301">
        <f t="shared" si="4"/>
        <v>7.833333333333333</v>
      </c>
      <c r="BB12" s="302" t="str">
        <f t="shared" si="5"/>
        <v>GoodReg</v>
      </c>
      <c r="BC12" s="302">
        <f t="shared" si="6"/>
        <v>7.833333333333333</v>
      </c>
      <c r="BD12" s="302" t="str">
        <f t="shared" si="7"/>
        <v>GoodReg</v>
      </c>
      <c r="BE12" s="302">
        <f t="shared" si="8"/>
        <v>7.833333333333333</v>
      </c>
      <c r="BF12" s="302" t="str">
        <f t="shared" si="9"/>
        <v>GoodReg</v>
      </c>
      <c r="BG12" s="303">
        <f t="shared" si="10"/>
        <v>3</v>
      </c>
      <c r="BH12" s="304">
        <f t="shared" si="11"/>
        <v>3</v>
      </c>
      <c r="BI12" s="241" t="str">
        <f t="shared" si="12"/>
        <v/>
      </c>
      <c r="BJ12" s="241" t="str">
        <f t="shared" si="13"/>
        <v>There</v>
      </c>
      <c r="BK12" s="242" t="str">
        <f t="shared" si="14"/>
        <v>ML</v>
      </c>
      <c r="BL12" s="242">
        <f t="shared" si="15"/>
        <v>22</v>
      </c>
      <c r="BM12" s="242">
        <f t="shared" si="16"/>
        <v>22</v>
      </c>
      <c r="BN12" s="242">
        <f t="shared" si="17"/>
        <v>0</v>
      </c>
      <c r="BO12" s="242">
        <f t="shared" si="18"/>
        <v>0</v>
      </c>
      <c r="BP12" s="242">
        <f t="shared" si="19"/>
        <v>0</v>
      </c>
      <c r="BQ12" s="242">
        <f t="shared" si="20"/>
        <v>0</v>
      </c>
    </row>
    <row r="13" spans="1:72" s="305" customFormat="1" x14ac:dyDescent="0.25">
      <c r="A13" s="248" t="str">
        <f t="shared" si="2"/>
        <v>Manuel Canales</v>
      </c>
      <c r="B13" s="248" t="str">
        <f>IF(ISERROR(VLOOKUP(A13,AMA!$C$53:$C$100,1,FALSE)),IF(ISERROR(VLOOKUP(A13,'END-AAA'!$C$51:$C$100,1,FALSE)),IF(ISERROR(VLOOKUP(A13,'DB-AA'!$C$51:$C$100,1,FALSE)),IF(ISERROR(VLOOKUP(A13,'UTR-A'!$C$51:$C$100,1,FALSE)),IF(ISERROR(VLOOKUP(A13,'FAI-S A'!$C$51:$C$100,1,FALSE)),"","S A"),"A"),"AA"),"AAA"),"ML")</f>
        <v>ML</v>
      </c>
      <c r="C13" s="242"/>
      <c r="D13" s="242" t="str">
        <f t="shared" si="3"/>
        <v>T</v>
      </c>
      <c r="E13" s="241" t="s">
        <v>87</v>
      </c>
      <c r="F13" s="241" t="s">
        <v>429</v>
      </c>
      <c r="G13" s="241" t="s">
        <v>711</v>
      </c>
      <c r="H13" s="241" t="s">
        <v>763</v>
      </c>
      <c r="I13" s="241" t="s">
        <v>402</v>
      </c>
      <c r="J13" s="241">
        <v>24</v>
      </c>
      <c r="K13" s="241" t="s">
        <v>83</v>
      </c>
      <c r="L13" s="298" t="s">
        <v>83</v>
      </c>
      <c r="M13" s="241" t="s">
        <v>764</v>
      </c>
      <c r="N13" s="241" t="s">
        <v>765</v>
      </c>
      <c r="O13" s="241" t="s">
        <v>201</v>
      </c>
      <c r="P13" s="298" t="s">
        <v>199</v>
      </c>
      <c r="Q13" s="241">
        <v>9</v>
      </c>
      <c r="R13" s="241">
        <v>4</v>
      </c>
      <c r="S13" s="298">
        <v>7</v>
      </c>
      <c r="T13" s="241">
        <v>9</v>
      </c>
      <c r="U13" s="241">
        <v>4</v>
      </c>
      <c r="V13" s="298">
        <v>8</v>
      </c>
      <c r="W13" s="241">
        <v>8</v>
      </c>
      <c r="X13" s="241">
        <v>8</v>
      </c>
      <c r="Y13" s="241">
        <v>5</v>
      </c>
      <c r="Z13" s="241">
        <v>8</v>
      </c>
      <c r="AA13" s="241">
        <v>10</v>
      </c>
      <c r="AB13" s="241">
        <v>10</v>
      </c>
      <c r="AC13" s="241">
        <v>3</v>
      </c>
      <c r="AD13" s="241">
        <v>3</v>
      </c>
      <c r="AE13" s="241" t="s">
        <v>32</v>
      </c>
      <c r="AF13" s="241" t="s">
        <v>32</v>
      </c>
      <c r="AG13" s="241" t="s">
        <v>32</v>
      </c>
      <c r="AH13" s="241" t="s">
        <v>32</v>
      </c>
      <c r="AI13" s="241">
        <v>8</v>
      </c>
      <c r="AJ13" s="241">
        <v>8</v>
      </c>
      <c r="AK13" s="241" t="s">
        <v>32</v>
      </c>
      <c r="AL13" s="241" t="s">
        <v>32</v>
      </c>
      <c r="AM13" s="241" t="s">
        <v>32</v>
      </c>
      <c r="AN13" s="241" t="s">
        <v>32</v>
      </c>
      <c r="AO13" s="241" t="s">
        <v>32</v>
      </c>
      <c r="AP13" s="241" t="s">
        <v>32</v>
      </c>
      <c r="AQ13" s="241" t="s">
        <v>32</v>
      </c>
      <c r="AR13" s="241" t="s">
        <v>32</v>
      </c>
      <c r="AS13" s="241" t="s">
        <v>32</v>
      </c>
      <c r="AT13" s="298" t="s">
        <v>32</v>
      </c>
      <c r="AU13" s="241" t="s">
        <v>6</v>
      </c>
      <c r="AV13" s="241">
        <v>6</v>
      </c>
      <c r="AW13" s="299" t="s">
        <v>393</v>
      </c>
      <c r="AX13" s="300">
        <v>560000</v>
      </c>
      <c r="AY13" s="298" t="s">
        <v>33</v>
      </c>
      <c r="AZ13" s="240" t="s">
        <v>779</v>
      </c>
      <c r="BA13" s="301">
        <f t="shared" si="4"/>
        <v>7.666666666666667</v>
      </c>
      <c r="BB13" s="302" t="str">
        <f t="shared" si="5"/>
        <v>GoodReg</v>
      </c>
      <c r="BC13" s="302">
        <f t="shared" si="6"/>
        <v>8</v>
      </c>
      <c r="BD13" s="302" t="str">
        <f t="shared" si="7"/>
        <v>GoodReg</v>
      </c>
      <c r="BE13" s="302">
        <f t="shared" si="8"/>
        <v>8</v>
      </c>
      <c r="BF13" s="302" t="str">
        <f t="shared" si="9"/>
        <v>GoodReg</v>
      </c>
      <c r="BG13" s="303">
        <f t="shared" si="10"/>
        <v>5</v>
      </c>
      <c r="BH13" s="304">
        <f t="shared" si="11"/>
        <v>3.5</v>
      </c>
      <c r="BI13" s="241" t="str">
        <f t="shared" si="12"/>
        <v/>
      </c>
      <c r="BJ13" s="241" t="str">
        <f t="shared" si="13"/>
        <v>There</v>
      </c>
      <c r="BK13" s="242" t="str">
        <f t="shared" si="14"/>
        <v>ML</v>
      </c>
      <c r="BL13" s="242">
        <f t="shared" si="15"/>
        <v>20</v>
      </c>
      <c r="BM13" s="242">
        <f t="shared" si="16"/>
        <v>21</v>
      </c>
      <c r="BN13" s="242">
        <f t="shared" si="17"/>
        <v>0</v>
      </c>
      <c r="BO13" s="242">
        <f t="shared" si="18"/>
        <v>0</v>
      </c>
      <c r="BP13" s="242">
        <f t="shared" si="19"/>
        <v>-1</v>
      </c>
      <c r="BQ13" s="242">
        <f t="shared" si="20"/>
        <v>-1</v>
      </c>
    </row>
    <row r="14" spans="1:72" s="305" customFormat="1" x14ac:dyDescent="0.25">
      <c r="A14" s="248" t="str">
        <f t="shared" si="2"/>
        <v>Kelsey Buck</v>
      </c>
      <c r="B14" s="248" t="str">
        <f>IF(ISERROR(VLOOKUP(A14,AMA!$C$53:$C$100,1,FALSE)),IF(ISERROR(VLOOKUP(A14,'END-AAA'!$C$51:$C$100,1,FALSE)),IF(ISERROR(VLOOKUP(A14,'DB-AA'!$C$51:$C$100,1,FALSE)),IF(ISERROR(VLOOKUP(A14,'UTR-A'!$C$51:$C$100,1,FALSE)),IF(ISERROR(VLOOKUP(A14,'FAI-S A'!$C$51:$C$100,1,FALSE)),"","S A"),"A"),"AA"),"AAA"),"ML")</f>
        <v>ML</v>
      </c>
      <c r="C14" s="242"/>
      <c r="D14" s="242" t="str">
        <f t="shared" si="3"/>
        <v>T</v>
      </c>
      <c r="E14" s="241" t="s">
        <v>11</v>
      </c>
      <c r="F14" s="241" t="s">
        <v>920</v>
      </c>
      <c r="G14" s="241" t="s">
        <v>921</v>
      </c>
      <c r="H14" s="241" t="s">
        <v>763</v>
      </c>
      <c r="I14" s="241" t="s">
        <v>402</v>
      </c>
      <c r="J14" s="241">
        <v>28</v>
      </c>
      <c r="K14" s="241" t="s">
        <v>83</v>
      </c>
      <c r="L14" s="298" t="s">
        <v>83</v>
      </c>
      <c r="M14" s="241" t="s">
        <v>765</v>
      </c>
      <c r="N14" s="241" t="s">
        <v>765</v>
      </c>
      <c r="O14" s="241" t="s">
        <v>200</v>
      </c>
      <c r="P14" s="298" t="s">
        <v>200</v>
      </c>
      <c r="Q14" s="241">
        <v>10</v>
      </c>
      <c r="R14" s="241">
        <v>5</v>
      </c>
      <c r="S14" s="298">
        <v>6</v>
      </c>
      <c r="T14" s="241">
        <v>10</v>
      </c>
      <c r="U14" s="241">
        <v>6</v>
      </c>
      <c r="V14" s="298">
        <v>7</v>
      </c>
      <c r="W14" s="241">
        <v>9</v>
      </c>
      <c r="X14" s="241">
        <v>9</v>
      </c>
      <c r="Y14" s="241">
        <v>2</v>
      </c>
      <c r="Z14" s="241">
        <v>2</v>
      </c>
      <c r="AA14" s="241" t="s">
        <v>32</v>
      </c>
      <c r="AB14" s="241" t="s">
        <v>32</v>
      </c>
      <c r="AC14" s="241">
        <v>10</v>
      </c>
      <c r="AD14" s="241">
        <v>10</v>
      </c>
      <c r="AE14" s="241" t="s">
        <v>32</v>
      </c>
      <c r="AF14" s="241" t="s">
        <v>32</v>
      </c>
      <c r="AG14" s="241" t="s">
        <v>32</v>
      </c>
      <c r="AH14" s="241" t="s">
        <v>32</v>
      </c>
      <c r="AI14" s="241" t="s">
        <v>32</v>
      </c>
      <c r="AJ14" s="241" t="s">
        <v>32</v>
      </c>
      <c r="AK14" s="241" t="s">
        <v>32</v>
      </c>
      <c r="AL14" s="241" t="s">
        <v>32</v>
      </c>
      <c r="AM14" s="241" t="s">
        <v>32</v>
      </c>
      <c r="AN14" s="241" t="s">
        <v>32</v>
      </c>
      <c r="AO14" s="241" t="s">
        <v>32</v>
      </c>
      <c r="AP14" s="241" t="s">
        <v>32</v>
      </c>
      <c r="AQ14" s="241" t="s">
        <v>32</v>
      </c>
      <c r="AR14" s="241" t="s">
        <v>32</v>
      </c>
      <c r="AS14" s="241" t="s">
        <v>32</v>
      </c>
      <c r="AT14" s="298" t="s">
        <v>32</v>
      </c>
      <c r="AU14" s="241" t="s">
        <v>4</v>
      </c>
      <c r="AV14" s="241">
        <v>9</v>
      </c>
      <c r="AW14" s="299" t="s">
        <v>393</v>
      </c>
      <c r="AX14" s="300">
        <v>865000</v>
      </c>
      <c r="AY14" s="298" t="s">
        <v>34</v>
      </c>
      <c r="AZ14" s="240" t="s">
        <v>779</v>
      </c>
      <c r="BA14" s="301">
        <f t="shared" si="4"/>
        <v>7.5</v>
      </c>
      <c r="BB14" s="302" t="str">
        <f t="shared" si="5"/>
        <v>GoodReg</v>
      </c>
      <c r="BC14" s="302">
        <f t="shared" si="6"/>
        <v>8.1666666666666679</v>
      </c>
      <c r="BD14" s="302" t="str">
        <f t="shared" si="7"/>
        <v>Star</v>
      </c>
      <c r="BE14" s="302">
        <f t="shared" si="8"/>
        <v>8.1666666666666679</v>
      </c>
      <c r="BF14" s="302" t="str">
        <f t="shared" si="9"/>
        <v>Star</v>
      </c>
      <c r="BG14" s="303">
        <f t="shared" si="10"/>
        <v>3</v>
      </c>
      <c r="BH14" s="304">
        <f t="shared" si="11"/>
        <v>2</v>
      </c>
      <c r="BI14" s="241" t="str">
        <f t="shared" si="12"/>
        <v/>
      </c>
      <c r="BJ14" s="241" t="str">
        <f t="shared" si="13"/>
        <v>There</v>
      </c>
      <c r="BK14" s="242" t="str">
        <f t="shared" si="14"/>
        <v>ML</v>
      </c>
      <c r="BL14" s="242">
        <f t="shared" si="15"/>
        <v>21</v>
      </c>
      <c r="BM14" s="242">
        <f t="shared" si="16"/>
        <v>23</v>
      </c>
      <c r="BN14" s="242">
        <f t="shared" si="17"/>
        <v>0</v>
      </c>
      <c r="BO14" s="242">
        <f t="shared" si="18"/>
        <v>-1</v>
      </c>
      <c r="BP14" s="242">
        <f t="shared" si="19"/>
        <v>-1</v>
      </c>
      <c r="BQ14" s="242">
        <f t="shared" si="20"/>
        <v>-2</v>
      </c>
    </row>
    <row r="15" spans="1:72" s="305" customFormat="1" x14ac:dyDescent="0.25">
      <c r="A15" s="248" t="str">
        <f t="shared" si="2"/>
        <v>Ju-hyung Park</v>
      </c>
      <c r="B15" s="248" t="str">
        <f>IF(ISERROR(VLOOKUP(A15,AMA!$C$53:$C$100,1,FALSE)),IF(ISERROR(VLOOKUP(A15,'END-AAA'!$C$51:$C$100,1,FALSE)),IF(ISERROR(VLOOKUP(A15,'DB-AA'!$C$51:$C$100,1,FALSE)),IF(ISERROR(VLOOKUP(A15,'UTR-A'!$C$51:$C$100,1,FALSE)),IF(ISERROR(VLOOKUP(A15,'FAI-S A'!$C$51:$C$100,1,FALSE)),"","S A"),"A"),"AA"),"AAA"),"ML")</f>
        <v>ML</v>
      </c>
      <c r="C15" s="242"/>
      <c r="D15" s="242" t="str">
        <f t="shared" si="3"/>
        <v>T</v>
      </c>
      <c r="E15" s="241" t="s">
        <v>11</v>
      </c>
      <c r="F15" s="241" t="s">
        <v>923</v>
      </c>
      <c r="G15" s="241" t="s">
        <v>408</v>
      </c>
      <c r="H15" s="241" t="s">
        <v>763</v>
      </c>
      <c r="I15" s="241" t="s">
        <v>402</v>
      </c>
      <c r="J15" s="241">
        <v>28</v>
      </c>
      <c r="K15" s="241" t="s">
        <v>83</v>
      </c>
      <c r="L15" s="298" t="s">
        <v>83</v>
      </c>
      <c r="M15" s="241" t="s">
        <v>765</v>
      </c>
      <c r="N15" s="241" t="s">
        <v>765</v>
      </c>
      <c r="O15" s="241" t="s">
        <v>200</v>
      </c>
      <c r="P15" s="298" t="s">
        <v>200</v>
      </c>
      <c r="Q15" s="241">
        <v>7</v>
      </c>
      <c r="R15" s="241">
        <v>7</v>
      </c>
      <c r="S15" s="298">
        <v>6</v>
      </c>
      <c r="T15" s="241">
        <v>7</v>
      </c>
      <c r="U15" s="241">
        <v>7</v>
      </c>
      <c r="V15" s="298">
        <v>7</v>
      </c>
      <c r="W15" s="241">
        <v>8</v>
      </c>
      <c r="X15" s="241">
        <v>8</v>
      </c>
      <c r="Y15" s="241">
        <v>8</v>
      </c>
      <c r="Z15" s="241">
        <v>8</v>
      </c>
      <c r="AA15" s="241">
        <v>5</v>
      </c>
      <c r="AB15" s="241">
        <v>5</v>
      </c>
      <c r="AC15" s="241">
        <v>4</v>
      </c>
      <c r="AD15" s="241">
        <v>4</v>
      </c>
      <c r="AE15" s="241" t="s">
        <v>32</v>
      </c>
      <c r="AF15" s="241" t="s">
        <v>32</v>
      </c>
      <c r="AG15" s="241" t="s">
        <v>32</v>
      </c>
      <c r="AH15" s="241" t="s">
        <v>32</v>
      </c>
      <c r="AI15" s="241" t="s">
        <v>32</v>
      </c>
      <c r="AJ15" s="241" t="s">
        <v>32</v>
      </c>
      <c r="AK15" s="241" t="s">
        <v>32</v>
      </c>
      <c r="AL15" s="241" t="s">
        <v>32</v>
      </c>
      <c r="AM15" s="241" t="s">
        <v>32</v>
      </c>
      <c r="AN15" s="241" t="s">
        <v>32</v>
      </c>
      <c r="AO15" s="241" t="s">
        <v>32</v>
      </c>
      <c r="AP15" s="241" t="s">
        <v>32</v>
      </c>
      <c r="AQ15" s="241" t="s">
        <v>32</v>
      </c>
      <c r="AR15" s="241" t="s">
        <v>32</v>
      </c>
      <c r="AS15" s="241" t="s">
        <v>32</v>
      </c>
      <c r="AT15" s="298" t="s">
        <v>32</v>
      </c>
      <c r="AU15" s="241" t="s">
        <v>7</v>
      </c>
      <c r="AV15" s="241">
        <v>7</v>
      </c>
      <c r="AW15" s="299" t="s">
        <v>490</v>
      </c>
      <c r="AX15" s="300">
        <v>800000</v>
      </c>
      <c r="AY15" s="298" t="s">
        <v>34</v>
      </c>
      <c r="AZ15" s="240" t="s">
        <v>779</v>
      </c>
      <c r="BA15" s="301">
        <f t="shared" si="4"/>
        <v>7.416666666666667</v>
      </c>
      <c r="BB15" s="302" t="str">
        <f t="shared" si="5"/>
        <v>GoodReg</v>
      </c>
      <c r="BC15" s="302">
        <f t="shared" si="6"/>
        <v>7.75</v>
      </c>
      <c r="BD15" s="302" t="str">
        <f t="shared" si="7"/>
        <v>GoodReg</v>
      </c>
      <c r="BE15" s="302">
        <f t="shared" si="8"/>
        <v>7.75</v>
      </c>
      <c r="BF15" s="302" t="str">
        <f t="shared" si="9"/>
        <v>GoodReg</v>
      </c>
      <c r="BG15" s="303">
        <f t="shared" si="10"/>
        <v>4</v>
      </c>
      <c r="BH15" s="304">
        <f t="shared" si="11"/>
        <v>2</v>
      </c>
      <c r="BI15" s="241" t="str">
        <f t="shared" si="12"/>
        <v/>
      </c>
      <c r="BJ15" s="241" t="str">
        <f t="shared" si="13"/>
        <v>There</v>
      </c>
      <c r="BK15" s="242" t="str">
        <f t="shared" si="14"/>
        <v>ML</v>
      </c>
      <c r="BL15" s="242">
        <f t="shared" si="15"/>
        <v>20</v>
      </c>
      <c r="BM15" s="242">
        <f t="shared" si="16"/>
        <v>21</v>
      </c>
      <c r="BN15" s="242">
        <f t="shared" si="17"/>
        <v>0</v>
      </c>
      <c r="BO15" s="242">
        <f t="shared" si="18"/>
        <v>0</v>
      </c>
      <c r="BP15" s="242">
        <f t="shared" si="19"/>
        <v>-1</v>
      </c>
      <c r="BQ15" s="242">
        <f t="shared" si="20"/>
        <v>-1</v>
      </c>
    </row>
    <row r="16" spans="1:72" s="305" customFormat="1" x14ac:dyDescent="0.25">
      <c r="A16" s="248" t="str">
        <f t="shared" si="2"/>
        <v>JOHN TURNER</v>
      </c>
      <c r="B16" s="248" t="str">
        <f>IF(ISERROR(VLOOKUP(A16,AMA!$C$53:$C$100,1,FALSE)),IF(ISERROR(VLOOKUP(A16,'END-AAA'!$C$51:$C$100,1,FALSE)),IF(ISERROR(VLOOKUP(A16,'DB-AA'!$C$51:$C$100,1,FALSE)),IF(ISERROR(VLOOKUP(A16,'UTR-A'!$C$51:$C$100,1,FALSE)),IF(ISERROR(VLOOKUP(A16,'FAI-S A'!$C$51:$C$100,1,FALSE)),"","S A"),"A"),"AA"),"AAA"),"ML")</f>
        <v/>
      </c>
      <c r="C16" s="242"/>
      <c r="D16" s="242" t="str">
        <f t="shared" si="3"/>
        <v>T</v>
      </c>
      <c r="E16" s="241" t="s">
        <v>87</v>
      </c>
      <c r="F16" s="241" t="s">
        <v>924</v>
      </c>
      <c r="G16" s="241" t="s">
        <v>925</v>
      </c>
      <c r="H16" s="241" t="s">
        <v>763</v>
      </c>
      <c r="I16" s="241" t="s">
        <v>402</v>
      </c>
      <c r="J16" s="241">
        <v>34</v>
      </c>
      <c r="K16" s="241" t="s">
        <v>83</v>
      </c>
      <c r="L16" s="298" t="s">
        <v>83</v>
      </c>
      <c r="M16" s="241" t="s">
        <v>768</v>
      </c>
      <c r="N16" s="241" t="s">
        <v>768</v>
      </c>
      <c r="O16" s="241" t="s">
        <v>200</v>
      </c>
      <c r="P16" s="298" t="s">
        <v>200</v>
      </c>
      <c r="Q16" s="241">
        <v>9</v>
      </c>
      <c r="R16" s="241">
        <v>4</v>
      </c>
      <c r="S16" s="298">
        <v>6</v>
      </c>
      <c r="T16" s="241">
        <v>9</v>
      </c>
      <c r="U16" s="241">
        <v>4</v>
      </c>
      <c r="V16" s="298">
        <v>6</v>
      </c>
      <c r="W16" s="241">
        <v>10</v>
      </c>
      <c r="X16" s="241">
        <v>10</v>
      </c>
      <c r="Y16" s="241">
        <v>4</v>
      </c>
      <c r="Z16" s="241">
        <v>4</v>
      </c>
      <c r="AA16" s="241">
        <v>8</v>
      </c>
      <c r="AB16" s="241">
        <v>8</v>
      </c>
      <c r="AC16" s="241">
        <v>4</v>
      </c>
      <c r="AD16" s="241">
        <v>4</v>
      </c>
      <c r="AE16" s="241" t="s">
        <v>32</v>
      </c>
      <c r="AF16" s="241" t="s">
        <v>32</v>
      </c>
      <c r="AG16" s="241" t="s">
        <v>32</v>
      </c>
      <c r="AH16" s="241" t="s">
        <v>32</v>
      </c>
      <c r="AI16" s="241" t="s">
        <v>32</v>
      </c>
      <c r="AJ16" s="241" t="s">
        <v>32</v>
      </c>
      <c r="AK16" s="241">
        <v>8</v>
      </c>
      <c r="AL16" s="241">
        <v>8</v>
      </c>
      <c r="AM16" s="241" t="s">
        <v>32</v>
      </c>
      <c r="AN16" s="241" t="s">
        <v>32</v>
      </c>
      <c r="AO16" s="241" t="s">
        <v>32</v>
      </c>
      <c r="AP16" s="241" t="s">
        <v>32</v>
      </c>
      <c r="AQ16" s="241" t="s">
        <v>32</v>
      </c>
      <c r="AR16" s="241" t="s">
        <v>32</v>
      </c>
      <c r="AS16" s="241" t="s">
        <v>32</v>
      </c>
      <c r="AT16" s="298" t="s">
        <v>32</v>
      </c>
      <c r="AU16" s="241" t="s">
        <v>7</v>
      </c>
      <c r="AV16" s="241">
        <v>4</v>
      </c>
      <c r="AW16" s="299" t="s">
        <v>395</v>
      </c>
      <c r="AX16" s="300">
        <v>20000000</v>
      </c>
      <c r="AY16" s="298">
        <v>1</v>
      </c>
      <c r="AZ16" s="240" t="s">
        <v>199</v>
      </c>
      <c r="BA16" s="301">
        <f t="shared" si="4"/>
        <v>7.333333333333333</v>
      </c>
      <c r="BB16" s="302" t="str">
        <f t="shared" si="5"/>
        <v>GoodReg</v>
      </c>
      <c r="BC16" s="302">
        <f t="shared" si="6"/>
        <v>7.333333333333333</v>
      </c>
      <c r="BD16" s="302" t="str">
        <f t="shared" si="7"/>
        <v>GoodReg</v>
      </c>
      <c r="BE16" s="302">
        <f t="shared" si="8"/>
        <v>7.333333333333333</v>
      </c>
      <c r="BF16" s="302" t="str">
        <f t="shared" si="9"/>
        <v>GoodReg</v>
      </c>
      <c r="BG16" s="303">
        <f t="shared" si="10"/>
        <v>5</v>
      </c>
      <c r="BH16" s="304">
        <f t="shared" si="11"/>
        <v>3</v>
      </c>
      <c r="BI16" s="241" t="str">
        <f t="shared" si="12"/>
        <v>Yes</v>
      </c>
      <c r="BJ16" s="241" t="str">
        <f t="shared" si="13"/>
        <v>Likely</v>
      </c>
      <c r="BK16" s="242" t="str">
        <f t="shared" si="14"/>
        <v>ML</v>
      </c>
      <c r="BL16" s="242">
        <f t="shared" si="15"/>
        <v>19</v>
      </c>
      <c r="BM16" s="242">
        <f t="shared" si="16"/>
        <v>19</v>
      </c>
      <c r="BN16" s="242">
        <f t="shared" si="17"/>
        <v>0</v>
      </c>
      <c r="BO16" s="242">
        <f t="shared" si="18"/>
        <v>0</v>
      </c>
      <c r="BP16" s="242">
        <f t="shared" si="19"/>
        <v>0</v>
      </c>
      <c r="BQ16" s="242">
        <f t="shared" si="20"/>
        <v>0</v>
      </c>
    </row>
    <row r="17" spans="1:69" s="305" customFormat="1" x14ac:dyDescent="0.25">
      <c r="A17" s="248" t="str">
        <f t="shared" si="2"/>
        <v>Carl Ford</v>
      </c>
      <c r="B17" s="248" t="str">
        <f>IF(ISERROR(VLOOKUP(A17,AMA!$C$53:$C$100,1,FALSE)),IF(ISERROR(VLOOKUP(A17,'END-AAA'!$C$51:$C$100,1,FALSE)),IF(ISERROR(VLOOKUP(A17,'DB-AA'!$C$51:$C$100,1,FALSE)),IF(ISERROR(VLOOKUP(A17,'UTR-A'!$C$51:$C$100,1,FALSE)),IF(ISERROR(VLOOKUP(A17,'FAI-S A'!$C$51:$C$100,1,FALSE)),"","S A"),"A"),"AA"),"AAA"),"ML")</f>
        <v>ML</v>
      </c>
      <c r="C17" s="242"/>
      <c r="D17" s="242" t="str">
        <f t="shared" si="3"/>
        <v>T</v>
      </c>
      <c r="E17" s="241" t="s">
        <v>87</v>
      </c>
      <c r="F17" s="241" t="s">
        <v>728</v>
      </c>
      <c r="G17" s="241" t="s">
        <v>926</v>
      </c>
      <c r="H17" s="241" t="s">
        <v>763</v>
      </c>
      <c r="I17" s="241" t="s">
        <v>402</v>
      </c>
      <c r="J17" s="241">
        <v>28</v>
      </c>
      <c r="K17" s="241" t="s">
        <v>83</v>
      </c>
      <c r="L17" s="298" t="s">
        <v>83</v>
      </c>
      <c r="M17" s="241" t="s">
        <v>768</v>
      </c>
      <c r="N17" s="241" t="s">
        <v>865</v>
      </c>
      <c r="O17" s="241" t="s">
        <v>200</v>
      </c>
      <c r="P17" s="298" t="s">
        <v>200</v>
      </c>
      <c r="Q17" s="241">
        <v>9</v>
      </c>
      <c r="R17" s="241">
        <v>6</v>
      </c>
      <c r="S17" s="298">
        <v>4</v>
      </c>
      <c r="T17" s="241">
        <v>9</v>
      </c>
      <c r="U17" s="241">
        <v>7</v>
      </c>
      <c r="V17" s="298">
        <v>5</v>
      </c>
      <c r="W17" s="241">
        <v>9</v>
      </c>
      <c r="X17" s="241">
        <v>9</v>
      </c>
      <c r="Y17" s="241">
        <v>1</v>
      </c>
      <c r="Z17" s="241">
        <v>2</v>
      </c>
      <c r="AA17" s="241">
        <v>10</v>
      </c>
      <c r="AB17" s="241">
        <v>10</v>
      </c>
      <c r="AC17" s="241" t="s">
        <v>32</v>
      </c>
      <c r="AD17" s="241" t="s">
        <v>32</v>
      </c>
      <c r="AE17" s="241" t="s">
        <v>32</v>
      </c>
      <c r="AF17" s="241" t="s">
        <v>32</v>
      </c>
      <c r="AG17" s="241" t="s">
        <v>32</v>
      </c>
      <c r="AH17" s="241" t="s">
        <v>32</v>
      </c>
      <c r="AI17" s="241" t="s">
        <v>32</v>
      </c>
      <c r="AJ17" s="241" t="s">
        <v>32</v>
      </c>
      <c r="AK17" s="241" t="s">
        <v>32</v>
      </c>
      <c r="AL17" s="241" t="s">
        <v>32</v>
      </c>
      <c r="AM17" s="241">
        <v>5</v>
      </c>
      <c r="AN17" s="241">
        <v>5</v>
      </c>
      <c r="AO17" s="241" t="s">
        <v>32</v>
      </c>
      <c r="AP17" s="241" t="s">
        <v>32</v>
      </c>
      <c r="AQ17" s="241" t="s">
        <v>32</v>
      </c>
      <c r="AR17" s="241" t="s">
        <v>32</v>
      </c>
      <c r="AS17" s="241" t="s">
        <v>32</v>
      </c>
      <c r="AT17" s="298" t="s">
        <v>32</v>
      </c>
      <c r="AU17" s="241" t="s">
        <v>8</v>
      </c>
      <c r="AV17" s="241">
        <v>6</v>
      </c>
      <c r="AW17" s="299" t="s">
        <v>394</v>
      </c>
      <c r="AX17" s="300">
        <v>560000</v>
      </c>
      <c r="AY17" s="298" t="s">
        <v>34</v>
      </c>
      <c r="AZ17" s="240" t="s">
        <v>779</v>
      </c>
      <c r="BA17" s="301">
        <f t="shared" si="4"/>
        <v>7.083333333333333</v>
      </c>
      <c r="BB17" s="302" t="str">
        <f t="shared" si="5"/>
        <v>GoodReg</v>
      </c>
      <c r="BC17" s="302">
        <f t="shared" si="6"/>
        <v>7.75</v>
      </c>
      <c r="BD17" s="302" t="str">
        <f t="shared" si="7"/>
        <v>GoodReg</v>
      </c>
      <c r="BE17" s="302">
        <f t="shared" si="8"/>
        <v>7.75</v>
      </c>
      <c r="BF17" s="302" t="str">
        <f t="shared" si="9"/>
        <v>GoodReg</v>
      </c>
      <c r="BG17" s="303">
        <f t="shared" si="10"/>
        <v>4</v>
      </c>
      <c r="BH17" s="304">
        <f t="shared" si="11"/>
        <v>2</v>
      </c>
      <c r="BI17" s="241" t="str">
        <f t="shared" si="12"/>
        <v/>
      </c>
      <c r="BJ17" s="241" t="str">
        <f t="shared" si="13"/>
        <v>There</v>
      </c>
      <c r="BK17" s="242" t="str">
        <f t="shared" si="14"/>
        <v>ML</v>
      </c>
      <c r="BL17" s="242">
        <f t="shared" si="15"/>
        <v>19</v>
      </c>
      <c r="BM17" s="242">
        <f t="shared" si="16"/>
        <v>21</v>
      </c>
      <c r="BN17" s="242">
        <f t="shared" si="17"/>
        <v>0</v>
      </c>
      <c r="BO17" s="242">
        <f t="shared" si="18"/>
        <v>-1</v>
      </c>
      <c r="BP17" s="242">
        <f t="shared" si="19"/>
        <v>-1</v>
      </c>
      <c r="BQ17" s="242">
        <f t="shared" si="20"/>
        <v>-2</v>
      </c>
    </row>
    <row r="18" spans="1:69" s="305" customFormat="1" x14ac:dyDescent="0.25">
      <c r="A18" s="248" t="str">
        <f t="shared" si="2"/>
        <v>Shane Perales</v>
      </c>
      <c r="B18" s="248" t="str">
        <f>IF(ISERROR(VLOOKUP(A18,AMA!$C$53:$C$100,1,FALSE)),IF(ISERROR(VLOOKUP(A18,'END-AAA'!$C$51:$C$100,1,FALSE)),IF(ISERROR(VLOOKUP(A18,'DB-AA'!$C$51:$C$100,1,FALSE)),IF(ISERROR(VLOOKUP(A18,'UTR-A'!$C$51:$C$100,1,FALSE)),IF(ISERROR(VLOOKUP(A18,'FAI-S A'!$C$51:$C$100,1,FALSE)),"","S A"),"A"),"AA"),"AAA"),"ML")</f>
        <v/>
      </c>
      <c r="C18" s="242"/>
      <c r="D18" s="242" t="str">
        <f t="shared" si="3"/>
        <v>K</v>
      </c>
      <c r="E18" s="241" t="s">
        <v>87</v>
      </c>
      <c r="F18" s="241" t="s">
        <v>930</v>
      </c>
      <c r="G18" s="241" t="s">
        <v>931</v>
      </c>
      <c r="H18" s="241" t="s">
        <v>783</v>
      </c>
      <c r="I18" s="241" t="s">
        <v>185</v>
      </c>
      <c r="J18" s="241">
        <v>25</v>
      </c>
      <c r="K18" s="241" t="s">
        <v>83</v>
      </c>
      <c r="L18" s="298" t="s">
        <v>83</v>
      </c>
      <c r="M18" s="241" t="s">
        <v>764</v>
      </c>
      <c r="N18" s="241" t="s">
        <v>765</v>
      </c>
      <c r="O18" s="241" t="s">
        <v>199</v>
      </c>
      <c r="P18" s="298" t="s">
        <v>200</v>
      </c>
      <c r="Q18" s="241">
        <v>9</v>
      </c>
      <c r="R18" s="241">
        <v>6</v>
      </c>
      <c r="S18" s="298">
        <v>4</v>
      </c>
      <c r="T18" s="241">
        <v>9</v>
      </c>
      <c r="U18" s="241">
        <v>6</v>
      </c>
      <c r="V18" s="298">
        <v>5</v>
      </c>
      <c r="W18" s="241">
        <v>10</v>
      </c>
      <c r="X18" s="241">
        <v>10</v>
      </c>
      <c r="Y18" s="241">
        <v>6</v>
      </c>
      <c r="Z18" s="241">
        <v>6</v>
      </c>
      <c r="AA18" s="241" t="s">
        <v>32</v>
      </c>
      <c r="AB18" s="241" t="s">
        <v>32</v>
      </c>
      <c r="AC18" s="241" t="s">
        <v>32</v>
      </c>
      <c r="AD18" s="241" t="s">
        <v>32</v>
      </c>
      <c r="AE18" s="241">
        <v>8</v>
      </c>
      <c r="AF18" s="241">
        <v>8</v>
      </c>
      <c r="AG18" s="241" t="s">
        <v>32</v>
      </c>
      <c r="AH18" s="241" t="s">
        <v>32</v>
      </c>
      <c r="AI18" s="241" t="s">
        <v>32</v>
      </c>
      <c r="AJ18" s="241" t="s">
        <v>32</v>
      </c>
      <c r="AK18" s="241" t="s">
        <v>32</v>
      </c>
      <c r="AL18" s="241" t="s">
        <v>32</v>
      </c>
      <c r="AM18" s="241" t="s">
        <v>32</v>
      </c>
      <c r="AN18" s="241" t="s">
        <v>32</v>
      </c>
      <c r="AO18" s="241" t="s">
        <v>32</v>
      </c>
      <c r="AP18" s="241" t="s">
        <v>32</v>
      </c>
      <c r="AQ18" s="241" t="s">
        <v>32</v>
      </c>
      <c r="AR18" s="241" t="s">
        <v>32</v>
      </c>
      <c r="AS18" s="241" t="s">
        <v>32</v>
      </c>
      <c r="AT18" s="298" t="s">
        <v>32</v>
      </c>
      <c r="AU18" s="241" t="s">
        <v>4</v>
      </c>
      <c r="AV18" s="241">
        <v>7</v>
      </c>
      <c r="AW18" s="299" t="s">
        <v>393</v>
      </c>
      <c r="AX18" s="300" t="s">
        <v>32</v>
      </c>
      <c r="AY18" s="298">
        <v>0</v>
      </c>
      <c r="AZ18" s="240" t="s">
        <v>779</v>
      </c>
      <c r="BA18" s="301">
        <f t="shared" si="4"/>
        <v>6.833333333333333</v>
      </c>
      <c r="BB18" s="302" t="str">
        <f t="shared" si="5"/>
        <v>GoodReg</v>
      </c>
      <c r="BC18" s="302">
        <f t="shared" si="6"/>
        <v>7.166666666666667</v>
      </c>
      <c r="BD18" s="302" t="str">
        <f t="shared" si="7"/>
        <v>GoodReg</v>
      </c>
      <c r="BE18" s="302">
        <f t="shared" si="8"/>
        <v>7.166666666666667</v>
      </c>
      <c r="BF18" s="302" t="str">
        <f t="shared" si="9"/>
        <v>GoodReg</v>
      </c>
      <c r="BG18" s="303">
        <f t="shared" si="10"/>
        <v>3</v>
      </c>
      <c r="BH18" s="304">
        <f t="shared" si="11"/>
        <v>3</v>
      </c>
      <c r="BI18" s="241" t="str">
        <f t="shared" si="12"/>
        <v/>
      </c>
      <c r="BJ18" s="241" t="str">
        <f t="shared" si="13"/>
        <v>Likely</v>
      </c>
      <c r="BK18" s="242" t="str">
        <f t="shared" si="14"/>
        <v>ML</v>
      </c>
      <c r="BL18" s="242">
        <f t="shared" si="15"/>
        <v>19</v>
      </c>
      <c r="BM18" s="242">
        <f t="shared" si="16"/>
        <v>20</v>
      </c>
      <c r="BN18" s="242">
        <f t="shared" si="17"/>
        <v>0</v>
      </c>
      <c r="BO18" s="242">
        <f t="shared" si="18"/>
        <v>0</v>
      </c>
      <c r="BP18" s="242">
        <f t="shared" si="19"/>
        <v>-1</v>
      </c>
      <c r="BQ18" s="242">
        <f t="shared" si="20"/>
        <v>-1</v>
      </c>
    </row>
    <row r="19" spans="1:69" s="305" customFormat="1" x14ac:dyDescent="0.25">
      <c r="A19" s="248" t="str">
        <f t="shared" si="2"/>
        <v>Lorenzo López</v>
      </c>
      <c r="B19" s="248" t="str">
        <f>IF(ISERROR(VLOOKUP(A19,AMA!$C$53:$C$100,1,FALSE)),IF(ISERROR(VLOOKUP(A19,'END-AAA'!$C$51:$C$100,1,FALSE)),IF(ISERROR(VLOOKUP(A19,'DB-AA'!$C$51:$C$100,1,FALSE)),IF(ISERROR(VLOOKUP(A19,'UTR-A'!$C$51:$C$100,1,FALSE)),IF(ISERROR(VLOOKUP(A19,'FAI-S A'!$C$51:$C$100,1,FALSE)),"","S A"),"A"),"AA"),"AAA"),"ML")</f>
        <v/>
      </c>
      <c r="C19" s="242"/>
      <c r="D19" s="242" t="str">
        <f t="shared" si="3"/>
        <v>T</v>
      </c>
      <c r="E19" s="241" t="s">
        <v>87</v>
      </c>
      <c r="F19" s="241" t="s">
        <v>404</v>
      </c>
      <c r="G19" s="241" t="s">
        <v>427</v>
      </c>
      <c r="H19" s="241" t="s">
        <v>763</v>
      </c>
      <c r="I19" s="241" t="s">
        <v>402</v>
      </c>
      <c r="J19" s="241">
        <v>23</v>
      </c>
      <c r="K19" s="241" t="s">
        <v>83</v>
      </c>
      <c r="L19" s="298" t="s">
        <v>83</v>
      </c>
      <c r="M19" s="241" t="s">
        <v>773</v>
      </c>
      <c r="N19" s="241" t="s">
        <v>768</v>
      </c>
      <c r="O19" s="241" t="s">
        <v>200</v>
      </c>
      <c r="P19" s="298" t="s">
        <v>200</v>
      </c>
      <c r="Q19" s="241">
        <v>6</v>
      </c>
      <c r="R19" s="241">
        <v>6</v>
      </c>
      <c r="S19" s="298">
        <v>7</v>
      </c>
      <c r="T19" s="241">
        <v>6</v>
      </c>
      <c r="U19" s="241">
        <v>6</v>
      </c>
      <c r="V19" s="298">
        <v>8</v>
      </c>
      <c r="W19" s="241">
        <v>8</v>
      </c>
      <c r="X19" s="241">
        <v>8</v>
      </c>
      <c r="Y19" s="241">
        <v>9</v>
      </c>
      <c r="Z19" s="241">
        <v>9</v>
      </c>
      <c r="AA19" s="241" t="s">
        <v>32</v>
      </c>
      <c r="AB19" s="241" t="s">
        <v>32</v>
      </c>
      <c r="AC19" s="241">
        <v>3</v>
      </c>
      <c r="AD19" s="241">
        <v>7</v>
      </c>
      <c r="AE19" s="241" t="s">
        <v>32</v>
      </c>
      <c r="AF19" s="241" t="s">
        <v>32</v>
      </c>
      <c r="AG19" s="241" t="s">
        <v>32</v>
      </c>
      <c r="AH19" s="241" t="s">
        <v>32</v>
      </c>
      <c r="AI19" s="241" t="s">
        <v>32</v>
      </c>
      <c r="AJ19" s="241" t="s">
        <v>32</v>
      </c>
      <c r="AK19" s="241" t="s">
        <v>32</v>
      </c>
      <c r="AL19" s="241" t="s">
        <v>32</v>
      </c>
      <c r="AM19" s="241" t="s">
        <v>32</v>
      </c>
      <c r="AN19" s="241" t="s">
        <v>32</v>
      </c>
      <c r="AO19" s="241" t="s">
        <v>32</v>
      </c>
      <c r="AP19" s="241" t="s">
        <v>32</v>
      </c>
      <c r="AQ19" s="241" t="s">
        <v>32</v>
      </c>
      <c r="AR19" s="241" t="s">
        <v>32</v>
      </c>
      <c r="AS19" s="241" t="s">
        <v>32</v>
      </c>
      <c r="AT19" s="298" t="s">
        <v>32</v>
      </c>
      <c r="AU19" s="241" t="s">
        <v>6</v>
      </c>
      <c r="AV19" s="241">
        <v>6</v>
      </c>
      <c r="AW19" s="299" t="s">
        <v>393</v>
      </c>
      <c r="AX19" s="300">
        <v>560000</v>
      </c>
      <c r="AY19" s="298" t="s">
        <v>33</v>
      </c>
      <c r="AZ19" s="240" t="s">
        <v>201</v>
      </c>
      <c r="BA19" s="301">
        <f t="shared" si="4"/>
        <v>6.833333333333333</v>
      </c>
      <c r="BB19" s="302" t="str">
        <f t="shared" si="5"/>
        <v>GoodReg</v>
      </c>
      <c r="BC19" s="302">
        <f t="shared" si="6"/>
        <v>7.166666666666667</v>
      </c>
      <c r="BD19" s="302" t="str">
        <f t="shared" si="7"/>
        <v>GoodReg</v>
      </c>
      <c r="BE19" s="302">
        <f t="shared" si="8"/>
        <v>7.166666666666667</v>
      </c>
      <c r="BF19" s="302" t="str">
        <f t="shared" si="9"/>
        <v>GoodReg</v>
      </c>
      <c r="BG19" s="303">
        <f t="shared" si="10"/>
        <v>3</v>
      </c>
      <c r="BH19" s="304">
        <f t="shared" si="11"/>
        <v>2.5</v>
      </c>
      <c r="BI19" s="241" t="str">
        <f t="shared" si="12"/>
        <v/>
      </c>
      <c r="BJ19" s="241" t="str">
        <f t="shared" si="13"/>
        <v>Likely</v>
      </c>
      <c r="BK19" s="242" t="str">
        <f t="shared" si="14"/>
        <v>ML</v>
      </c>
      <c r="BL19" s="242">
        <f t="shared" si="15"/>
        <v>19</v>
      </c>
      <c r="BM19" s="242">
        <f t="shared" si="16"/>
        <v>20</v>
      </c>
      <c r="BN19" s="242">
        <f t="shared" si="17"/>
        <v>0</v>
      </c>
      <c r="BO19" s="242">
        <f t="shared" si="18"/>
        <v>0</v>
      </c>
      <c r="BP19" s="242">
        <f t="shared" si="19"/>
        <v>-1</v>
      </c>
      <c r="BQ19" s="242">
        <f t="shared" si="20"/>
        <v>-1</v>
      </c>
    </row>
    <row r="20" spans="1:69" s="305" customFormat="1" x14ac:dyDescent="0.25">
      <c r="A20" s="248" t="str">
        <f t="shared" si="2"/>
        <v>Mike Ryan</v>
      </c>
      <c r="B20" s="248" t="str">
        <f>IF(ISERROR(VLOOKUP(A20,AMA!$C$53:$C$100,1,FALSE)),IF(ISERROR(VLOOKUP(A20,'END-AAA'!$C$51:$C$100,1,FALSE)),IF(ISERROR(VLOOKUP(A20,'DB-AA'!$C$51:$C$100,1,FALSE)),IF(ISERROR(VLOOKUP(A20,'UTR-A'!$C$51:$C$100,1,FALSE)),IF(ISERROR(VLOOKUP(A20,'FAI-S A'!$C$51:$C$100,1,FALSE)),"","S A"),"A"),"AA"),"AAA"),"ML")</f>
        <v>ML</v>
      </c>
      <c r="C20" s="242"/>
      <c r="D20" s="242" t="str">
        <f t="shared" si="3"/>
        <v>T</v>
      </c>
      <c r="E20" s="241" t="s">
        <v>87</v>
      </c>
      <c r="F20" s="241" t="s">
        <v>780</v>
      </c>
      <c r="G20" s="241" t="s">
        <v>524</v>
      </c>
      <c r="H20" s="241" t="s">
        <v>763</v>
      </c>
      <c r="I20" s="241" t="s">
        <v>402</v>
      </c>
      <c r="J20" s="241">
        <v>31</v>
      </c>
      <c r="K20" s="241" t="s">
        <v>83</v>
      </c>
      <c r="L20" s="298" t="s">
        <v>83</v>
      </c>
      <c r="M20" s="241" t="s">
        <v>764</v>
      </c>
      <c r="N20" s="241" t="s">
        <v>764</v>
      </c>
      <c r="O20" s="241" t="s">
        <v>200</v>
      </c>
      <c r="P20" s="298" t="s">
        <v>200</v>
      </c>
      <c r="Q20" s="241">
        <v>5</v>
      </c>
      <c r="R20" s="241">
        <v>5</v>
      </c>
      <c r="S20" s="298">
        <v>8</v>
      </c>
      <c r="T20" s="241">
        <v>5</v>
      </c>
      <c r="U20" s="241">
        <v>5</v>
      </c>
      <c r="V20" s="298">
        <v>8</v>
      </c>
      <c r="W20" s="241">
        <v>6</v>
      </c>
      <c r="X20" s="241">
        <v>6</v>
      </c>
      <c r="Y20" s="241" t="s">
        <v>32</v>
      </c>
      <c r="Z20" s="241" t="s">
        <v>32</v>
      </c>
      <c r="AA20" s="241">
        <v>3</v>
      </c>
      <c r="AB20" s="241">
        <v>3</v>
      </c>
      <c r="AC20" s="241" t="s">
        <v>32</v>
      </c>
      <c r="AD20" s="241" t="s">
        <v>32</v>
      </c>
      <c r="AE20" s="241" t="s">
        <v>32</v>
      </c>
      <c r="AF20" s="241" t="s">
        <v>32</v>
      </c>
      <c r="AG20" s="241">
        <v>6</v>
      </c>
      <c r="AH20" s="241">
        <v>6</v>
      </c>
      <c r="AI20" s="241" t="s">
        <v>32</v>
      </c>
      <c r="AJ20" s="241" t="s">
        <v>32</v>
      </c>
      <c r="AK20" s="241">
        <v>6</v>
      </c>
      <c r="AL20" s="241">
        <v>6</v>
      </c>
      <c r="AM20" s="241" t="s">
        <v>32</v>
      </c>
      <c r="AN20" s="241" t="s">
        <v>32</v>
      </c>
      <c r="AO20" s="241" t="s">
        <v>32</v>
      </c>
      <c r="AP20" s="241" t="s">
        <v>32</v>
      </c>
      <c r="AQ20" s="241" t="s">
        <v>32</v>
      </c>
      <c r="AR20" s="241" t="s">
        <v>32</v>
      </c>
      <c r="AS20" s="241" t="s">
        <v>32</v>
      </c>
      <c r="AT20" s="298" t="s">
        <v>32</v>
      </c>
      <c r="AU20" s="241" t="s">
        <v>2</v>
      </c>
      <c r="AV20" s="241">
        <v>7</v>
      </c>
      <c r="AW20" s="299" t="s">
        <v>490</v>
      </c>
      <c r="AX20" s="300">
        <v>1400000</v>
      </c>
      <c r="AY20" s="298">
        <v>1</v>
      </c>
      <c r="AZ20" s="240" t="s">
        <v>199</v>
      </c>
      <c r="BA20" s="301">
        <f t="shared" si="4"/>
        <v>6.75</v>
      </c>
      <c r="BB20" s="302" t="str">
        <f t="shared" si="5"/>
        <v>GoodReg</v>
      </c>
      <c r="BC20" s="302">
        <f t="shared" si="6"/>
        <v>6.75</v>
      </c>
      <c r="BD20" s="302" t="str">
        <f t="shared" si="7"/>
        <v>GoodReg</v>
      </c>
      <c r="BE20" s="302">
        <f t="shared" si="8"/>
        <v>6.75</v>
      </c>
      <c r="BF20" s="302" t="str">
        <f t="shared" si="9"/>
        <v>GoodReg</v>
      </c>
      <c r="BG20" s="303">
        <f t="shared" si="10"/>
        <v>4</v>
      </c>
      <c r="BH20" s="304">
        <f t="shared" si="11"/>
        <v>3</v>
      </c>
      <c r="BI20" s="241" t="str">
        <f t="shared" si="12"/>
        <v>Yes</v>
      </c>
      <c r="BJ20" s="241" t="str">
        <f t="shared" si="13"/>
        <v>There</v>
      </c>
      <c r="BK20" s="242" t="str">
        <f t="shared" si="14"/>
        <v>ML</v>
      </c>
      <c r="BL20" s="242">
        <f t="shared" si="15"/>
        <v>18</v>
      </c>
      <c r="BM20" s="242">
        <f t="shared" si="16"/>
        <v>18</v>
      </c>
      <c r="BN20" s="242">
        <f t="shared" si="17"/>
        <v>0</v>
      </c>
      <c r="BO20" s="242">
        <f t="shared" si="18"/>
        <v>0</v>
      </c>
      <c r="BP20" s="242">
        <f t="shared" si="19"/>
        <v>0</v>
      </c>
      <c r="BQ20" s="242">
        <f t="shared" si="20"/>
        <v>0</v>
      </c>
    </row>
    <row r="21" spans="1:69" s="305" customFormat="1" x14ac:dyDescent="0.25">
      <c r="A21" s="248" t="str">
        <f t="shared" si="2"/>
        <v>Carmelo Lamberti</v>
      </c>
      <c r="B21" s="248" t="str">
        <f>IF(ISERROR(VLOOKUP(A21,AMA!$C$53:$C$100,1,FALSE)),IF(ISERROR(VLOOKUP(A21,'END-AAA'!$C$51:$C$100,1,FALSE)),IF(ISERROR(VLOOKUP(A21,'DB-AA'!$C$51:$C$100,1,FALSE)),IF(ISERROR(VLOOKUP(A21,'UTR-A'!$C$51:$C$100,1,FALSE)),IF(ISERROR(VLOOKUP(A21,'FAI-S A'!$C$51:$C$100,1,FALSE)),"","S A"),"A"),"AA"),"AAA"),"ML")</f>
        <v>ML</v>
      </c>
      <c r="C21" s="242"/>
      <c r="D21" s="242" t="str">
        <f t="shared" si="3"/>
        <v>K</v>
      </c>
      <c r="E21" s="241" t="s">
        <v>87</v>
      </c>
      <c r="F21" s="241" t="s">
        <v>1142</v>
      </c>
      <c r="G21" s="241" t="s">
        <v>1143</v>
      </c>
      <c r="H21" s="241" t="s">
        <v>763</v>
      </c>
      <c r="I21" s="241" t="s">
        <v>402</v>
      </c>
      <c r="J21" s="241">
        <v>22</v>
      </c>
      <c r="K21" s="241" t="s">
        <v>82</v>
      </c>
      <c r="L21" s="298" t="s">
        <v>83</v>
      </c>
      <c r="M21" s="241" t="s">
        <v>764</v>
      </c>
      <c r="N21" s="241" t="s">
        <v>865</v>
      </c>
      <c r="O21" s="241" t="s">
        <v>199</v>
      </c>
      <c r="P21" s="298" t="s">
        <v>200</v>
      </c>
      <c r="Q21" s="241">
        <v>6</v>
      </c>
      <c r="R21" s="241">
        <v>5</v>
      </c>
      <c r="S21" s="298">
        <v>7</v>
      </c>
      <c r="T21" s="241">
        <v>7</v>
      </c>
      <c r="U21" s="241">
        <v>5</v>
      </c>
      <c r="V21" s="298">
        <v>10</v>
      </c>
      <c r="W21" s="241">
        <v>9</v>
      </c>
      <c r="X21" s="241">
        <v>9</v>
      </c>
      <c r="Y21" s="241">
        <v>6</v>
      </c>
      <c r="Z21" s="241">
        <v>7</v>
      </c>
      <c r="AA21" s="241" t="s">
        <v>32</v>
      </c>
      <c r="AB21" s="241" t="s">
        <v>32</v>
      </c>
      <c r="AC21" s="241">
        <v>8</v>
      </c>
      <c r="AD21" s="241">
        <v>9</v>
      </c>
      <c r="AE21" s="241" t="s">
        <v>32</v>
      </c>
      <c r="AF21" s="241" t="s">
        <v>32</v>
      </c>
      <c r="AG21" s="241" t="s">
        <v>32</v>
      </c>
      <c r="AH21" s="241" t="s">
        <v>32</v>
      </c>
      <c r="AI21" s="241" t="s">
        <v>32</v>
      </c>
      <c r="AJ21" s="241" t="s">
        <v>32</v>
      </c>
      <c r="AK21" s="241" t="s">
        <v>32</v>
      </c>
      <c r="AL21" s="241" t="s">
        <v>32</v>
      </c>
      <c r="AM21" s="241" t="s">
        <v>32</v>
      </c>
      <c r="AN21" s="241" t="s">
        <v>32</v>
      </c>
      <c r="AO21" s="241" t="s">
        <v>32</v>
      </c>
      <c r="AP21" s="241" t="s">
        <v>32</v>
      </c>
      <c r="AQ21" s="241" t="s">
        <v>32</v>
      </c>
      <c r="AR21" s="241" t="s">
        <v>32</v>
      </c>
      <c r="AS21" s="241" t="s">
        <v>32</v>
      </c>
      <c r="AT21" s="298" t="s">
        <v>32</v>
      </c>
      <c r="AU21" s="241" t="s">
        <v>7</v>
      </c>
      <c r="AV21" s="241">
        <v>6</v>
      </c>
      <c r="AW21" s="299" t="s">
        <v>393</v>
      </c>
      <c r="AX21" s="300">
        <v>560000</v>
      </c>
      <c r="AY21" s="298" t="s">
        <v>33</v>
      </c>
      <c r="AZ21" s="240" t="s">
        <v>779</v>
      </c>
      <c r="BA21" s="301">
        <f t="shared" si="4"/>
        <v>6.5</v>
      </c>
      <c r="BB21" s="302" t="str">
        <f t="shared" si="5"/>
        <v>Reg</v>
      </c>
      <c r="BC21" s="302">
        <f t="shared" si="6"/>
        <v>7.833333333333333</v>
      </c>
      <c r="BD21" s="302" t="str">
        <f t="shared" si="7"/>
        <v>GoodReg</v>
      </c>
      <c r="BE21" s="302">
        <f t="shared" si="8"/>
        <v>7.833333333333333</v>
      </c>
      <c r="BF21" s="302" t="str">
        <f t="shared" si="9"/>
        <v>GoodReg</v>
      </c>
      <c r="BG21" s="303">
        <f t="shared" si="10"/>
        <v>3</v>
      </c>
      <c r="BH21" s="304">
        <f t="shared" si="11"/>
        <v>3</v>
      </c>
      <c r="BI21" s="241" t="str">
        <f t="shared" si="12"/>
        <v/>
      </c>
      <c r="BJ21" s="241" t="str">
        <f t="shared" si="13"/>
        <v>There</v>
      </c>
      <c r="BK21" s="242" t="str">
        <f t="shared" si="14"/>
        <v>ML</v>
      </c>
      <c r="BL21" s="242">
        <f t="shared" si="15"/>
        <v>18</v>
      </c>
      <c r="BM21" s="242">
        <f t="shared" si="16"/>
        <v>22</v>
      </c>
      <c r="BN21" s="242">
        <f t="shared" si="17"/>
        <v>-1</v>
      </c>
      <c r="BO21" s="242">
        <f t="shared" si="18"/>
        <v>0</v>
      </c>
      <c r="BP21" s="242">
        <f t="shared" si="19"/>
        <v>-3</v>
      </c>
      <c r="BQ21" s="242">
        <f t="shared" si="20"/>
        <v>-4</v>
      </c>
    </row>
    <row r="22" spans="1:69" s="305" customFormat="1" x14ac:dyDescent="0.25">
      <c r="A22" s="248" t="str">
        <f t="shared" si="2"/>
        <v>Bang-xao Niu</v>
      </c>
      <c r="B22" s="248" t="str">
        <f>IF(ISERROR(VLOOKUP(A22,AMA!$C$53:$C$100,1,FALSE)),IF(ISERROR(VLOOKUP(A22,'END-AAA'!$C$51:$C$100,1,FALSE)),IF(ISERROR(VLOOKUP(A22,'DB-AA'!$C$51:$C$100,1,FALSE)),IF(ISERROR(VLOOKUP(A22,'UTR-A'!$C$51:$C$100,1,FALSE)),IF(ISERROR(VLOOKUP(A22,'FAI-S A'!$C$51:$C$100,1,FALSE)),"","S A"),"A"),"AA"),"AAA"),"ML")</f>
        <v>ML</v>
      </c>
      <c r="C22" s="242"/>
      <c r="D22" s="242" t="str">
        <f t="shared" si="3"/>
        <v>T</v>
      </c>
      <c r="E22" s="241" t="s">
        <v>87</v>
      </c>
      <c r="F22" s="241" t="s">
        <v>928</v>
      </c>
      <c r="G22" s="241" t="s">
        <v>929</v>
      </c>
      <c r="H22" s="241" t="s">
        <v>763</v>
      </c>
      <c r="I22" s="241" t="s">
        <v>402</v>
      </c>
      <c r="J22" s="241">
        <v>26</v>
      </c>
      <c r="K22" s="241" t="s">
        <v>82</v>
      </c>
      <c r="L22" s="298" t="s">
        <v>82</v>
      </c>
      <c r="M22" s="241" t="s">
        <v>764</v>
      </c>
      <c r="N22" s="241" t="s">
        <v>768</v>
      </c>
      <c r="O22" s="241" t="s">
        <v>201</v>
      </c>
      <c r="P22" s="298" t="s">
        <v>200</v>
      </c>
      <c r="Q22" s="241">
        <v>9</v>
      </c>
      <c r="R22" s="241">
        <v>3</v>
      </c>
      <c r="S22" s="298">
        <v>5</v>
      </c>
      <c r="T22" s="241">
        <v>9</v>
      </c>
      <c r="U22" s="241">
        <v>3</v>
      </c>
      <c r="V22" s="298">
        <v>7</v>
      </c>
      <c r="W22" s="241">
        <v>8</v>
      </c>
      <c r="X22" s="241">
        <v>8</v>
      </c>
      <c r="Y22" s="241">
        <v>9</v>
      </c>
      <c r="Z22" s="241">
        <v>9</v>
      </c>
      <c r="AA22" s="241" t="s">
        <v>32</v>
      </c>
      <c r="AB22" s="241" t="s">
        <v>32</v>
      </c>
      <c r="AC22" s="241">
        <v>5</v>
      </c>
      <c r="AD22" s="241">
        <v>5</v>
      </c>
      <c r="AE22" s="241" t="s">
        <v>32</v>
      </c>
      <c r="AF22" s="241" t="s">
        <v>32</v>
      </c>
      <c r="AG22" s="241" t="s">
        <v>32</v>
      </c>
      <c r="AH22" s="241" t="s">
        <v>32</v>
      </c>
      <c r="AI22" s="241" t="s">
        <v>32</v>
      </c>
      <c r="AJ22" s="241" t="s">
        <v>32</v>
      </c>
      <c r="AK22" s="241" t="s">
        <v>32</v>
      </c>
      <c r="AL22" s="241" t="s">
        <v>32</v>
      </c>
      <c r="AM22" s="241" t="s">
        <v>32</v>
      </c>
      <c r="AN22" s="241" t="s">
        <v>32</v>
      </c>
      <c r="AO22" s="241" t="s">
        <v>32</v>
      </c>
      <c r="AP22" s="241" t="s">
        <v>32</v>
      </c>
      <c r="AQ22" s="241">
        <v>9</v>
      </c>
      <c r="AR22" s="241">
        <v>9</v>
      </c>
      <c r="AS22" s="241" t="s">
        <v>32</v>
      </c>
      <c r="AT22" s="298" t="s">
        <v>32</v>
      </c>
      <c r="AU22" s="241" t="s">
        <v>326</v>
      </c>
      <c r="AV22" s="241">
        <v>6</v>
      </c>
      <c r="AW22" s="299" t="s">
        <v>395</v>
      </c>
      <c r="AX22" s="300">
        <v>560000</v>
      </c>
      <c r="AY22" s="298" t="s">
        <v>33</v>
      </c>
      <c r="AZ22" s="240" t="s">
        <v>199</v>
      </c>
      <c r="BA22" s="301">
        <f t="shared" si="4"/>
        <v>6.416666666666667</v>
      </c>
      <c r="BB22" s="302" t="str">
        <f t="shared" si="5"/>
        <v>Reg</v>
      </c>
      <c r="BC22" s="302">
        <f t="shared" si="6"/>
        <v>7.083333333333333</v>
      </c>
      <c r="BD22" s="302" t="str">
        <f t="shared" si="7"/>
        <v>GoodReg</v>
      </c>
      <c r="BE22" s="302">
        <f t="shared" si="8"/>
        <v>7.083333333333333</v>
      </c>
      <c r="BF22" s="302" t="str">
        <f t="shared" si="9"/>
        <v>GoodReg</v>
      </c>
      <c r="BG22" s="303">
        <f t="shared" si="10"/>
        <v>4</v>
      </c>
      <c r="BH22" s="304">
        <f t="shared" si="11"/>
        <v>3</v>
      </c>
      <c r="BI22" s="241" t="str">
        <f t="shared" si="12"/>
        <v/>
      </c>
      <c r="BJ22" s="241" t="str">
        <f t="shared" si="13"/>
        <v>There</v>
      </c>
      <c r="BK22" s="242" t="str">
        <f t="shared" si="14"/>
        <v>ML</v>
      </c>
      <c r="BL22" s="242">
        <f t="shared" si="15"/>
        <v>17</v>
      </c>
      <c r="BM22" s="242">
        <f t="shared" si="16"/>
        <v>19</v>
      </c>
      <c r="BN22" s="242">
        <f t="shared" si="17"/>
        <v>0</v>
      </c>
      <c r="BO22" s="242">
        <f t="shared" si="18"/>
        <v>0</v>
      </c>
      <c r="BP22" s="242">
        <f t="shared" si="19"/>
        <v>-2</v>
      </c>
      <c r="BQ22" s="242">
        <f t="shared" si="20"/>
        <v>-2</v>
      </c>
    </row>
    <row r="23" spans="1:69" s="305" customFormat="1" x14ac:dyDescent="0.25">
      <c r="A23" s="248" t="str">
        <f t="shared" si="2"/>
        <v>Tomás Moya</v>
      </c>
      <c r="B23" s="248" t="str">
        <f>IF(ISERROR(VLOOKUP(A23,AMA!$C$53:$C$100,1,FALSE)),IF(ISERROR(VLOOKUP(A23,'END-AAA'!$C$51:$C$100,1,FALSE)),IF(ISERROR(VLOOKUP(A23,'DB-AA'!$C$51:$C$100,1,FALSE)),IF(ISERROR(VLOOKUP(A23,'UTR-A'!$C$51:$C$100,1,FALSE)),IF(ISERROR(VLOOKUP(A23,'FAI-S A'!$C$51:$C$100,1,FALSE)),"","S A"),"A"),"AA"),"AAA"),"ML")</f>
        <v>ML</v>
      </c>
      <c r="C23" s="242"/>
      <c r="D23" s="242" t="str">
        <f t="shared" si="3"/>
        <v>T</v>
      </c>
      <c r="E23" s="241" t="s">
        <v>11</v>
      </c>
      <c r="F23" s="241" t="s">
        <v>407</v>
      </c>
      <c r="G23" s="241" t="s">
        <v>927</v>
      </c>
      <c r="H23" s="241" t="s">
        <v>763</v>
      </c>
      <c r="I23" s="241" t="s">
        <v>402</v>
      </c>
      <c r="J23" s="241">
        <v>33</v>
      </c>
      <c r="K23" s="241" t="s">
        <v>83</v>
      </c>
      <c r="L23" s="298" t="s">
        <v>83</v>
      </c>
      <c r="M23" s="241" t="s">
        <v>773</v>
      </c>
      <c r="N23" s="241" t="s">
        <v>773</v>
      </c>
      <c r="O23" s="241" t="s">
        <v>200</v>
      </c>
      <c r="P23" s="298" t="s">
        <v>200</v>
      </c>
      <c r="Q23" s="241">
        <v>9</v>
      </c>
      <c r="R23" s="241">
        <v>1</v>
      </c>
      <c r="S23" s="298">
        <v>7</v>
      </c>
      <c r="T23" s="241">
        <v>9</v>
      </c>
      <c r="U23" s="241">
        <v>1</v>
      </c>
      <c r="V23" s="298">
        <v>7</v>
      </c>
      <c r="W23" s="241">
        <v>9</v>
      </c>
      <c r="X23" s="241">
        <v>9</v>
      </c>
      <c r="Y23" s="241" t="s">
        <v>32</v>
      </c>
      <c r="Z23" s="241" t="s">
        <v>32</v>
      </c>
      <c r="AA23" s="241" t="s">
        <v>32</v>
      </c>
      <c r="AB23" s="241" t="s">
        <v>32</v>
      </c>
      <c r="AC23" s="241">
        <v>9</v>
      </c>
      <c r="AD23" s="241">
        <v>9</v>
      </c>
      <c r="AE23" s="241" t="s">
        <v>32</v>
      </c>
      <c r="AF23" s="241" t="s">
        <v>32</v>
      </c>
      <c r="AG23" s="241" t="s">
        <v>32</v>
      </c>
      <c r="AH23" s="241" t="s">
        <v>32</v>
      </c>
      <c r="AI23" s="241" t="s">
        <v>32</v>
      </c>
      <c r="AJ23" s="241" t="s">
        <v>32</v>
      </c>
      <c r="AK23" s="241" t="s">
        <v>32</v>
      </c>
      <c r="AL23" s="241" t="s">
        <v>32</v>
      </c>
      <c r="AM23" s="241" t="s">
        <v>32</v>
      </c>
      <c r="AN23" s="241" t="s">
        <v>32</v>
      </c>
      <c r="AO23" s="241" t="s">
        <v>32</v>
      </c>
      <c r="AP23" s="241" t="s">
        <v>32</v>
      </c>
      <c r="AQ23" s="241" t="s">
        <v>32</v>
      </c>
      <c r="AR23" s="241" t="s">
        <v>32</v>
      </c>
      <c r="AS23" s="241" t="s">
        <v>32</v>
      </c>
      <c r="AT23" s="298" t="s">
        <v>32</v>
      </c>
      <c r="AU23" s="241" t="s">
        <v>326</v>
      </c>
      <c r="AV23" s="241">
        <v>4</v>
      </c>
      <c r="AW23" s="299" t="s">
        <v>40</v>
      </c>
      <c r="AX23" s="300">
        <v>930000</v>
      </c>
      <c r="AY23" s="298">
        <v>2</v>
      </c>
      <c r="AZ23" s="240" t="s">
        <v>199</v>
      </c>
      <c r="BA23" s="301">
        <f t="shared" si="4"/>
        <v>6.166666666666667</v>
      </c>
      <c r="BB23" s="302" t="str">
        <f t="shared" si="5"/>
        <v>Reg</v>
      </c>
      <c r="BC23" s="302">
        <f t="shared" si="6"/>
        <v>6.166666666666667</v>
      </c>
      <c r="BD23" s="302" t="str">
        <f t="shared" si="7"/>
        <v>Reg</v>
      </c>
      <c r="BE23" s="302">
        <f t="shared" si="8"/>
        <v>6.166666666666667</v>
      </c>
      <c r="BF23" s="302" t="str">
        <f t="shared" si="9"/>
        <v>Reg</v>
      </c>
      <c r="BG23" s="303">
        <f t="shared" si="10"/>
        <v>2</v>
      </c>
      <c r="BH23" s="304">
        <f t="shared" si="11"/>
        <v>2</v>
      </c>
      <c r="BI23" s="241" t="str">
        <f t="shared" si="12"/>
        <v/>
      </c>
      <c r="BJ23" s="241" t="str">
        <f t="shared" si="13"/>
        <v>There</v>
      </c>
      <c r="BK23" s="242" t="str">
        <f t="shared" si="14"/>
        <v>ML</v>
      </c>
      <c r="BL23" s="242">
        <f t="shared" si="15"/>
        <v>17</v>
      </c>
      <c r="BM23" s="242">
        <f t="shared" si="16"/>
        <v>17</v>
      </c>
      <c r="BN23" s="242">
        <f t="shared" si="17"/>
        <v>0</v>
      </c>
      <c r="BO23" s="242">
        <f t="shared" si="18"/>
        <v>0</v>
      </c>
      <c r="BP23" s="242">
        <f t="shared" si="19"/>
        <v>0</v>
      </c>
      <c r="BQ23" s="242">
        <f t="shared" si="20"/>
        <v>0</v>
      </c>
    </row>
    <row r="24" spans="1:69" s="305" customFormat="1" x14ac:dyDescent="0.25">
      <c r="A24" s="248" t="str">
        <f t="shared" si="2"/>
        <v>Juan Gómez</v>
      </c>
      <c r="B24" s="248" t="str">
        <f>IF(ISERROR(VLOOKUP(A24,AMA!$C$53:$C$100,1,FALSE)),IF(ISERROR(VLOOKUP(A24,'END-AAA'!$C$51:$C$100,1,FALSE)),IF(ISERROR(VLOOKUP(A24,'DB-AA'!$C$51:$C$100,1,FALSE)),IF(ISERROR(VLOOKUP(A24,'UTR-A'!$C$51:$C$100,1,FALSE)),IF(ISERROR(VLOOKUP(A24,'FAI-S A'!$C$51:$C$100,1,FALSE)),"","S A"),"A"),"AA"),"AAA"),"ML")</f>
        <v>ML</v>
      </c>
      <c r="C24" s="242"/>
      <c r="D24" s="242" t="str">
        <f t="shared" si="3"/>
        <v>T</v>
      </c>
      <c r="E24" s="241" t="s">
        <v>11</v>
      </c>
      <c r="F24" s="241" t="s">
        <v>400</v>
      </c>
      <c r="G24" s="241" t="s">
        <v>422</v>
      </c>
      <c r="H24" s="241" t="s">
        <v>763</v>
      </c>
      <c r="I24" s="241" t="s">
        <v>402</v>
      </c>
      <c r="J24" s="241">
        <v>29</v>
      </c>
      <c r="K24" s="241" t="s">
        <v>83</v>
      </c>
      <c r="L24" s="298" t="s">
        <v>82</v>
      </c>
      <c r="M24" s="241" t="s">
        <v>773</v>
      </c>
      <c r="N24" s="241" t="s">
        <v>773</v>
      </c>
      <c r="O24" s="241" t="s">
        <v>200</v>
      </c>
      <c r="P24" s="298" t="s">
        <v>200</v>
      </c>
      <c r="Q24" s="241">
        <v>5</v>
      </c>
      <c r="R24" s="241">
        <v>4</v>
      </c>
      <c r="S24" s="298">
        <v>8</v>
      </c>
      <c r="T24" s="241">
        <v>5</v>
      </c>
      <c r="U24" s="241">
        <v>4</v>
      </c>
      <c r="V24" s="298">
        <v>8</v>
      </c>
      <c r="W24" s="241">
        <v>7</v>
      </c>
      <c r="X24" s="241">
        <v>7</v>
      </c>
      <c r="Y24" s="241">
        <v>1</v>
      </c>
      <c r="Z24" s="241">
        <v>1</v>
      </c>
      <c r="AA24" s="241" t="s">
        <v>32</v>
      </c>
      <c r="AB24" s="241" t="s">
        <v>32</v>
      </c>
      <c r="AC24" s="241">
        <v>6</v>
      </c>
      <c r="AD24" s="241">
        <v>7</v>
      </c>
      <c r="AE24" s="241" t="s">
        <v>32</v>
      </c>
      <c r="AF24" s="241" t="s">
        <v>32</v>
      </c>
      <c r="AG24" s="241" t="s">
        <v>32</v>
      </c>
      <c r="AH24" s="241" t="s">
        <v>32</v>
      </c>
      <c r="AI24" s="241" t="s">
        <v>32</v>
      </c>
      <c r="AJ24" s="241" t="s">
        <v>32</v>
      </c>
      <c r="AK24" s="241" t="s">
        <v>32</v>
      </c>
      <c r="AL24" s="241" t="s">
        <v>32</v>
      </c>
      <c r="AM24" s="241" t="s">
        <v>32</v>
      </c>
      <c r="AN24" s="241" t="s">
        <v>32</v>
      </c>
      <c r="AO24" s="241" t="s">
        <v>32</v>
      </c>
      <c r="AP24" s="241" t="s">
        <v>32</v>
      </c>
      <c r="AQ24" s="241" t="s">
        <v>32</v>
      </c>
      <c r="AR24" s="241" t="s">
        <v>32</v>
      </c>
      <c r="AS24" s="241" t="s">
        <v>32</v>
      </c>
      <c r="AT24" s="298" t="s">
        <v>32</v>
      </c>
      <c r="AU24" s="241" t="s">
        <v>2</v>
      </c>
      <c r="AV24" s="241">
        <v>6</v>
      </c>
      <c r="AW24" s="299" t="s">
        <v>394</v>
      </c>
      <c r="AX24" s="300">
        <v>930000</v>
      </c>
      <c r="AY24" s="298" t="s">
        <v>34</v>
      </c>
      <c r="AZ24" s="240" t="s">
        <v>199</v>
      </c>
      <c r="BA24" s="301">
        <f t="shared" si="4"/>
        <v>6.166666666666667</v>
      </c>
      <c r="BB24" s="302" t="str">
        <f t="shared" si="5"/>
        <v>Reg</v>
      </c>
      <c r="BC24" s="302">
        <f t="shared" si="6"/>
        <v>6.166666666666667</v>
      </c>
      <c r="BD24" s="302" t="str">
        <f t="shared" si="7"/>
        <v>Reg</v>
      </c>
      <c r="BE24" s="302">
        <f t="shared" si="8"/>
        <v>6.166666666666667</v>
      </c>
      <c r="BF24" s="302" t="str">
        <f t="shared" si="9"/>
        <v>Reg</v>
      </c>
      <c r="BG24" s="303">
        <f t="shared" si="10"/>
        <v>3</v>
      </c>
      <c r="BH24" s="304">
        <f t="shared" si="11"/>
        <v>2</v>
      </c>
      <c r="BI24" s="241" t="str">
        <f t="shared" si="12"/>
        <v/>
      </c>
      <c r="BJ24" s="241" t="str">
        <f t="shared" si="13"/>
        <v>There</v>
      </c>
      <c r="BK24" s="242" t="str">
        <f t="shared" si="14"/>
        <v>ML</v>
      </c>
      <c r="BL24" s="242">
        <f t="shared" si="15"/>
        <v>17</v>
      </c>
      <c r="BM24" s="242">
        <f t="shared" si="16"/>
        <v>17</v>
      </c>
      <c r="BN24" s="242">
        <f t="shared" si="17"/>
        <v>0</v>
      </c>
      <c r="BO24" s="242">
        <f t="shared" si="18"/>
        <v>0</v>
      </c>
      <c r="BP24" s="242">
        <f t="shared" si="19"/>
        <v>0</v>
      </c>
      <c r="BQ24" s="242">
        <f t="shared" si="20"/>
        <v>0</v>
      </c>
    </row>
    <row r="25" spans="1:69" s="305" customFormat="1" x14ac:dyDescent="0.25">
      <c r="A25" s="248" t="str">
        <f t="shared" si="2"/>
        <v>Pat Condon</v>
      </c>
      <c r="B25" s="248" t="str">
        <f>IF(ISERROR(VLOOKUP(A25,AMA!$C$53:$C$100,1,FALSE)),IF(ISERROR(VLOOKUP(A25,'END-AAA'!$C$51:$C$100,1,FALSE)),IF(ISERROR(VLOOKUP(A25,'DB-AA'!$C$51:$C$100,1,FALSE)),IF(ISERROR(VLOOKUP(A25,'UTR-A'!$C$51:$C$100,1,FALSE)),IF(ISERROR(VLOOKUP(A25,'FAI-S A'!$C$51:$C$100,1,FALSE)),"","S A"),"A"),"AA"),"AAA"),"ML")</f>
        <v/>
      </c>
      <c r="C25" s="242"/>
      <c r="D25" s="242" t="str">
        <f t="shared" si="3"/>
        <v>T</v>
      </c>
      <c r="E25" s="241" t="s">
        <v>87</v>
      </c>
      <c r="F25" s="241" t="s">
        <v>937</v>
      </c>
      <c r="G25" s="241" t="s">
        <v>938</v>
      </c>
      <c r="H25" s="241" t="s">
        <v>769</v>
      </c>
      <c r="I25" s="241" t="s">
        <v>186</v>
      </c>
      <c r="J25" s="241">
        <v>22</v>
      </c>
      <c r="K25" s="241" t="s">
        <v>82</v>
      </c>
      <c r="L25" s="298" t="s">
        <v>82</v>
      </c>
      <c r="M25" s="241" t="s">
        <v>773</v>
      </c>
      <c r="N25" s="241" t="s">
        <v>768</v>
      </c>
      <c r="O25" s="241" t="s">
        <v>200</v>
      </c>
      <c r="P25" s="298" t="s">
        <v>200</v>
      </c>
      <c r="Q25" s="241">
        <v>7</v>
      </c>
      <c r="R25" s="241">
        <v>3</v>
      </c>
      <c r="S25" s="298">
        <v>6</v>
      </c>
      <c r="T25" s="241">
        <v>8</v>
      </c>
      <c r="U25" s="241">
        <v>4</v>
      </c>
      <c r="V25" s="298">
        <v>8</v>
      </c>
      <c r="W25" s="241">
        <v>8</v>
      </c>
      <c r="X25" s="241">
        <v>9</v>
      </c>
      <c r="Y25" s="241" t="s">
        <v>32</v>
      </c>
      <c r="Z25" s="241" t="s">
        <v>32</v>
      </c>
      <c r="AA25" s="241" t="s">
        <v>32</v>
      </c>
      <c r="AB25" s="241" t="s">
        <v>32</v>
      </c>
      <c r="AC25" s="241">
        <v>5</v>
      </c>
      <c r="AD25" s="241">
        <v>8</v>
      </c>
      <c r="AE25" s="241" t="s">
        <v>32</v>
      </c>
      <c r="AF25" s="241" t="s">
        <v>32</v>
      </c>
      <c r="AG25" s="241">
        <v>4</v>
      </c>
      <c r="AH25" s="241">
        <v>5</v>
      </c>
      <c r="AI25" s="241" t="s">
        <v>32</v>
      </c>
      <c r="AJ25" s="241" t="s">
        <v>32</v>
      </c>
      <c r="AK25" s="241" t="s">
        <v>32</v>
      </c>
      <c r="AL25" s="241" t="s">
        <v>32</v>
      </c>
      <c r="AM25" s="241">
        <v>9</v>
      </c>
      <c r="AN25" s="241">
        <v>10</v>
      </c>
      <c r="AO25" s="241" t="s">
        <v>32</v>
      </c>
      <c r="AP25" s="241" t="s">
        <v>32</v>
      </c>
      <c r="AQ25" s="241" t="s">
        <v>32</v>
      </c>
      <c r="AR25" s="241" t="s">
        <v>32</v>
      </c>
      <c r="AS25" s="241" t="s">
        <v>32</v>
      </c>
      <c r="AT25" s="298" t="s">
        <v>32</v>
      </c>
      <c r="AU25" s="241" t="s">
        <v>209</v>
      </c>
      <c r="AV25" s="241">
        <v>6</v>
      </c>
      <c r="AW25" s="299" t="s">
        <v>393</v>
      </c>
      <c r="AX25" s="300" t="s">
        <v>32</v>
      </c>
      <c r="AY25" s="298" t="s">
        <v>33</v>
      </c>
      <c r="AZ25" s="240" t="s">
        <v>779</v>
      </c>
      <c r="BA25" s="301">
        <f t="shared" si="4"/>
        <v>6.083333333333333</v>
      </c>
      <c r="BB25" s="302" t="str">
        <f t="shared" si="5"/>
        <v>Reg</v>
      </c>
      <c r="BC25" s="302">
        <f t="shared" si="6"/>
        <v>7.416666666666667</v>
      </c>
      <c r="BD25" s="302" t="str">
        <f t="shared" si="7"/>
        <v>GoodReg</v>
      </c>
      <c r="BE25" s="302">
        <f t="shared" si="8"/>
        <v>7.416666666666667</v>
      </c>
      <c r="BF25" s="302" t="str">
        <f t="shared" si="9"/>
        <v>GoodReg</v>
      </c>
      <c r="BG25" s="303">
        <f t="shared" si="10"/>
        <v>4</v>
      </c>
      <c r="BH25" s="304">
        <f t="shared" si="11"/>
        <v>2.5</v>
      </c>
      <c r="BI25" s="241" t="str">
        <f t="shared" si="12"/>
        <v/>
      </c>
      <c r="BJ25" s="241" t="str">
        <f t="shared" si="13"/>
        <v>Likely</v>
      </c>
      <c r="BK25" s="242" t="str">
        <f t="shared" si="14"/>
        <v>AAA</v>
      </c>
      <c r="BL25" s="242">
        <f t="shared" si="15"/>
        <v>16</v>
      </c>
      <c r="BM25" s="242">
        <f t="shared" si="16"/>
        <v>20</v>
      </c>
      <c r="BN25" s="242">
        <f t="shared" si="17"/>
        <v>-1</v>
      </c>
      <c r="BO25" s="242">
        <f t="shared" si="18"/>
        <v>-1</v>
      </c>
      <c r="BP25" s="242">
        <f t="shared" si="19"/>
        <v>-2</v>
      </c>
      <c r="BQ25" s="242">
        <f t="shared" si="20"/>
        <v>-4</v>
      </c>
    </row>
    <row r="26" spans="1:69" s="305" customFormat="1" x14ac:dyDescent="0.25">
      <c r="A26" s="248" t="str">
        <f t="shared" si="2"/>
        <v>William Pollock</v>
      </c>
      <c r="B26" s="248" t="str">
        <f>IF(ISERROR(VLOOKUP(A26,AMA!$C$53:$C$100,1,FALSE)),IF(ISERROR(VLOOKUP(A26,'END-AAA'!$C$51:$C$100,1,FALSE)),IF(ISERROR(VLOOKUP(A26,'DB-AA'!$C$51:$C$100,1,FALSE)),IF(ISERROR(VLOOKUP(A26,'UTR-A'!$C$51:$C$100,1,FALSE)),IF(ISERROR(VLOOKUP(A26,'FAI-S A'!$C$51:$C$100,1,FALSE)),"","S A"),"A"),"AA"),"AAA"),"ML")</f>
        <v/>
      </c>
      <c r="C26" s="242"/>
      <c r="D26" s="242" t="str">
        <f t="shared" si="3"/>
        <v>T</v>
      </c>
      <c r="E26" s="241" t="s">
        <v>87</v>
      </c>
      <c r="F26" s="241" t="s">
        <v>932</v>
      </c>
      <c r="G26" s="241" t="s">
        <v>933</v>
      </c>
      <c r="H26" s="241" t="s">
        <v>783</v>
      </c>
      <c r="I26" s="241" t="s">
        <v>185</v>
      </c>
      <c r="J26" s="241">
        <v>37</v>
      </c>
      <c r="K26" s="241" t="s">
        <v>83</v>
      </c>
      <c r="L26" s="298" t="s">
        <v>82</v>
      </c>
      <c r="M26" s="241" t="s">
        <v>808</v>
      </c>
      <c r="N26" s="241" t="s">
        <v>808</v>
      </c>
      <c r="O26" s="241" t="s">
        <v>200</v>
      </c>
      <c r="P26" s="298" t="s">
        <v>200</v>
      </c>
      <c r="Q26" s="241">
        <v>7</v>
      </c>
      <c r="R26" s="241">
        <v>4</v>
      </c>
      <c r="S26" s="298">
        <v>3</v>
      </c>
      <c r="T26" s="241">
        <v>7</v>
      </c>
      <c r="U26" s="241">
        <v>4</v>
      </c>
      <c r="V26" s="298">
        <v>3</v>
      </c>
      <c r="W26" s="241" t="s">
        <v>32</v>
      </c>
      <c r="X26" s="241" t="s">
        <v>32</v>
      </c>
      <c r="Y26" s="241">
        <v>5</v>
      </c>
      <c r="Z26" s="241">
        <v>5</v>
      </c>
      <c r="AA26" s="241">
        <v>7</v>
      </c>
      <c r="AB26" s="241">
        <v>7</v>
      </c>
      <c r="AC26" s="241" t="s">
        <v>32</v>
      </c>
      <c r="AD26" s="241" t="s">
        <v>32</v>
      </c>
      <c r="AE26" s="241" t="s">
        <v>32</v>
      </c>
      <c r="AF26" s="241" t="s">
        <v>32</v>
      </c>
      <c r="AG26" s="241">
        <v>7</v>
      </c>
      <c r="AH26" s="241">
        <v>7</v>
      </c>
      <c r="AI26" s="241">
        <v>7</v>
      </c>
      <c r="AJ26" s="241">
        <v>7</v>
      </c>
      <c r="AK26" s="241">
        <v>5</v>
      </c>
      <c r="AL26" s="241">
        <v>5</v>
      </c>
      <c r="AM26" s="241">
        <v>2</v>
      </c>
      <c r="AN26" s="241">
        <v>2</v>
      </c>
      <c r="AO26" s="241" t="s">
        <v>32</v>
      </c>
      <c r="AP26" s="241" t="s">
        <v>32</v>
      </c>
      <c r="AQ26" s="241" t="s">
        <v>32</v>
      </c>
      <c r="AR26" s="241" t="s">
        <v>32</v>
      </c>
      <c r="AS26" s="241" t="s">
        <v>32</v>
      </c>
      <c r="AT26" s="298" t="s">
        <v>32</v>
      </c>
      <c r="AU26" s="241" t="s">
        <v>2</v>
      </c>
      <c r="AV26" s="241">
        <v>4</v>
      </c>
      <c r="AW26" s="299" t="s">
        <v>393</v>
      </c>
      <c r="AX26" s="300" t="s">
        <v>32</v>
      </c>
      <c r="AY26" s="298">
        <v>1</v>
      </c>
      <c r="AZ26" s="240" t="s">
        <v>779</v>
      </c>
      <c r="BA26" s="301">
        <f t="shared" si="4"/>
        <v>5.916666666666667</v>
      </c>
      <c r="BB26" s="302" t="str">
        <f t="shared" si="5"/>
        <v>Reg</v>
      </c>
      <c r="BC26" s="302">
        <f t="shared" si="6"/>
        <v>5.916666666666667</v>
      </c>
      <c r="BD26" s="302" t="str">
        <f t="shared" si="7"/>
        <v>Reg</v>
      </c>
      <c r="BE26" s="302">
        <f t="shared" si="8"/>
        <v>5.916666666666667</v>
      </c>
      <c r="BF26" s="302" t="str">
        <f t="shared" si="9"/>
        <v>Reg</v>
      </c>
      <c r="BG26" s="303">
        <f t="shared" si="10"/>
        <v>6</v>
      </c>
      <c r="BH26" s="304">
        <f t="shared" si="11"/>
        <v>3</v>
      </c>
      <c r="BI26" s="241" t="str">
        <f t="shared" si="12"/>
        <v>Yes</v>
      </c>
      <c r="BJ26" s="241" t="str">
        <f t="shared" si="13"/>
        <v>Possible</v>
      </c>
      <c r="BK26" s="242" t="str">
        <f t="shared" si="14"/>
        <v>AAA</v>
      </c>
      <c r="BL26" s="242">
        <f t="shared" si="15"/>
        <v>14</v>
      </c>
      <c r="BM26" s="242">
        <f t="shared" si="16"/>
        <v>14</v>
      </c>
      <c r="BN26" s="242">
        <f t="shared" si="17"/>
        <v>0</v>
      </c>
      <c r="BO26" s="242">
        <f t="shared" si="18"/>
        <v>0</v>
      </c>
      <c r="BP26" s="242">
        <f t="shared" si="19"/>
        <v>0</v>
      </c>
      <c r="BQ26" s="242">
        <f t="shared" si="20"/>
        <v>0</v>
      </c>
    </row>
    <row r="27" spans="1:69" s="305" customFormat="1" x14ac:dyDescent="0.25">
      <c r="A27" s="248" t="str">
        <f t="shared" si="2"/>
        <v>Rich Kefer</v>
      </c>
      <c r="B27" s="248" t="str">
        <f>IF(ISERROR(VLOOKUP(A27,AMA!$C$53:$C$100,1,FALSE)),IF(ISERROR(VLOOKUP(A27,'END-AAA'!$C$51:$C$100,1,FALSE)),IF(ISERROR(VLOOKUP(A27,'DB-AA'!$C$51:$C$100,1,FALSE)),IF(ISERROR(VLOOKUP(A27,'UTR-A'!$C$51:$C$100,1,FALSE)),IF(ISERROR(VLOOKUP(A27,'FAI-S A'!$C$51:$C$100,1,FALSE)),"","S A"),"A"),"AA"),"AAA"),"ML")</f>
        <v/>
      </c>
      <c r="C27" s="242"/>
      <c r="D27" s="242" t="str">
        <f t="shared" si="3"/>
        <v>K</v>
      </c>
      <c r="E27" s="241" t="s">
        <v>11</v>
      </c>
      <c r="F27" s="241" t="s">
        <v>523</v>
      </c>
      <c r="G27" s="241" t="s">
        <v>849</v>
      </c>
      <c r="H27" s="241" t="s">
        <v>763</v>
      </c>
      <c r="I27" s="241" t="s">
        <v>402</v>
      </c>
      <c r="J27" s="241">
        <v>27</v>
      </c>
      <c r="K27" s="241" t="s">
        <v>83</v>
      </c>
      <c r="L27" s="298" t="s">
        <v>83</v>
      </c>
      <c r="M27" s="241" t="s">
        <v>773</v>
      </c>
      <c r="N27" s="241" t="s">
        <v>773</v>
      </c>
      <c r="O27" s="241" t="s">
        <v>199</v>
      </c>
      <c r="P27" s="298" t="s">
        <v>200</v>
      </c>
      <c r="Q27" s="241">
        <v>4</v>
      </c>
      <c r="R27" s="241">
        <v>5</v>
      </c>
      <c r="S27" s="298">
        <v>7</v>
      </c>
      <c r="T27" s="241">
        <v>5</v>
      </c>
      <c r="U27" s="241">
        <v>5</v>
      </c>
      <c r="V27" s="298">
        <v>7</v>
      </c>
      <c r="W27" s="241">
        <v>7</v>
      </c>
      <c r="X27" s="241">
        <v>7</v>
      </c>
      <c r="Y27" s="241">
        <v>1</v>
      </c>
      <c r="Z27" s="241">
        <v>1</v>
      </c>
      <c r="AA27" s="241">
        <v>5</v>
      </c>
      <c r="AB27" s="241">
        <v>5</v>
      </c>
      <c r="AC27" s="241" t="s">
        <v>32</v>
      </c>
      <c r="AD27" s="241" t="s">
        <v>32</v>
      </c>
      <c r="AE27" s="241" t="s">
        <v>32</v>
      </c>
      <c r="AF27" s="241" t="s">
        <v>32</v>
      </c>
      <c r="AG27" s="241" t="s">
        <v>32</v>
      </c>
      <c r="AH27" s="241" t="s">
        <v>32</v>
      </c>
      <c r="AI27" s="241" t="s">
        <v>32</v>
      </c>
      <c r="AJ27" s="241" t="s">
        <v>32</v>
      </c>
      <c r="AK27" s="241" t="s">
        <v>32</v>
      </c>
      <c r="AL27" s="241" t="s">
        <v>32</v>
      </c>
      <c r="AM27" s="241" t="s">
        <v>32</v>
      </c>
      <c r="AN27" s="241" t="s">
        <v>32</v>
      </c>
      <c r="AO27" s="241" t="s">
        <v>32</v>
      </c>
      <c r="AP27" s="241" t="s">
        <v>32</v>
      </c>
      <c r="AQ27" s="241" t="s">
        <v>32</v>
      </c>
      <c r="AR27" s="241" t="s">
        <v>32</v>
      </c>
      <c r="AS27" s="241" t="s">
        <v>32</v>
      </c>
      <c r="AT27" s="298" t="s">
        <v>32</v>
      </c>
      <c r="AU27" s="241" t="s">
        <v>6</v>
      </c>
      <c r="AV27" s="241">
        <v>6</v>
      </c>
      <c r="AW27" s="299" t="s">
        <v>394</v>
      </c>
      <c r="AX27" s="300">
        <v>560000</v>
      </c>
      <c r="AY27" s="298" t="s">
        <v>33</v>
      </c>
      <c r="AZ27" s="240" t="s">
        <v>1267</v>
      </c>
      <c r="BA27" s="301">
        <f t="shared" si="4"/>
        <v>5.833333333333333</v>
      </c>
      <c r="BB27" s="302" t="str">
        <f t="shared" si="5"/>
        <v>Reg</v>
      </c>
      <c r="BC27" s="302">
        <f t="shared" si="6"/>
        <v>6.166666666666667</v>
      </c>
      <c r="BD27" s="302" t="str">
        <f t="shared" si="7"/>
        <v>Reg</v>
      </c>
      <c r="BE27" s="302">
        <f t="shared" si="8"/>
        <v>6.166666666666667</v>
      </c>
      <c r="BF27" s="302" t="str">
        <f t="shared" si="9"/>
        <v>Reg</v>
      </c>
      <c r="BG27" s="303">
        <f t="shared" si="10"/>
        <v>3</v>
      </c>
      <c r="BH27" s="304">
        <f t="shared" si="11"/>
        <v>1</v>
      </c>
      <c r="BI27" s="241" t="str">
        <f t="shared" si="12"/>
        <v/>
      </c>
      <c r="BJ27" s="241" t="str">
        <f t="shared" si="13"/>
        <v>Possible</v>
      </c>
      <c r="BK27" s="242" t="str">
        <f t="shared" si="14"/>
        <v>AAA</v>
      </c>
      <c r="BL27" s="242">
        <f t="shared" si="15"/>
        <v>16</v>
      </c>
      <c r="BM27" s="242">
        <f t="shared" si="16"/>
        <v>17</v>
      </c>
      <c r="BN27" s="242">
        <f t="shared" si="17"/>
        <v>-1</v>
      </c>
      <c r="BO27" s="242">
        <f t="shared" si="18"/>
        <v>0</v>
      </c>
      <c r="BP27" s="242">
        <f t="shared" si="19"/>
        <v>0</v>
      </c>
      <c r="BQ27" s="242">
        <f t="shared" si="20"/>
        <v>-1</v>
      </c>
    </row>
    <row r="28" spans="1:69" s="305" customFormat="1" x14ac:dyDescent="0.25">
      <c r="A28" s="248" t="str">
        <f t="shared" si="2"/>
        <v>Kyoichi Gato</v>
      </c>
      <c r="B28" s="248" t="str">
        <f>IF(ISERROR(VLOOKUP(A28,AMA!$C$53:$C$100,1,FALSE)),IF(ISERROR(VLOOKUP(A28,'END-AAA'!$C$51:$C$100,1,FALSE)),IF(ISERROR(VLOOKUP(A28,'DB-AA'!$C$51:$C$100,1,FALSE)),IF(ISERROR(VLOOKUP(A28,'UTR-A'!$C$51:$C$100,1,FALSE)),IF(ISERROR(VLOOKUP(A28,'FAI-S A'!$C$51:$C$100,1,FALSE)),"","S A"),"A"),"AA"),"AAA"),"ML")</f>
        <v>ML</v>
      </c>
      <c r="C28" s="242"/>
      <c r="D28" s="242" t="str">
        <f t="shared" si="3"/>
        <v>T</v>
      </c>
      <c r="E28" s="241" t="s">
        <v>87</v>
      </c>
      <c r="F28" s="241" t="s">
        <v>494</v>
      </c>
      <c r="G28" s="241" t="s">
        <v>495</v>
      </c>
      <c r="H28" s="241" t="s">
        <v>763</v>
      </c>
      <c r="I28" s="241" t="s">
        <v>402</v>
      </c>
      <c r="J28" s="241">
        <v>31</v>
      </c>
      <c r="K28" s="241" t="s">
        <v>83</v>
      </c>
      <c r="L28" s="298" t="s">
        <v>83</v>
      </c>
      <c r="M28" s="241" t="s">
        <v>764</v>
      </c>
      <c r="N28" s="241" t="s">
        <v>764</v>
      </c>
      <c r="O28" s="241" t="s">
        <v>201</v>
      </c>
      <c r="P28" s="298" t="s">
        <v>201</v>
      </c>
      <c r="Q28" s="241">
        <v>4</v>
      </c>
      <c r="R28" s="241">
        <v>3</v>
      </c>
      <c r="S28" s="298">
        <v>9</v>
      </c>
      <c r="T28" s="241">
        <v>4</v>
      </c>
      <c r="U28" s="241">
        <v>3</v>
      </c>
      <c r="V28" s="298">
        <v>9</v>
      </c>
      <c r="W28" s="241" t="s">
        <v>32</v>
      </c>
      <c r="X28" s="241" t="s">
        <v>32</v>
      </c>
      <c r="Y28" s="241">
        <v>6</v>
      </c>
      <c r="Z28" s="241">
        <v>6</v>
      </c>
      <c r="AA28" s="241" t="s">
        <v>32</v>
      </c>
      <c r="AB28" s="241" t="s">
        <v>32</v>
      </c>
      <c r="AC28" s="241">
        <v>6</v>
      </c>
      <c r="AD28" s="241">
        <v>6</v>
      </c>
      <c r="AE28" s="241" t="s">
        <v>32</v>
      </c>
      <c r="AF28" s="241" t="s">
        <v>32</v>
      </c>
      <c r="AG28" s="241" t="s">
        <v>32</v>
      </c>
      <c r="AH28" s="241" t="s">
        <v>32</v>
      </c>
      <c r="AI28" s="241">
        <v>6</v>
      </c>
      <c r="AJ28" s="241">
        <v>6</v>
      </c>
      <c r="AK28" s="241" t="s">
        <v>32</v>
      </c>
      <c r="AL28" s="241" t="s">
        <v>32</v>
      </c>
      <c r="AM28" s="241" t="s">
        <v>32</v>
      </c>
      <c r="AN28" s="241" t="s">
        <v>32</v>
      </c>
      <c r="AO28" s="241" t="s">
        <v>32</v>
      </c>
      <c r="AP28" s="241" t="s">
        <v>32</v>
      </c>
      <c r="AQ28" s="241" t="s">
        <v>32</v>
      </c>
      <c r="AR28" s="241" t="s">
        <v>32</v>
      </c>
      <c r="AS28" s="241" t="s">
        <v>32</v>
      </c>
      <c r="AT28" s="298" t="s">
        <v>32</v>
      </c>
      <c r="AU28" s="241" t="s">
        <v>5</v>
      </c>
      <c r="AV28" s="241">
        <v>6</v>
      </c>
      <c r="AW28" s="299" t="s">
        <v>394</v>
      </c>
      <c r="AX28" s="300">
        <v>2850000</v>
      </c>
      <c r="AY28" s="298" t="s">
        <v>34</v>
      </c>
      <c r="AZ28" s="240" t="s">
        <v>779</v>
      </c>
      <c r="BA28" s="301">
        <f t="shared" si="4"/>
        <v>5.833333333333333</v>
      </c>
      <c r="BB28" s="302" t="str">
        <f t="shared" si="5"/>
        <v>Reg</v>
      </c>
      <c r="BC28" s="302">
        <f t="shared" si="6"/>
        <v>5.833333333333333</v>
      </c>
      <c r="BD28" s="302" t="str">
        <f t="shared" si="7"/>
        <v>Reg</v>
      </c>
      <c r="BE28" s="302">
        <f t="shared" si="8"/>
        <v>5.833333333333333</v>
      </c>
      <c r="BF28" s="302" t="str">
        <f t="shared" si="9"/>
        <v>Reg</v>
      </c>
      <c r="BG28" s="303">
        <f t="shared" si="10"/>
        <v>3</v>
      </c>
      <c r="BH28" s="304">
        <f t="shared" si="11"/>
        <v>3</v>
      </c>
      <c r="BI28" s="241" t="str">
        <f t="shared" si="12"/>
        <v/>
      </c>
      <c r="BJ28" s="241" t="str">
        <f t="shared" si="13"/>
        <v>There</v>
      </c>
      <c r="BK28" s="242" t="str">
        <f t="shared" si="14"/>
        <v>AAA</v>
      </c>
      <c r="BL28" s="242">
        <f t="shared" si="15"/>
        <v>16</v>
      </c>
      <c r="BM28" s="242">
        <f t="shared" si="16"/>
        <v>16</v>
      </c>
      <c r="BN28" s="242">
        <f t="shared" si="17"/>
        <v>0</v>
      </c>
      <c r="BO28" s="242">
        <f t="shared" si="18"/>
        <v>0</v>
      </c>
      <c r="BP28" s="242">
        <f t="shared" si="19"/>
        <v>0</v>
      </c>
      <c r="BQ28" s="242">
        <f t="shared" si="20"/>
        <v>0</v>
      </c>
    </row>
    <row r="29" spans="1:69" s="305" customFormat="1" x14ac:dyDescent="0.25">
      <c r="A29" s="248" t="str">
        <f t="shared" si="2"/>
        <v>Mark de Vries</v>
      </c>
      <c r="B29" s="248" t="str">
        <f>IF(ISERROR(VLOOKUP(A29,AMA!$C$53:$C$100,1,FALSE)),IF(ISERROR(VLOOKUP(A29,'END-AAA'!$C$51:$C$100,1,FALSE)),IF(ISERROR(VLOOKUP(A29,'DB-AA'!$C$51:$C$100,1,FALSE)),IF(ISERROR(VLOOKUP(A29,'UTR-A'!$C$51:$C$100,1,FALSE)),IF(ISERROR(VLOOKUP(A29,'FAI-S A'!$C$51:$C$100,1,FALSE)),"","S A"),"A"),"AA"),"AAA"),"ML")</f>
        <v/>
      </c>
      <c r="C29" s="242"/>
      <c r="D29" s="242" t="str">
        <f t="shared" si="3"/>
        <v>T</v>
      </c>
      <c r="E29" s="241" t="s">
        <v>11</v>
      </c>
      <c r="F29" s="241" t="s">
        <v>961</v>
      </c>
      <c r="G29" s="241" t="s">
        <v>962</v>
      </c>
      <c r="H29" s="241" t="s">
        <v>769</v>
      </c>
      <c r="I29" s="241" t="s">
        <v>186</v>
      </c>
      <c r="J29" s="241">
        <v>24</v>
      </c>
      <c r="K29" s="241" t="s">
        <v>83</v>
      </c>
      <c r="L29" s="298" t="s">
        <v>83</v>
      </c>
      <c r="M29" s="241" t="s">
        <v>808</v>
      </c>
      <c r="N29" s="241" t="s">
        <v>768</v>
      </c>
      <c r="O29" s="241" t="s">
        <v>200</v>
      </c>
      <c r="P29" s="298" t="s">
        <v>200</v>
      </c>
      <c r="Q29" s="241">
        <v>6</v>
      </c>
      <c r="R29" s="241">
        <v>5</v>
      </c>
      <c r="S29" s="298">
        <v>4</v>
      </c>
      <c r="T29" s="241">
        <v>8</v>
      </c>
      <c r="U29" s="241">
        <v>6</v>
      </c>
      <c r="V29" s="298">
        <v>4</v>
      </c>
      <c r="W29" s="241" t="s">
        <v>32</v>
      </c>
      <c r="X29" s="241" t="s">
        <v>32</v>
      </c>
      <c r="Y29" s="241">
        <v>6</v>
      </c>
      <c r="Z29" s="241">
        <v>7</v>
      </c>
      <c r="AA29" s="241">
        <v>6</v>
      </c>
      <c r="AB29" s="241">
        <v>7</v>
      </c>
      <c r="AC29" s="241" t="s">
        <v>32</v>
      </c>
      <c r="AD29" s="241" t="s">
        <v>32</v>
      </c>
      <c r="AE29" s="241" t="s">
        <v>32</v>
      </c>
      <c r="AF29" s="241" t="s">
        <v>32</v>
      </c>
      <c r="AG29" s="241" t="s">
        <v>32</v>
      </c>
      <c r="AH29" s="241" t="s">
        <v>32</v>
      </c>
      <c r="AI29" s="241">
        <v>7</v>
      </c>
      <c r="AJ29" s="241">
        <v>9</v>
      </c>
      <c r="AK29" s="241">
        <v>5</v>
      </c>
      <c r="AL29" s="241">
        <v>5</v>
      </c>
      <c r="AM29" s="241" t="s">
        <v>32</v>
      </c>
      <c r="AN29" s="241" t="s">
        <v>32</v>
      </c>
      <c r="AO29" s="241" t="s">
        <v>32</v>
      </c>
      <c r="AP29" s="241" t="s">
        <v>32</v>
      </c>
      <c r="AQ29" s="241" t="s">
        <v>32</v>
      </c>
      <c r="AR29" s="241" t="s">
        <v>32</v>
      </c>
      <c r="AS29" s="241" t="s">
        <v>32</v>
      </c>
      <c r="AT29" s="298" t="s">
        <v>32</v>
      </c>
      <c r="AU29" s="241" t="s">
        <v>6</v>
      </c>
      <c r="AV29" s="241">
        <v>3</v>
      </c>
      <c r="AW29" s="299" t="s">
        <v>393</v>
      </c>
      <c r="AX29" s="300">
        <v>510000</v>
      </c>
      <c r="AY29" s="298" t="s">
        <v>33</v>
      </c>
      <c r="AZ29" s="240" t="s">
        <v>779</v>
      </c>
      <c r="BA29" s="301">
        <f t="shared" si="4"/>
        <v>5.75</v>
      </c>
      <c r="BB29" s="302" t="str">
        <f t="shared" si="5"/>
        <v>Reg</v>
      </c>
      <c r="BC29" s="302">
        <f t="shared" si="6"/>
        <v>6.75</v>
      </c>
      <c r="BD29" s="302" t="str">
        <f t="shared" si="7"/>
        <v>GoodReg</v>
      </c>
      <c r="BE29" s="302">
        <f t="shared" si="8"/>
        <v>6.75</v>
      </c>
      <c r="BF29" s="302" t="str">
        <f t="shared" si="9"/>
        <v>GoodReg</v>
      </c>
      <c r="BG29" s="303">
        <f t="shared" si="10"/>
        <v>4</v>
      </c>
      <c r="BH29" s="304">
        <f t="shared" si="11"/>
        <v>3</v>
      </c>
      <c r="BI29" s="241" t="str">
        <f t="shared" si="12"/>
        <v/>
      </c>
      <c r="BJ29" s="241" t="str">
        <f t="shared" si="13"/>
        <v>Likely</v>
      </c>
      <c r="BK29" s="242" t="str">
        <f t="shared" si="14"/>
        <v>AAA</v>
      </c>
      <c r="BL29" s="242">
        <f t="shared" si="15"/>
        <v>15</v>
      </c>
      <c r="BM29" s="242">
        <f t="shared" si="16"/>
        <v>18</v>
      </c>
      <c r="BN29" s="242">
        <f t="shared" si="17"/>
        <v>-2</v>
      </c>
      <c r="BO29" s="242">
        <f t="shared" si="18"/>
        <v>-1</v>
      </c>
      <c r="BP29" s="242">
        <f t="shared" si="19"/>
        <v>0</v>
      </c>
      <c r="BQ29" s="242">
        <f t="shared" si="20"/>
        <v>-3</v>
      </c>
    </row>
    <row r="30" spans="1:69" s="305" customFormat="1" x14ac:dyDescent="0.25">
      <c r="A30" s="248" t="str">
        <f t="shared" si="2"/>
        <v>Torcall Penrose</v>
      </c>
      <c r="B30" s="248" t="str">
        <f>IF(ISERROR(VLOOKUP(A30,AMA!$C$53:$C$100,1,FALSE)),IF(ISERROR(VLOOKUP(A30,'END-AAA'!$C$51:$C$100,1,FALSE)),IF(ISERROR(VLOOKUP(A30,'DB-AA'!$C$51:$C$100,1,FALSE)),IF(ISERROR(VLOOKUP(A30,'UTR-A'!$C$51:$C$100,1,FALSE)),IF(ISERROR(VLOOKUP(A30,'FAI-S A'!$C$51:$C$100,1,FALSE)),"","S A"),"A"),"AA"),"AAA"),"ML")</f>
        <v/>
      </c>
      <c r="C30" s="242"/>
      <c r="D30" s="242" t="str">
        <f t="shared" si="3"/>
        <v>T</v>
      </c>
      <c r="E30" s="241" t="s">
        <v>11</v>
      </c>
      <c r="F30" s="241" t="s">
        <v>945</v>
      </c>
      <c r="G30" s="241" t="s">
        <v>946</v>
      </c>
      <c r="H30" s="241" t="s">
        <v>783</v>
      </c>
      <c r="I30" s="241" t="s">
        <v>185</v>
      </c>
      <c r="J30" s="241">
        <v>27</v>
      </c>
      <c r="K30" s="241" t="s">
        <v>85</v>
      </c>
      <c r="L30" s="298" t="s">
        <v>83</v>
      </c>
      <c r="M30" s="241" t="s">
        <v>808</v>
      </c>
      <c r="N30" s="241" t="s">
        <v>773</v>
      </c>
      <c r="O30" s="241" t="s">
        <v>200</v>
      </c>
      <c r="P30" s="298" t="s">
        <v>200</v>
      </c>
      <c r="Q30" s="241">
        <v>7</v>
      </c>
      <c r="R30" s="241">
        <v>1</v>
      </c>
      <c r="S30" s="298">
        <v>7</v>
      </c>
      <c r="T30" s="241">
        <v>7</v>
      </c>
      <c r="U30" s="241">
        <v>1</v>
      </c>
      <c r="V30" s="298">
        <v>8</v>
      </c>
      <c r="W30" s="241">
        <v>8</v>
      </c>
      <c r="X30" s="241">
        <v>8</v>
      </c>
      <c r="Y30" s="241">
        <v>6</v>
      </c>
      <c r="Z30" s="241">
        <v>6</v>
      </c>
      <c r="AA30" s="241">
        <v>7</v>
      </c>
      <c r="AB30" s="241">
        <v>7</v>
      </c>
      <c r="AC30" s="241">
        <v>4</v>
      </c>
      <c r="AD30" s="241">
        <v>4</v>
      </c>
      <c r="AE30" s="241" t="s">
        <v>32</v>
      </c>
      <c r="AF30" s="241" t="s">
        <v>32</v>
      </c>
      <c r="AG30" s="241" t="s">
        <v>32</v>
      </c>
      <c r="AH30" s="241" t="s">
        <v>32</v>
      </c>
      <c r="AI30" s="241" t="s">
        <v>32</v>
      </c>
      <c r="AJ30" s="241" t="s">
        <v>32</v>
      </c>
      <c r="AK30" s="241" t="s">
        <v>32</v>
      </c>
      <c r="AL30" s="241" t="s">
        <v>32</v>
      </c>
      <c r="AM30" s="241" t="s">
        <v>32</v>
      </c>
      <c r="AN30" s="241" t="s">
        <v>32</v>
      </c>
      <c r="AO30" s="241" t="s">
        <v>32</v>
      </c>
      <c r="AP30" s="241" t="s">
        <v>32</v>
      </c>
      <c r="AQ30" s="241" t="s">
        <v>32</v>
      </c>
      <c r="AR30" s="241" t="s">
        <v>32</v>
      </c>
      <c r="AS30" s="241" t="s">
        <v>32</v>
      </c>
      <c r="AT30" s="298" t="s">
        <v>32</v>
      </c>
      <c r="AU30" s="241" t="s">
        <v>209</v>
      </c>
      <c r="AV30" s="241">
        <v>9</v>
      </c>
      <c r="AW30" s="299" t="s">
        <v>395</v>
      </c>
      <c r="AX30" s="300">
        <v>510000</v>
      </c>
      <c r="AY30" s="298" t="s">
        <v>33</v>
      </c>
      <c r="AZ30" s="240" t="s">
        <v>199</v>
      </c>
      <c r="BA30" s="301">
        <f t="shared" si="4"/>
        <v>5.75</v>
      </c>
      <c r="BB30" s="302" t="str">
        <f t="shared" si="5"/>
        <v>Reg</v>
      </c>
      <c r="BC30" s="302">
        <f t="shared" si="6"/>
        <v>6.083333333333333</v>
      </c>
      <c r="BD30" s="302" t="str">
        <f t="shared" si="7"/>
        <v>Reg</v>
      </c>
      <c r="BE30" s="302">
        <f t="shared" si="8"/>
        <v>6.083333333333333</v>
      </c>
      <c r="BF30" s="302" t="str">
        <f t="shared" si="9"/>
        <v>Reg</v>
      </c>
      <c r="BG30" s="303">
        <f t="shared" si="10"/>
        <v>4</v>
      </c>
      <c r="BH30" s="304">
        <f t="shared" si="11"/>
        <v>3</v>
      </c>
      <c r="BI30" s="241" t="str">
        <f t="shared" si="12"/>
        <v/>
      </c>
      <c r="BJ30" s="241" t="str">
        <f t="shared" si="13"/>
        <v>Possible</v>
      </c>
      <c r="BK30" s="242" t="str">
        <f t="shared" si="14"/>
        <v>AAA</v>
      </c>
      <c r="BL30" s="242">
        <f t="shared" si="15"/>
        <v>15</v>
      </c>
      <c r="BM30" s="242">
        <f t="shared" si="16"/>
        <v>16</v>
      </c>
      <c r="BN30" s="242">
        <f t="shared" si="17"/>
        <v>0</v>
      </c>
      <c r="BO30" s="242">
        <f t="shared" si="18"/>
        <v>0</v>
      </c>
      <c r="BP30" s="242">
        <f t="shared" si="19"/>
        <v>-1</v>
      </c>
      <c r="BQ30" s="242">
        <f t="shared" si="20"/>
        <v>-1</v>
      </c>
    </row>
    <row r="31" spans="1:69" s="305" customFormat="1" x14ac:dyDescent="0.25">
      <c r="A31" s="248" t="str">
        <f t="shared" si="2"/>
        <v>Mang Sun</v>
      </c>
      <c r="B31" s="248" t="str">
        <f>IF(ISERROR(VLOOKUP(A31,AMA!$C$53:$C$100,1,FALSE)),IF(ISERROR(VLOOKUP(A31,'END-AAA'!$C$51:$C$100,1,FALSE)),IF(ISERROR(VLOOKUP(A31,'DB-AA'!$C$51:$C$100,1,FALSE)),IF(ISERROR(VLOOKUP(A31,'UTR-A'!$C$51:$C$100,1,FALSE)),IF(ISERROR(VLOOKUP(A31,'FAI-S A'!$C$51:$C$100,1,FALSE)),"","S A"),"A"),"AA"),"AAA"),"ML")</f>
        <v/>
      </c>
      <c r="C31" s="242"/>
      <c r="D31" s="242" t="str">
        <f t="shared" si="3"/>
        <v>T</v>
      </c>
      <c r="E31" s="241" t="s">
        <v>87</v>
      </c>
      <c r="F31" s="241" t="s">
        <v>1017</v>
      </c>
      <c r="G31" s="241" t="s">
        <v>1018</v>
      </c>
      <c r="H31" s="241" t="s">
        <v>810</v>
      </c>
      <c r="I31" s="241" t="s">
        <v>83</v>
      </c>
      <c r="J31" s="241">
        <v>19</v>
      </c>
      <c r="K31" s="241" t="s">
        <v>83</v>
      </c>
      <c r="L31" s="298" t="s">
        <v>83</v>
      </c>
      <c r="M31" s="241" t="s">
        <v>808</v>
      </c>
      <c r="N31" s="241" t="s">
        <v>773</v>
      </c>
      <c r="O31" s="241" t="s">
        <v>200</v>
      </c>
      <c r="P31" s="298" t="s">
        <v>200</v>
      </c>
      <c r="Q31" s="241">
        <v>6</v>
      </c>
      <c r="R31" s="241">
        <v>5</v>
      </c>
      <c r="S31" s="298">
        <v>3</v>
      </c>
      <c r="T31" s="241">
        <v>7</v>
      </c>
      <c r="U31" s="241">
        <v>5</v>
      </c>
      <c r="V31" s="298">
        <v>3</v>
      </c>
      <c r="W31" s="241">
        <v>7</v>
      </c>
      <c r="X31" s="241">
        <v>8</v>
      </c>
      <c r="Y31" s="241">
        <v>2</v>
      </c>
      <c r="Z31" s="241">
        <v>3</v>
      </c>
      <c r="AA31" s="241">
        <v>3</v>
      </c>
      <c r="AB31" s="241">
        <v>4</v>
      </c>
      <c r="AC31" s="241" t="s">
        <v>32</v>
      </c>
      <c r="AD31" s="241" t="s">
        <v>32</v>
      </c>
      <c r="AE31" s="241" t="s">
        <v>32</v>
      </c>
      <c r="AF31" s="241" t="s">
        <v>32</v>
      </c>
      <c r="AG31" s="241" t="s">
        <v>32</v>
      </c>
      <c r="AH31" s="241" t="s">
        <v>32</v>
      </c>
      <c r="AI31" s="241">
        <v>6</v>
      </c>
      <c r="AJ31" s="241">
        <v>8</v>
      </c>
      <c r="AK31" s="241" t="s">
        <v>32</v>
      </c>
      <c r="AL31" s="241" t="s">
        <v>32</v>
      </c>
      <c r="AM31" s="241">
        <v>4</v>
      </c>
      <c r="AN31" s="241">
        <v>5</v>
      </c>
      <c r="AO31" s="241" t="s">
        <v>32</v>
      </c>
      <c r="AP31" s="241" t="s">
        <v>32</v>
      </c>
      <c r="AQ31" s="241" t="s">
        <v>32</v>
      </c>
      <c r="AR31" s="241" t="s">
        <v>32</v>
      </c>
      <c r="AS31" s="241" t="s">
        <v>32</v>
      </c>
      <c r="AT31" s="298" t="s">
        <v>32</v>
      </c>
      <c r="AU31" s="241" t="s">
        <v>326</v>
      </c>
      <c r="AV31" s="241">
        <v>10</v>
      </c>
      <c r="AW31" s="299" t="s">
        <v>393</v>
      </c>
      <c r="AX31" s="300" t="s">
        <v>32</v>
      </c>
      <c r="AY31" s="298" t="s">
        <v>33</v>
      </c>
      <c r="AZ31" s="240" t="s">
        <v>199</v>
      </c>
      <c r="BA31" s="301">
        <f t="shared" si="4"/>
        <v>5.666666666666667</v>
      </c>
      <c r="BB31" s="302" t="str">
        <f t="shared" si="5"/>
        <v>Reg</v>
      </c>
      <c r="BC31" s="302">
        <f t="shared" si="6"/>
        <v>6</v>
      </c>
      <c r="BD31" s="302" t="str">
        <f t="shared" si="7"/>
        <v>Reg</v>
      </c>
      <c r="BE31" s="302">
        <f t="shared" si="8"/>
        <v>6</v>
      </c>
      <c r="BF31" s="302" t="str">
        <f t="shared" si="9"/>
        <v>Reg</v>
      </c>
      <c r="BG31" s="303">
        <f t="shared" si="10"/>
        <v>5</v>
      </c>
      <c r="BH31" s="304">
        <f t="shared" si="11"/>
        <v>2</v>
      </c>
      <c r="BI31" s="241" t="str">
        <f t="shared" si="12"/>
        <v/>
      </c>
      <c r="BJ31" s="241" t="str">
        <f t="shared" si="13"/>
        <v>Possible</v>
      </c>
      <c r="BK31" s="242" t="str">
        <f t="shared" si="14"/>
        <v>AAA</v>
      </c>
      <c r="BL31" s="242">
        <f t="shared" si="15"/>
        <v>14</v>
      </c>
      <c r="BM31" s="242">
        <f t="shared" si="16"/>
        <v>15</v>
      </c>
      <c r="BN31" s="242">
        <f t="shared" si="17"/>
        <v>-1</v>
      </c>
      <c r="BO31" s="242">
        <f t="shared" si="18"/>
        <v>0</v>
      </c>
      <c r="BP31" s="242">
        <f t="shared" si="19"/>
        <v>0</v>
      </c>
      <c r="BQ31" s="242">
        <f t="shared" si="20"/>
        <v>-1</v>
      </c>
    </row>
    <row r="32" spans="1:69" s="305" customFormat="1" x14ac:dyDescent="0.25">
      <c r="A32" s="248" t="str">
        <f t="shared" si="2"/>
        <v>Edgar Calderón</v>
      </c>
      <c r="B32" s="248" t="str">
        <f>IF(ISERROR(VLOOKUP(A32,AMA!$C$53:$C$100,1,FALSE)),IF(ISERROR(VLOOKUP(A32,'END-AAA'!$C$51:$C$100,1,FALSE)),IF(ISERROR(VLOOKUP(A32,'DB-AA'!$C$51:$C$100,1,FALSE)),IF(ISERROR(VLOOKUP(A32,'UTR-A'!$C$51:$C$100,1,FALSE)),IF(ISERROR(VLOOKUP(A32,'FAI-S A'!$C$51:$C$100,1,FALSE)),"","S A"),"A"),"AA"),"AAA"),"ML")</f>
        <v/>
      </c>
      <c r="C32" s="242"/>
      <c r="D32" s="242" t="str">
        <f t="shared" si="3"/>
        <v>K</v>
      </c>
      <c r="E32" s="241" t="s">
        <v>87</v>
      </c>
      <c r="F32" s="241" t="s">
        <v>935</v>
      </c>
      <c r="G32" s="241" t="s">
        <v>936</v>
      </c>
      <c r="H32" s="241" t="s">
        <v>769</v>
      </c>
      <c r="I32" s="241" t="s">
        <v>186</v>
      </c>
      <c r="J32" s="241">
        <v>25</v>
      </c>
      <c r="K32" s="241" t="s">
        <v>83</v>
      </c>
      <c r="L32" s="298" t="s">
        <v>83</v>
      </c>
      <c r="M32" s="241" t="s">
        <v>808</v>
      </c>
      <c r="N32" s="241" t="s">
        <v>764</v>
      </c>
      <c r="O32" s="241" t="s">
        <v>200</v>
      </c>
      <c r="P32" s="298" t="s">
        <v>199</v>
      </c>
      <c r="Q32" s="241">
        <v>5</v>
      </c>
      <c r="R32" s="241">
        <v>4</v>
      </c>
      <c r="S32" s="298">
        <v>5</v>
      </c>
      <c r="T32" s="241">
        <v>5</v>
      </c>
      <c r="U32" s="241">
        <v>5</v>
      </c>
      <c r="V32" s="298">
        <v>6</v>
      </c>
      <c r="W32" s="241">
        <v>7</v>
      </c>
      <c r="X32" s="241">
        <v>7</v>
      </c>
      <c r="Y32" s="241">
        <v>7</v>
      </c>
      <c r="Z32" s="241">
        <v>7</v>
      </c>
      <c r="AA32" s="241">
        <v>3</v>
      </c>
      <c r="AB32" s="241">
        <v>3</v>
      </c>
      <c r="AC32" s="241" t="s">
        <v>32</v>
      </c>
      <c r="AD32" s="241" t="s">
        <v>32</v>
      </c>
      <c r="AE32" s="241" t="s">
        <v>32</v>
      </c>
      <c r="AF32" s="241" t="s">
        <v>32</v>
      </c>
      <c r="AG32" s="241" t="s">
        <v>32</v>
      </c>
      <c r="AH32" s="241" t="s">
        <v>32</v>
      </c>
      <c r="AI32" s="241" t="s">
        <v>32</v>
      </c>
      <c r="AJ32" s="241" t="s">
        <v>32</v>
      </c>
      <c r="AK32" s="241">
        <v>5</v>
      </c>
      <c r="AL32" s="241">
        <v>6</v>
      </c>
      <c r="AM32" s="241" t="s">
        <v>32</v>
      </c>
      <c r="AN32" s="241" t="s">
        <v>32</v>
      </c>
      <c r="AO32" s="241" t="s">
        <v>32</v>
      </c>
      <c r="AP32" s="241" t="s">
        <v>32</v>
      </c>
      <c r="AQ32" s="241" t="s">
        <v>32</v>
      </c>
      <c r="AR32" s="241" t="s">
        <v>32</v>
      </c>
      <c r="AS32" s="241" t="s">
        <v>32</v>
      </c>
      <c r="AT32" s="298" t="s">
        <v>32</v>
      </c>
      <c r="AU32" s="241" t="s">
        <v>5</v>
      </c>
      <c r="AV32" s="241">
        <v>7</v>
      </c>
      <c r="AW32" s="299" t="s">
        <v>393</v>
      </c>
      <c r="AX32" s="300">
        <v>510000</v>
      </c>
      <c r="AY32" s="298" t="s">
        <v>33</v>
      </c>
      <c r="AZ32" s="240" t="s">
        <v>779</v>
      </c>
      <c r="BA32" s="301">
        <f t="shared" si="4"/>
        <v>5.416666666666667</v>
      </c>
      <c r="BB32" s="302" t="str">
        <f t="shared" si="5"/>
        <v>Reg</v>
      </c>
      <c r="BC32" s="302">
        <f t="shared" si="6"/>
        <v>6.083333333333333</v>
      </c>
      <c r="BD32" s="302" t="str">
        <f t="shared" si="7"/>
        <v>Reg</v>
      </c>
      <c r="BE32" s="302">
        <f t="shared" si="8"/>
        <v>6.083333333333333</v>
      </c>
      <c r="BF32" s="302" t="str">
        <f t="shared" si="9"/>
        <v>Reg</v>
      </c>
      <c r="BG32" s="303">
        <f t="shared" si="10"/>
        <v>4</v>
      </c>
      <c r="BH32" s="304">
        <f t="shared" si="11"/>
        <v>2.5</v>
      </c>
      <c r="BI32" s="241" t="str">
        <f t="shared" si="12"/>
        <v/>
      </c>
      <c r="BJ32" s="241" t="str">
        <f t="shared" si="13"/>
        <v>Possible</v>
      </c>
      <c r="BK32" s="242" t="str">
        <f t="shared" si="14"/>
        <v>AAA</v>
      </c>
      <c r="BL32" s="242">
        <f t="shared" si="15"/>
        <v>14</v>
      </c>
      <c r="BM32" s="242">
        <f t="shared" si="16"/>
        <v>16</v>
      </c>
      <c r="BN32" s="242">
        <f t="shared" si="17"/>
        <v>0</v>
      </c>
      <c r="BO32" s="242">
        <f t="shared" si="18"/>
        <v>-1</v>
      </c>
      <c r="BP32" s="242">
        <f t="shared" si="19"/>
        <v>-1</v>
      </c>
      <c r="BQ32" s="242">
        <f t="shared" si="20"/>
        <v>-2</v>
      </c>
    </row>
    <row r="33" spans="1:69" s="305" customFormat="1" x14ac:dyDescent="0.25">
      <c r="A33" s="248" t="str">
        <f t="shared" si="2"/>
        <v>Anthony Green</v>
      </c>
      <c r="B33" s="248" t="str">
        <f>IF(ISERROR(VLOOKUP(A33,AMA!$C$53:$C$100,1,FALSE)),IF(ISERROR(VLOOKUP(A33,'END-AAA'!$C$51:$C$100,1,FALSE)),IF(ISERROR(VLOOKUP(A33,'DB-AA'!$C$51:$C$100,1,FALSE)),IF(ISERROR(VLOOKUP(A33,'UTR-A'!$C$51:$C$100,1,FALSE)),IF(ISERROR(VLOOKUP(A33,'FAI-S A'!$C$51:$C$100,1,FALSE)),"","S A"),"A"),"AA"),"AAA"),"ML")</f>
        <v/>
      </c>
      <c r="C33" s="242"/>
      <c r="D33" s="242" t="str">
        <f t="shared" si="3"/>
        <v>T</v>
      </c>
      <c r="E33" s="241" t="s">
        <v>87</v>
      </c>
      <c r="F33" s="241" t="s">
        <v>530</v>
      </c>
      <c r="G33" s="241" t="s">
        <v>472</v>
      </c>
      <c r="H33" s="241" t="s">
        <v>769</v>
      </c>
      <c r="I33" s="241" t="s">
        <v>186</v>
      </c>
      <c r="J33" s="241">
        <v>28</v>
      </c>
      <c r="K33" s="241" t="s">
        <v>83</v>
      </c>
      <c r="L33" s="298" t="s">
        <v>83</v>
      </c>
      <c r="M33" s="241" t="s">
        <v>808</v>
      </c>
      <c r="N33" s="241" t="s">
        <v>808</v>
      </c>
      <c r="O33" s="241" t="s">
        <v>200</v>
      </c>
      <c r="P33" s="298" t="s">
        <v>200</v>
      </c>
      <c r="Q33" s="241">
        <v>4</v>
      </c>
      <c r="R33" s="241">
        <v>3</v>
      </c>
      <c r="S33" s="298">
        <v>7</v>
      </c>
      <c r="T33" s="241">
        <v>4</v>
      </c>
      <c r="U33" s="241">
        <v>4</v>
      </c>
      <c r="V33" s="298">
        <v>8</v>
      </c>
      <c r="W33" s="241">
        <v>6</v>
      </c>
      <c r="X33" s="241">
        <v>6</v>
      </c>
      <c r="Y33" s="241">
        <v>1</v>
      </c>
      <c r="Z33" s="241">
        <v>1</v>
      </c>
      <c r="AA33" s="241" t="s">
        <v>32</v>
      </c>
      <c r="AB33" s="241" t="s">
        <v>32</v>
      </c>
      <c r="AC33" s="241">
        <v>4</v>
      </c>
      <c r="AD33" s="241">
        <v>4</v>
      </c>
      <c r="AE33" s="241" t="s">
        <v>32</v>
      </c>
      <c r="AF33" s="241" t="s">
        <v>32</v>
      </c>
      <c r="AG33" s="241" t="s">
        <v>32</v>
      </c>
      <c r="AH33" s="241" t="s">
        <v>32</v>
      </c>
      <c r="AI33" s="241" t="s">
        <v>32</v>
      </c>
      <c r="AJ33" s="241" t="s">
        <v>32</v>
      </c>
      <c r="AK33" s="241">
        <v>5</v>
      </c>
      <c r="AL33" s="241">
        <v>5</v>
      </c>
      <c r="AM33" s="241" t="s">
        <v>32</v>
      </c>
      <c r="AN33" s="241" t="s">
        <v>32</v>
      </c>
      <c r="AO33" s="241" t="s">
        <v>32</v>
      </c>
      <c r="AP33" s="241" t="s">
        <v>32</v>
      </c>
      <c r="AQ33" s="241" t="s">
        <v>32</v>
      </c>
      <c r="AR33" s="241" t="s">
        <v>32</v>
      </c>
      <c r="AS33" s="241" t="s">
        <v>32</v>
      </c>
      <c r="AT33" s="298" t="s">
        <v>32</v>
      </c>
      <c r="AU33" s="241" t="s">
        <v>397</v>
      </c>
      <c r="AV33" s="241">
        <v>4</v>
      </c>
      <c r="AW33" s="299" t="s">
        <v>393</v>
      </c>
      <c r="AX33" s="300">
        <v>510000</v>
      </c>
      <c r="AY33" s="298" t="s">
        <v>33</v>
      </c>
      <c r="AZ33" s="240" t="s">
        <v>779</v>
      </c>
      <c r="BA33" s="301">
        <f t="shared" si="4"/>
        <v>5.416666666666667</v>
      </c>
      <c r="BB33" s="302" t="str">
        <f t="shared" si="5"/>
        <v>Reg</v>
      </c>
      <c r="BC33" s="302">
        <f t="shared" si="6"/>
        <v>6.083333333333333</v>
      </c>
      <c r="BD33" s="302" t="str">
        <f t="shared" si="7"/>
        <v>Reg</v>
      </c>
      <c r="BE33" s="302">
        <f t="shared" si="8"/>
        <v>6.083333333333333</v>
      </c>
      <c r="BF33" s="302" t="str">
        <f t="shared" si="9"/>
        <v>Reg</v>
      </c>
      <c r="BG33" s="303">
        <f t="shared" si="10"/>
        <v>4</v>
      </c>
      <c r="BH33" s="304">
        <f t="shared" si="11"/>
        <v>1</v>
      </c>
      <c r="BI33" s="241" t="str">
        <f t="shared" si="12"/>
        <v/>
      </c>
      <c r="BJ33" s="241" t="str">
        <f t="shared" si="13"/>
        <v>Possible</v>
      </c>
      <c r="BK33" s="242" t="str">
        <f t="shared" si="14"/>
        <v>AAA</v>
      </c>
      <c r="BL33" s="242">
        <f t="shared" si="15"/>
        <v>14</v>
      </c>
      <c r="BM33" s="242">
        <f t="shared" si="16"/>
        <v>16</v>
      </c>
      <c r="BN33" s="242">
        <f t="shared" si="17"/>
        <v>0</v>
      </c>
      <c r="BO33" s="242">
        <f t="shared" si="18"/>
        <v>-1</v>
      </c>
      <c r="BP33" s="242">
        <f t="shared" si="19"/>
        <v>-1</v>
      </c>
      <c r="BQ33" s="242">
        <f t="shared" si="20"/>
        <v>-2</v>
      </c>
    </row>
    <row r="34" spans="1:69" s="305" customFormat="1" x14ac:dyDescent="0.25">
      <c r="A34" s="248" t="str">
        <f t="shared" si="2"/>
        <v>George Hann</v>
      </c>
      <c r="B34" s="248" t="str">
        <f>IF(ISERROR(VLOOKUP(A34,AMA!$C$53:$C$100,1,FALSE)),IF(ISERROR(VLOOKUP(A34,'END-AAA'!$C$51:$C$100,1,FALSE)),IF(ISERROR(VLOOKUP(A34,'DB-AA'!$C$51:$C$100,1,FALSE)),IF(ISERROR(VLOOKUP(A34,'UTR-A'!$C$51:$C$100,1,FALSE)),IF(ISERROR(VLOOKUP(A34,'FAI-S A'!$C$51:$C$100,1,FALSE)),"","S A"),"A"),"AA"),"AAA"),"ML")</f>
        <v/>
      </c>
      <c r="C34" s="242"/>
      <c r="D34" s="242" t="str">
        <f t="shared" si="3"/>
        <v>T</v>
      </c>
      <c r="E34" s="241" t="s">
        <v>87</v>
      </c>
      <c r="F34" s="241" t="s">
        <v>411</v>
      </c>
      <c r="G34" s="241" t="s">
        <v>942</v>
      </c>
      <c r="H34" s="241" t="s">
        <v>783</v>
      </c>
      <c r="I34" s="241" t="s">
        <v>185</v>
      </c>
      <c r="J34" s="241">
        <v>26</v>
      </c>
      <c r="K34" s="241" t="s">
        <v>85</v>
      </c>
      <c r="L34" s="298" t="s">
        <v>83</v>
      </c>
      <c r="M34" s="241" t="s">
        <v>773</v>
      </c>
      <c r="N34" s="241" t="s">
        <v>773</v>
      </c>
      <c r="O34" s="241" t="s">
        <v>200</v>
      </c>
      <c r="P34" s="298" t="s">
        <v>200</v>
      </c>
      <c r="Q34" s="241">
        <v>6</v>
      </c>
      <c r="R34" s="241">
        <v>4</v>
      </c>
      <c r="S34" s="298">
        <v>3</v>
      </c>
      <c r="T34" s="241">
        <v>6</v>
      </c>
      <c r="U34" s="241">
        <v>5</v>
      </c>
      <c r="V34" s="298">
        <v>3</v>
      </c>
      <c r="W34" s="241">
        <v>7</v>
      </c>
      <c r="X34" s="241">
        <v>7</v>
      </c>
      <c r="Y34" s="241">
        <v>1</v>
      </c>
      <c r="Z34" s="241">
        <v>3</v>
      </c>
      <c r="AA34" s="241" t="s">
        <v>32</v>
      </c>
      <c r="AB34" s="241" t="s">
        <v>32</v>
      </c>
      <c r="AC34" s="241">
        <v>7</v>
      </c>
      <c r="AD34" s="241">
        <v>7</v>
      </c>
      <c r="AE34" s="241" t="s">
        <v>32</v>
      </c>
      <c r="AF34" s="241" t="s">
        <v>32</v>
      </c>
      <c r="AG34" s="241" t="s">
        <v>32</v>
      </c>
      <c r="AH34" s="241" t="s">
        <v>32</v>
      </c>
      <c r="AI34" s="241">
        <v>7</v>
      </c>
      <c r="AJ34" s="241">
        <v>7</v>
      </c>
      <c r="AK34" s="241">
        <v>6</v>
      </c>
      <c r="AL34" s="241">
        <v>7</v>
      </c>
      <c r="AM34" s="241" t="s">
        <v>32</v>
      </c>
      <c r="AN34" s="241" t="s">
        <v>32</v>
      </c>
      <c r="AO34" s="241" t="s">
        <v>32</v>
      </c>
      <c r="AP34" s="241" t="s">
        <v>32</v>
      </c>
      <c r="AQ34" s="241" t="s">
        <v>32</v>
      </c>
      <c r="AR34" s="241" t="s">
        <v>32</v>
      </c>
      <c r="AS34" s="241" t="s">
        <v>32</v>
      </c>
      <c r="AT34" s="298" t="s">
        <v>32</v>
      </c>
      <c r="AU34" s="241" t="s">
        <v>8</v>
      </c>
      <c r="AV34" s="241">
        <v>8</v>
      </c>
      <c r="AW34" s="299" t="s">
        <v>393</v>
      </c>
      <c r="AX34" s="300" t="s">
        <v>32</v>
      </c>
      <c r="AY34" s="298" t="s">
        <v>33</v>
      </c>
      <c r="AZ34" s="240" t="s">
        <v>779</v>
      </c>
      <c r="BA34" s="301">
        <f t="shared" si="4"/>
        <v>5.333333333333333</v>
      </c>
      <c r="BB34" s="302" t="str">
        <f t="shared" si="5"/>
        <v>Reg</v>
      </c>
      <c r="BC34" s="302">
        <f t="shared" si="6"/>
        <v>5.666666666666667</v>
      </c>
      <c r="BD34" s="302" t="str">
        <f t="shared" si="7"/>
        <v>Reg</v>
      </c>
      <c r="BE34" s="302">
        <f t="shared" si="8"/>
        <v>5.666666666666667</v>
      </c>
      <c r="BF34" s="302" t="str">
        <f t="shared" si="9"/>
        <v>Reg</v>
      </c>
      <c r="BG34" s="303">
        <f t="shared" si="10"/>
        <v>5</v>
      </c>
      <c r="BH34" s="304">
        <f t="shared" si="11"/>
        <v>4</v>
      </c>
      <c r="BI34" s="241" t="str">
        <f t="shared" si="12"/>
        <v/>
      </c>
      <c r="BJ34" s="241" t="str">
        <f t="shared" si="13"/>
        <v>Possible</v>
      </c>
      <c r="BK34" s="242" t="str">
        <f t="shared" si="14"/>
        <v>AA</v>
      </c>
      <c r="BL34" s="242">
        <f t="shared" si="15"/>
        <v>13</v>
      </c>
      <c r="BM34" s="242">
        <f t="shared" si="16"/>
        <v>14</v>
      </c>
      <c r="BN34" s="242">
        <f t="shared" si="17"/>
        <v>0</v>
      </c>
      <c r="BO34" s="242">
        <f t="shared" si="18"/>
        <v>-1</v>
      </c>
      <c r="BP34" s="242">
        <f t="shared" si="19"/>
        <v>0</v>
      </c>
      <c r="BQ34" s="242">
        <f t="shared" si="20"/>
        <v>-1</v>
      </c>
    </row>
    <row r="35" spans="1:69" s="305" customFormat="1" x14ac:dyDescent="0.25">
      <c r="A35" s="248" t="str">
        <f t="shared" si="2"/>
        <v>Nelson Morales</v>
      </c>
      <c r="B35" s="248" t="str">
        <f>IF(ISERROR(VLOOKUP(A35,AMA!$C$53:$C$100,1,FALSE)),IF(ISERROR(VLOOKUP(A35,'END-AAA'!$C$51:$C$100,1,FALSE)),IF(ISERROR(VLOOKUP(A35,'DB-AA'!$C$51:$C$100,1,FALSE)),IF(ISERROR(VLOOKUP(A35,'UTR-A'!$C$51:$C$100,1,FALSE)),IF(ISERROR(VLOOKUP(A35,'FAI-S A'!$C$51:$C$100,1,FALSE)),"","S A"),"A"),"AA"),"AAA"),"ML")</f>
        <v/>
      </c>
      <c r="C35" s="242"/>
      <c r="D35" s="242" t="str">
        <f t="shared" si="3"/>
        <v>T</v>
      </c>
      <c r="E35" s="241" t="s">
        <v>11</v>
      </c>
      <c r="F35" s="241" t="s">
        <v>461</v>
      </c>
      <c r="G35" s="241" t="s">
        <v>855</v>
      </c>
      <c r="H35" s="241" t="s">
        <v>783</v>
      </c>
      <c r="I35" s="241" t="s">
        <v>185</v>
      </c>
      <c r="J35" s="241">
        <v>30</v>
      </c>
      <c r="K35" s="241" t="s">
        <v>82</v>
      </c>
      <c r="L35" s="298" t="s">
        <v>82</v>
      </c>
      <c r="M35" s="241" t="s">
        <v>808</v>
      </c>
      <c r="N35" s="241" t="s">
        <v>808</v>
      </c>
      <c r="O35" s="241" t="s">
        <v>201</v>
      </c>
      <c r="P35" s="298" t="s">
        <v>200</v>
      </c>
      <c r="Q35" s="241">
        <v>4</v>
      </c>
      <c r="R35" s="241">
        <v>2</v>
      </c>
      <c r="S35" s="298">
        <v>7</v>
      </c>
      <c r="T35" s="241">
        <v>4</v>
      </c>
      <c r="U35" s="241">
        <v>2</v>
      </c>
      <c r="V35" s="298">
        <v>7</v>
      </c>
      <c r="W35" s="241">
        <v>6</v>
      </c>
      <c r="X35" s="241">
        <v>6</v>
      </c>
      <c r="Y35" s="241" t="s">
        <v>32</v>
      </c>
      <c r="Z35" s="241" t="s">
        <v>32</v>
      </c>
      <c r="AA35" s="241">
        <v>2</v>
      </c>
      <c r="AB35" s="241">
        <v>2</v>
      </c>
      <c r="AC35" s="241">
        <v>4</v>
      </c>
      <c r="AD35" s="241">
        <v>4</v>
      </c>
      <c r="AE35" s="241" t="s">
        <v>32</v>
      </c>
      <c r="AF35" s="241" t="s">
        <v>32</v>
      </c>
      <c r="AG35" s="241">
        <v>5</v>
      </c>
      <c r="AH35" s="241">
        <v>5</v>
      </c>
      <c r="AI35" s="241" t="s">
        <v>32</v>
      </c>
      <c r="AJ35" s="241" t="s">
        <v>32</v>
      </c>
      <c r="AK35" s="241" t="s">
        <v>32</v>
      </c>
      <c r="AL35" s="241" t="s">
        <v>32</v>
      </c>
      <c r="AM35" s="241" t="s">
        <v>32</v>
      </c>
      <c r="AN35" s="241" t="s">
        <v>32</v>
      </c>
      <c r="AO35" s="241" t="s">
        <v>32</v>
      </c>
      <c r="AP35" s="241" t="s">
        <v>32</v>
      </c>
      <c r="AQ35" s="241">
        <v>3</v>
      </c>
      <c r="AR35" s="241">
        <v>3</v>
      </c>
      <c r="AS35" s="241" t="s">
        <v>32</v>
      </c>
      <c r="AT35" s="298" t="s">
        <v>32</v>
      </c>
      <c r="AU35" s="241" t="s">
        <v>209</v>
      </c>
      <c r="AV35" s="241">
        <v>8</v>
      </c>
      <c r="AW35" s="299" t="s">
        <v>393</v>
      </c>
      <c r="AX35" s="300" t="s">
        <v>32</v>
      </c>
      <c r="AY35" s="298" t="s">
        <v>33</v>
      </c>
      <c r="AZ35" s="240" t="s">
        <v>199</v>
      </c>
      <c r="BA35" s="301">
        <f t="shared" si="4"/>
        <v>5.333333333333333</v>
      </c>
      <c r="BB35" s="302" t="str">
        <f t="shared" si="5"/>
        <v>Reg</v>
      </c>
      <c r="BC35" s="302">
        <f t="shared" si="6"/>
        <v>5.333333333333333</v>
      </c>
      <c r="BD35" s="302" t="str">
        <f t="shared" si="7"/>
        <v>Reg</v>
      </c>
      <c r="BE35" s="302">
        <f t="shared" si="8"/>
        <v>5.333333333333333</v>
      </c>
      <c r="BF35" s="302" t="str">
        <f t="shared" si="9"/>
        <v>Reg</v>
      </c>
      <c r="BG35" s="303">
        <f t="shared" si="10"/>
        <v>5</v>
      </c>
      <c r="BH35" s="304">
        <f t="shared" si="11"/>
        <v>1</v>
      </c>
      <c r="BI35" s="241" t="str">
        <f t="shared" si="12"/>
        <v/>
      </c>
      <c r="BJ35" s="241" t="str">
        <f t="shared" si="13"/>
        <v>Possible</v>
      </c>
      <c r="BK35" s="242" t="str">
        <f t="shared" si="14"/>
        <v>AA</v>
      </c>
      <c r="BL35" s="242">
        <f t="shared" si="15"/>
        <v>13</v>
      </c>
      <c r="BM35" s="242">
        <f t="shared" si="16"/>
        <v>13</v>
      </c>
      <c r="BN35" s="242">
        <f t="shared" si="17"/>
        <v>0</v>
      </c>
      <c r="BO35" s="242">
        <f t="shared" si="18"/>
        <v>0</v>
      </c>
      <c r="BP35" s="242">
        <f t="shared" si="19"/>
        <v>0</v>
      </c>
      <c r="BQ35" s="242">
        <f t="shared" si="20"/>
        <v>0</v>
      </c>
    </row>
    <row r="36" spans="1:69" s="305" customFormat="1" x14ac:dyDescent="0.25">
      <c r="A36" s="248" t="str">
        <f t="shared" si="2"/>
        <v>Carlos Gallegos</v>
      </c>
      <c r="B36" s="248" t="str">
        <f>IF(ISERROR(VLOOKUP(A36,AMA!$C$53:$C$100,1,FALSE)),IF(ISERROR(VLOOKUP(A36,'END-AAA'!$C$51:$C$100,1,FALSE)),IF(ISERROR(VLOOKUP(A36,'DB-AA'!$C$51:$C$100,1,FALSE)),IF(ISERROR(VLOOKUP(A36,'UTR-A'!$C$51:$C$100,1,FALSE)),IF(ISERROR(VLOOKUP(A36,'FAI-S A'!$C$51:$C$100,1,FALSE)),"","S A"),"A"),"AA"),"AAA"),"ML")</f>
        <v/>
      </c>
      <c r="C36" s="242"/>
      <c r="D36" s="242" t="str">
        <f t="shared" si="3"/>
        <v>K</v>
      </c>
      <c r="E36" s="241" t="s">
        <v>87</v>
      </c>
      <c r="F36" s="241" t="s">
        <v>421</v>
      </c>
      <c r="G36" s="241" t="s">
        <v>815</v>
      </c>
      <c r="H36" s="241" t="s">
        <v>802</v>
      </c>
      <c r="I36" s="241" t="s">
        <v>277</v>
      </c>
      <c r="J36" s="241">
        <v>21</v>
      </c>
      <c r="K36" s="241" t="s">
        <v>82</v>
      </c>
      <c r="L36" s="298" t="s">
        <v>83</v>
      </c>
      <c r="M36" s="241" t="s">
        <v>808</v>
      </c>
      <c r="N36" s="241" t="s">
        <v>764</v>
      </c>
      <c r="O36" s="241" t="s">
        <v>200</v>
      </c>
      <c r="P36" s="298" t="s">
        <v>199</v>
      </c>
      <c r="Q36" s="241">
        <v>5</v>
      </c>
      <c r="R36" s="241">
        <v>6</v>
      </c>
      <c r="S36" s="298">
        <v>3</v>
      </c>
      <c r="T36" s="241">
        <v>6</v>
      </c>
      <c r="U36" s="241">
        <v>6</v>
      </c>
      <c r="V36" s="298">
        <v>5</v>
      </c>
      <c r="W36" s="241">
        <v>8</v>
      </c>
      <c r="X36" s="241">
        <v>8</v>
      </c>
      <c r="Y36" s="241">
        <v>4</v>
      </c>
      <c r="Z36" s="241">
        <v>7</v>
      </c>
      <c r="AA36" s="241">
        <v>7</v>
      </c>
      <c r="AB36" s="241">
        <v>7</v>
      </c>
      <c r="AC36" s="241" t="s">
        <v>32</v>
      </c>
      <c r="AD36" s="241" t="s">
        <v>32</v>
      </c>
      <c r="AE36" s="241" t="s">
        <v>32</v>
      </c>
      <c r="AF36" s="241" t="s">
        <v>32</v>
      </c>
      <c r="AG36" s="241" t="s">
        <v>32</v>
      </c>
      <c r="AH36" s="241" t="s">
        <v>32</v>
      </c>
      <c r="AI36" s="241" t="s">
        <v>32</v>
      </c>
      <c r="AJ36" s="241" t="s">
        <v>32</v>
      </c>
      <c r="AK36" s="241" t="s">
        <v>32</v>
      </c>
      <c r="AL36" s="241" t="s">
        <v>32</v>
      </c>
      <c r="AM36" s="241" t="s">
        <v>32</v>
      </c>
      <c r="AN36" s="241" t="s">
        <v>32</v>
      </c>
      <c r="AO36" s="241" t="s">
        <v>32</v>
      </c>
      <c r="AP36" s="241" t="s">
        <v>32</v>
      </c>
      <c r="AQ36" s="241" t="s">
        <v>32</v>
      </c>
      <c r="AR36" s="241" t="s">
        <v>32</v>
      </c>
      <c r="AS36" s="241" t="s">
        <v>32</v>
      </c>
      <c r="AT36" s="298" t="s">
        <v>32</v>
      </c>
      <c r="AU36" s="241" t="s">
        <v>6</v>
      </c>
      <c r="AV36" s="241">
        <v>7</v>
      </c>
      <c r="AW36" s="299" t="s">
        <v>394</v>
      </c>
      <c r="AX36" s="300" t="s">
        <v>32</v>
      </c>
      <c r="AY36" s="298" t="s">
        <v>33</v>
      </c>
      <c r="AZ36" s="240" t="s">
        <v>779</v>
      </c>
      <c r="BA36" s="301">
        <f t="shared" si="4"/>
        <v>5.166666666666667</v>
      </c>
      <c r="BB36" s="302" t="str">
        <f t="shared" si="5"/>
        <v>Reg</v>
      </c>
      <c r="BC36" s="302">
        <f t="shared" si="6"/>
        <v>6.166666666666667</v>
      </c>
      <c r="BD36" s="302" t="str">
        <f t="shared" si="7"/>
        <v>Reg</v>
      </c>
      <c r="BE36" s="302">
        <f t="shared" si="8"/>
        <v>6.166666666666667</v>
      </c>
      <c r="BF36" s="302" t="str">
        <f t="shared" si="9"/>
        <v>Reg</v>
      </c>
      <c r="BG36" s="303">
        <f t="shared" si="10"/>
        <v>3</v>
      </c>
      <c r="BH36" s="304">
        <f t="shared" si="11"/>
        <v>2.5</v>
      </c>
      <c r="BI36" s="241" t="str">
        <f t="shared" si="12"/>
        <v/>
      </c>
      <c r="BJ36" s="241" t="str">
        <f t="shared" si="13"/>
        <v>Possible</v>
      </c>
      <c r="BK36" s="242" t="str">
        <f t="shared" si="14"/>
        <v>AAA</v>
      </c>
      <c r="BL36" s="242">
        <f t="shared" si="15"/>
        <v>14</v>
      </c>
      <c r="BM36" s="242">
        <f t="shared" si="16"/>
        <v>17</v>
      </c>
      <c r="BN36" s="242">
        <f t="shared" si="17"/>
        <v>-1</v>
      </c>
      <c r="BO36" s="242">
        <f t="shared" si="18"/>
        <v>0</v>
      </c>
      <c r="BP36" s="242">
        <f t="shared" si="19"/>
        <v>-2</v>
      </c>
      <c r="BQ36" s="242">
        <f t="shared" si="20"/>
        <v>-3</v>
      </c>
    </row>
    <row r="37" spans="1:69" s="305" customFormat="1" x14ac:dyDescent="0.25">
      <c r="A37" s="248" t="str">
        <f t="shared" si="2"/>
        <v>Nobuhiko Endo</v>
      </c>
      <c r="B37" s="248" t="str">
        <f>IF(ISERROR(VLOOKUP(A37,AMA!$C$53:$C$100,1,FALSE)),IF(ISERROR(VLOOKUP(A37,'END-AAA'!$C$51:$C$100,1,FALSE)),IF(ISERROR(VLOOKUP(A37,'DB-AA'!$C$51:$C$100,1,FALSE)),IF(ISERROR(VLOOKUP(A37,'UTR-A'!$C$51:$C$100,1,FALSE)),IF(ISERROR(VLOOKUP(A37,'FAI-S A'!$C$51:$C$100,1,FALSE)),"","S A"),"A"),"AA"),"AAA"),"ML")</f>
        <v/>
      </c>
      <c r="C37" s="242"/>
      <c r="D37" s="242" t="str">
        <f t="shared" si="3"/>
        <v>K</v>
      </c>
      <c r="E37" s="241" t="s">
        <v>87</v>
      </c>
      <c r="F37" s="241" t="s">
        <v>1149</v>
      </c>
      <c r="G37" s="241" t="s">
        <v>1150</v>
      </c>
      <c r="H37" s="241" t="s">
        <v>769</v>
      </c>
      <c r="I37" s="241" t="s">
        <v>186</v>
      </c>
      <c r="J37" s="241">
        <v>24</v>
      </c>
      <c r="K37" s="241" t="s">
        <v>82</v>
      </c>
      <c r="L37" s="298" t="s">
        <v>82</v>
      </c>
      <c r="M37" s="241" t="s">
        <v>808</v>
      </c>
      <c r="N37" s="241" t="s">
        <v>808</v>
      </c>
      <c r="O37" s="241" t="s">
        <v>199</v>
      </c>
      <c r="P37" s="298" t="s">
        <v>200</v>
      </c>
      <c r="Q37" s="241">
        <v>3</v>
      </c>
      <c r="R37" s="241">
        <v>3</v>
      </c>
      <c r="S37" s="298">
        <v>8</v>
      </c>
      <c r="T37" s="241">
        <v>3</v>
      </c>
      <c r="U37" s="241">
        <v>4</v>
      </c>
      <c r="V37" s="298">
        <v>9</v>
      </c>
      <c r="W37" s="241">
        <v>7</v>
      </c>
      <c r="X37" s="241">
        <v>7</v>
      </c>
      <c r="Y37" s="241">
        <v>2</v>
      </c>
      <c r="Z37" s="241">
        <v>2</v>
      </c>
      <c r="AA37" s="241" t="s">
        <v>32</v>
      </c>
      <c r="AB37" s="241" t="s">
        <v>32</v>
      </c>
      <c r="AC37" s="241">
        <v>4</v>
      </c>
      <c r="AD37" s="241">
        <v>4</v>
      </c>
      <c r="AE37" s="241" t="s">
        <v>32</v>
      </c>
      <c r="AF37" s="241" t="s">
        <v>32</v>
      </c>
      <c r="AG37" s="241" t="s">
        <v>32</v>
      </c>
      <c r="AH37" s="241" t="s">
        <v>32</v>
      </c>
      <c r="AI37" s="241" t="s">
        <v>32</v>
      </c>
      <c r="AJ37" s="241" t="s">
        <v>32</v>
      </c>
      <c r="AK37" s="241" t="s">
        <v>32</v>
      </c>
      <c r="AL37" s="241" t="s">
        <v>32</v>
      </c>
      <c r="AM37" s="241" t="s">
        <v>32</v>
      </c>
      <c r="AN37" s="241" t="s">
        <v>32</v>
      </c>
      <c r="AO37" s="241" t="s">
        <v>32</v>
      </c>
      <c r="AP37" s="241" t="s">
        <v>32</v>
      </c>
      <c r="AQ37" s="241" t="s">
        <v>32</v>
      </c>
      <c r="AR37" s="241" t="s">
        <v>32</v>
      </c>
      <c r="AS37" s="241" t="s">
        <v>32</v>
      </c>
      <c r="AT37" s="298" t="s">
        <v>32</v>
      </c>
      <c r="AU37" s="241" t="s">
        <v>4</v>
      </c>
      <c r="AV37" s="241">
        <v>9</v>
      </c>
      <c r="AW37" s="299" t="s">
        <v>40</v>
      </c>
      <c r="AX37" s="300" t="s">
        <v>32</v>
      </c>
      <c r="AY37" s="298" t="s">
        <v>33</v>
      </c>
      <c r="AZ37" s="240" t="s">
        <v>199</v>
      </c>
      <c r="BA37" s="301">
        <f t="shared" si="4"/>
        <v>5.166666666666667</v>
      </c>
      <c r="BB37" s="302" t="str">
        <f t="shared" si="5"/>
        <v>Reg</v>
      </c>
      <c r="BC37" s="302">
        <f t="shared" si="6"/>
        <v>5.833333333333333</v>
      </c>
      <c r="BD37" s="302" t="str">
        <f t="shared" si="7"/>
        <v>Reg</v>
      </c>
      <c r="BE37" s="302">
        <f t="shared" si="8"/>
        <v>5.833333333333333</v>
      </c>
      <c r="BF37" s="302" t="str">
        <f t="shared" si="9"/>
        <v>Reg</v>
      </c>
      <c r="BG37" s="303">
        <f t="shared" si="10"/>
        <v>3</v>
      </c>
      <c r="BH37" s="304">
        <f t="shared" si="11"/>
        <v>1</v>
      </c>
      <c r="BI37" s="241" t="str">
        <f t="shared" si="12"/>
        <v/>
      </c>
      <c r="BJ37" s="241" t="str">
        <f t="shared" si="13"/>
        <v>Possible</v>
      </c>
      <c r="BK37" s="242" t="str">
        <f t="shared" si="14"/>
        <v>AAA</v>
      </c>
      <c r="BL37" s="242">
        <f t="shared" si="15"/>
        <v>14</v>
      </c>
      <c r="BM37" s="242">
        <f t="shared" si="16"/>
        <v>16</v>
      </c>
      <c r="BN37" s="242">
        <f t="shared" si="17"/>
        <v>0</v>
      </c>
      <c r="BO37" s="242">
        <f t="shared" si="18"/>
        <v>-1</v>
      </c>
      <c r="BP37" s="242">
        <f t="shared" si="19"/>
        <v>-1</v>
      </c>
      <c r="BQ37" s="242">
        <f t="shared" si="20"/>
        <v>-2</v>
      </c>
    </row>
    <row r="38" spans="1:69" s="305" customFormat="1" x14ac:dyDescent="0.25">
      <c r="A38" s="248" t="str">
        <f t="shared" si="2"/>
        <v>Carlos Muñíz</v>
      </c>
      <c r="B38" s="248" t="str">
        <f>IF(ISERROR(VLOOKUP(A38,AMA!$C$53:$C$100,1,FALSE)),IF(ISERROR(VLOOKUP(A38,'END-AAA'!$C$51:$C$100,1,FALSE)),IF(ISERROR(VLOOKUP(A38,'DB-AA'!$C$51:$C$100,1,FALSE)),IF(ISERROR(VLOOKUP(A38,'UTR-A'!$C$51:$C$100,1,FALSE)),IF(ISERROR(VLOOKUP(A38,'FAI-S A'!$C$51:$C$100,1,FALSE)),"","S A"),"A"),"AA"),"AAA"),"ML")</f>
        <v/>
      </c>
      <c r="C38" s="242"/>
      <c r="D38" s="242" t="str">
        <f t="shared" si="3"/>
        <v>T</v>
      </c>
      <c r="E38" s="241" t="s">
        <v>11</v>
      </c>
      <c r="F38" s="241" t="s">
        <v>421</v>
      </c>
      <c r="G38" s="241" t="s">
        <v>462</v>
      </c>
      <c r="H38" s="241" t="s">
        <v>763</v>
      </c>
      <c r="I38" s="241" t="s">
        <v>402</v>
      </c>
      <c r="J38" s="241">
        <v>24</v>
      </c>
      <c r="K38" s="241" t="s">
        <v>83</v>
      </c>
      <c r="L38" s="298" t="s">
        <v>82</v>
      </c>
      <c r="M38" s="241" t="s">
        <v>808</v>
      </c>
      <c r="N38" s="241" t="s">
        <v>773</v>
      </c>
      <c r="O38" s="241" t="s">
        <v>200</v>
      </c>
      <c r="P38" s="298" t="s">
        <v>200</v>
      </c>
      <c r="Q38" s="241">
        <v>8</v>
      </c>
      <c r="R38" s="241">
        <v>3</v>
      </c>
      <c r="S38" s="298">
        <v>3</v>
      </c>
      <c r="T38" s="241">
        <v>8</v>
      </c>
      <c r="U38" s="241">
        <v>4</v>
      </c>
      <c r="V38" s="298">
        <v>3</v>
      </c>
      <c r="W38" s="241">
        <v>9</v>
      </c>
      <c r="X38" s="241">
        <v>10</v>
      </c>
      <c r="Y38" s="241">
        <v>2</v>
      </c>
      <c r="Z38" s="241">
        <v>2</v>
      </c>
      <c r="AA38" s="241">
        <v>8</v>
      </c>
      <c r="AB38" s="241">
        <v>8</v>
      </c>
      <c r="AC38" s="241" t="s">
        <v>32</v>
      </c>
      <c r="AD38" s="241" t="s">
        <v>32</v>
      </c>
      <c r="AE38" s="241" t="s">
        <v>32</v>
      </c>
      <c r="AF38" s="241" t="s">
        <v>32</v>
      </c>
      <c r="AG38" s="241" t="s">
        <v>32</v>
      </c>
      <c r="AH38" s="241" t="s">
        <v>32</v>
      </c>
      <c r="AI38" s="241" t="s">
        <v>32</v>
      </c>
      <c r="AJ38" s="241" t="s">
        <v>32</v>
      </c>
      <c r="AK38" s="241" t="s">
        <v>32</v>
      </c>
      <c r="AL38" s="241" t="s">
        <v>32</v>
      </c>
      <c r="AM38" s="241" t="s">
        <v>32</v>
      </c>
      <c r="AN38" s="241" t="s">
        <v>32</v>
      </c>
      <c r="AO38" s="241" t="s">
        <v>32</v>
      </c>
      <c r="AP38" s="241" t="s">
        <v>32</v>
      </c>
      <c r="AQ38" s="241" t="s">
        <v>32</v>
      </c>
      <c r="AR38" s="241" t="s">
        <v>32</v>
      </c>
      <c r="AS38" s="241" t="s">
        <v>32</v>
      </c>
      <c r="AT38" s="298" t="s">
        <v>32</v>
      </c>
      <c r="AU38" s="241" t="s">
        <v>209</v>
      </c>
      <c r="AV38" s="241">
        <v>6</v>
      </c>
      <c r="AW38" s="299" t="s">
        <v>393</v>
      </c>
      <c r="AX38" s="300">
        <v>560000</v>
      </c>
      <c r="AY38" s="298" t="s">
        <v>33</v>
      </c>
      <c r="AZ38" s="240" t="s">
        <v>199</v>
      </c>
      <c r="BA38" s="301">
        <f t="shared" si="4"/>
        <v>5.166666666666667</v>
      </c>
      <c r="BB38" s="302" t="str">
        <f t="shared" si="5"/>
        <v>Reg</v>
      </c>
      <c r="BC38" s="302">
        <f t="shared" si="6"/>
        <v>5.5</v>
      </c>
      <c r="BD38" s="302" t="str">
        <f t="shared" si="7"/>
        <v>Reg</v>
      </c>
      <c r="BE38" s="302">
        <f t="shared" si="8"/>
        <v>5.5</v>
      </c>
      <c r="BF38" s="302" t="str">
        <f t="shared" si="9"/>
        <v>Reg</v>
      </c>
      <c r="BG38" s="303">
        <f t="shared" si="10"/>
        <v>3</v>
      </c>
      <c r="BH38" s="304">
        <f t="shared" si="11"/>
        <v>2</v>
      </c>
      <c r="BI38" s="241" t="str">
        <f t="shared" si="12"/>
        <v/>
      </c>
      <c r="BJ38" s="241" t="str">
        <f t="shared" si="13"/>
        <v>Possible</v>
      </c>
      <c r="BK38" s="242" t="str">
        <f t="shared" si="14"/>
        <v>AAA</v>
      </c>
      <c r="BL38" s="242">
        <f t="shared" si="15"/>
        <v>14</v>
      </c>
      <c r="BM38" s="242">
        <f t="shared" si="16"/>
        <v>15</v>
      </c>
      <c r="BN38" s="242">
        <f t="shared" si="17"/>
        <v>0</v>
      </c>
      <c r="BO38" s="242">
        <f t="shared" si="18"/>
        <v>-1</v>
      </c>
      <c r="BP38" s="242">
        <f t="shared" si="19"/>
        <v>0</v>
      </c>
      <c r="BQ38" s="242">
        <f t="shared" si="20"/>
        <v>-1</v>
      </c>
    </row>
    <row r="39" spans="1:69" s="305" customFormat="1" x14ac:dyDescent="0.25">
      <c r="A39" s="248" t="str">
        <f t="shared" si="2"/>
        <v>Stanley Anderson</v>
      </c>
      <c r="B39" s="248" t="str">
        <f>IF(ISERROR(VLOOKUP(A39,AMA!$C$53:$C$100,1,FALSE)),IF(ISERROR(VLOOKUP(A39,'END-AAA'!$C$51:$C$100,1,FALSE)),IF(ISERROR(VLOOKUP(A39,'DB-AA'!$C$51:$C$100,1,FALSE)),IF(ISERROR(VLOOKUP(A39,'UTR-A'!$C$51:$C$100,1,FALSE)),IF(ISERROR(VLOOKUP(A39,'FAI-S A'!$C$51:$C$100,1,FALSE)),"","S A"),"A"),"AA"),"AAA"),"ML")</f>
        <v/>
      </c>
      <c r="C39" s="242"/>
      <c r="D39" s="242" t="str">
        <f t="shared" si="3"/>
        <v>T</v>
      </c>
      <c r="E39" s="241" t="s">
        <v>11</v>
      </c>
      <c r="F39" s="241" t="s">
        <v>953</v>
      </c>
      <c r="G39" s="241" t="s">
        <v>954</v>
      </c>
      <c r="H39" s="241" t="s">
        <v>769</v>
      </c>
      <c r="I39" s="241" t="s">
        <v>186</v>
      </c>
      <c r="J39" s="241">
        <v>26</v>
      </c>
      <c r="K39" s="241" t="s">
        <v>83</v>
      </c>
      <c r="L39" s="298" t="s">
        <v>83</v>
      </c>
      <c r="M39" s="241" t="s">
        <v>816</v>
      </c>
      <c r="N39" s="241" t="s">
        <v>808</v>
      </c>
      <c r="O39" s="241" t="s">
        <v>201</v>
      </c>
      <c r="P39" s="298" t="s">
        <v>200</v>
      </c>
      <c r="Q39" s="241">
        <v>4</v>
      </c>
      <c r="R39" s="241">
        <v>6</v>
      </c>
      <c r="S39" s="298">
        <v>4</v>
      </c>
      <c r="T39" s="241">
        <v>4</v>
      </c>
      <c r="U39" s="241">
        <v>7</v>
      </c>
      <c r="V39" s="298">
        <v>4</v>
      </c>
      <c r="W39" s="241">
        <v>5</v>
      </c>
      <c r="X39" s="241">
        <v>5</v>
      </c>
      <c r="Y39" s="241" t="s">
        <v>32</v>
      </c>
      <c r="Z39" s="241" t="s">
        <v>32</v>
      </c>
      <c r="AA39" s="241" t="s">
        <v>32</v>
      </c>
      <c r="AB39" s="241" t="s">
        <v>32</v>
      </c>
      <c r="AC39" s="241" t="s">
        <v>32</v>
      </c>
      <c r="AD39" s="241" t="s">
        <v>32</v>
      </c>
      <c r="AE39" s="241">
        <v>6</v>
      </c>
      <c r="AF39" s="241">
        <v>6</v>
      </c>
      <c r="AG39" s="241" t="s">
        <v>32</v>
      </c>
      <c r="AH39" s="241" t="s">
        <v>32</v>
      </c>
      <c r="AI39" s="241" t="s">
        <v>32</v>
      </c>
      <c r="AJ39" s="241" t="s">
        <v>32</v>
      </c>
      <c r="AK39" s="241" t="s">
        <v>32</v>
      </c>
      <c r="AL39" s="241" t="s">
        <v>32</v>
      </c>
      <c r="AM39" s="241" t="s">
        <v>32</v>
      </c>
      <c r="AN39" s="241" t="s">
        <v>32</v>
      </c>
      <c r="AO39" s="241" t="s">
        <v>32</v>
      </c>
      <c r="AP39" s="241" t="s">
        <v>32</v>
      </c>
      <c r="AQ39" s="241" t="s">
        <v>32</v>
      </c>
      <c r="AR39" s="241" t="s">
        <v>32</v>
      </c>
      <c r="AS39" s="241" t="s">
        <v>32</v>
      </c>
      <c r="AT39" s="298" t="s">
        <v>32</v>
      </c>
      <c r="AU39" s="241" t="s">
        <v>5</v>
      </c>
      <c r="AV39" s="241">
        <v>2</v>
      </c>
      <c r="AW39" s="299" t="s">
        <v>394</v>
      </c>
      <c r="AX39" s="300" t="s">
        <v>32</v>
      </c>
      <c r="AY39" s="298" t="s">
        <v>33</v>
      </c>
      <c r="AZ39" s="240" t="s">
        <v>199</v>
      </c>
      <c r="BA39" s="301">
        <f t="shared" si="4"/>
        <v>5.166666666666667</v>
      </c>
      <c r="BB39" s="302" t="str">
        <f t="shared" si="5"/>
        <v>Reg</v>
      </c>
      <c r="BC39" s="302">
        <f t="shared" si="6"/>
        <v>5.5</v>
      </c>
      <c r="BD39" s="302" t="str">
        <f t="shared" si="7"/>
        <v>Reg</v>
      </c>
      <c r="BE39" s="302">
        <f t="shared" si="8"/>
        <v>5.5</v>
      </c>
      <c r="BF39" s="302" t="str">
        <f t="shared" si="9"/>
        <v>Reg</v>
      </c>
      <c r="BG39" s="303">
        <f t="shared" si="10"/>
        <v>2</v>
      </c>
      <c r="BH39" s="304">
        <f t="shared" si="11"/>
        <v>1</v>
      </c>
      <c r="BI39" s="241" t="str">
        <f t="shared" si="12"/>
        <v/>
      </c>
      <c r="BJ39" s="241" t="str">
        <f t="shared" si="13"/>
        <v>Possible</v>
      </c>
      <c r="BK39" s="242" t="str">
        <f t="shared" si="14"/>
        <v>AAA</v>
      </c>
      <c r="BL39" s="242">
        <f t="shared" si="15"/>
        <v>14</v>
      </c>
      <c r="BM39" s="242">
        <f t="shared" si="16"/>
        <v>15</v>
      </c>
      <c r="BN39" s="242">
        <f t="shared" si="17"/>
        <v>0</v>
      </c>
      <c r="BO39" s="242">
        <f t="shared" si="18"/>
        <v>-1</v>
      </c>
      <c r="BP39" s="242">
        <f t="shared" si="19"/>
        <v>0</v>
      </c>
      <c r="BQ39" s="242">
        <f t="shared" si="20"/>
        <v>-1</v>
      </c>
    </row>
    <row r="40" spans="1:69" s="305" customFormat="1" x14ac:dyDescent="0.25">
      <c r="A40" s="248" t="str">
        <f t="shared" si="2"/>
        <v>Zack Forrest</v>
      </c>
      <c r="B40" s="248" t="str">
        <f>IF(ISERROR(VLOOKUP(A40,AMA!$C$53:$C$100,1,FALSE)),IF(ISERROR(VLOOKUP(A40,'END-AAA'!$C$51:$C$100,1,FALSE)),IF(ISERROR(VLOOKUP(A40,'DB-AA'!$C$51:$C$100,1,FALSE)),IF(ISERROR(VLOOKUP(A40,'UTR-A'!$C$51:$C$100,1,FALSE)),IF(ISERROR(VLOOKUP(A40,'FAI-S A'!$C$51:$C$100,1,FALSE)),"","S A"),"A"),"AA"),"AAA"),"ML")</f>
        <v/>
      </c>
      <c r="C40" s="242"/>
      <c r="D40" s="242" t="str">
        <f t="shared" si="3"/>
        <v>K</v>
      </c>
      <c r="E40" s="241" t="s">
        <v>87</v>
      </c>
      <c r="F40" s="241" t="s">
        <v>998</v>
      </c>
      <c r="G40" s="241" t="s">
        <v>1146</v>
      </c>
      <c r="H40" s="241" t="s">
        <v>783</v>
      </c>
      <c r="I40" s="241" t="s">
        <v>185</v>
      </c>
      <c r="J40" s="241">
        <v>26</v>
      </c>
      <c r="K40" s="241" t="s">
        <v>85</v>
      </c>
      <c r="L40" s="298" t="s">
        <v>83</v>
      </c>
      <c r="M40" s="241" t="s">
        <v>773</v>
      </c>
      <c r="N40" s="241" t="s">
        <v>764</v>
      </c>
      <c r="O40" s="241" t="s">
        <v>200</v>
      </c>
      <c r="P40" s="298" t="s">
        <v>199</v>
      </c>
      <c r="Q40" s="241">
        <v>7</v>
      </c>
      <c r="R40" s="241">
        <v>2</v>
      </c>
      <c r="S40" s="298">
        <v>5</v>
      </c>
      <c r="T40" s="241">
        <v>7</v>
      </c>
      <c r="U40" s="241">
        <v>2</v>
      </c>
      <c r="V40" s="298">
        <v>5</v>
      </c>
      <c r="W40" s="241">
        <v>8</v>
      </c>
      <c r="X40" s="241">
        <v>8</v>
      </c>
      <c r="Y40" s="241">
        <v>9</v>
      </c>
      <c r="Z40" s="241">
        <v>9</v>
      </c>
      <c r="AA40" s="241">
        <v>9</v>
      </c>
      <c r="AB40" s="241">
        <v>9</v>
      </c>
      <c r="AC40" s="241" t="s">
        <v>32</v>
      </c>
      <c r="AD40" s="241" t="s">
        <v>32</v>
      </c>
      <c r="AE40" s="241" t="s">
        <v>32</v>
      </c>
      <c r="AF40" s="241" t="s">
        <v>32</v>
      </c>
      <c r="AG40" s="241" t="s">
        <v>32</v>
      </c>
      <c r="AH40" s="241" t="s">
        <v>32</v>
      </c>
      <c r="AI40" s="241" t="s">
        <v>32</v>
      </c>
      <c r="AJ40" s="241" t="s">
        <v>32</v>
      </c>
      <c r="AK40" s="241" t="s">
        <v>32</v>
      </c>
      <c r="AL40" s="241" t="s">
        <v>32</v>
      </c>
      <c r="AM40" s="241" t="s">
        <v>32</v>
      </c>
      <c r="AN40" s="241" t="s">
        <v>32</v>
      </c>
      <c r="AO40" s="241" t="s">
        <v>32</v>
      </c>
      <c r="AP40" s="241" t="s">
        <v>32</v>
      </c>
      <c r="AQ40" s="241" t="s">
        <v>32</v>
      </c>
      <c r="AR40" s="241" t="s">
        <v>32</v>
      </c>
      <c r="AS40" s="241" t="s">
        <v>32</v>
      </c>
      <c r="AT40" s="298" t="s">
        <v>32</v>
      </c>
      <c r="AU40" s="241" t="s">
        <v>2</v>
      </c>
      <c r="AV40" s="241">
        <v>10</v>
      </c>
      <c r="AW40" s="299" t="s">
        <v>393</v>
      </c>
      <c r="AX40" s="300" t="s">
        <v>32</v>
      </c>
      <c r="AY40" s="298" t="s">
        <v>33</v>
      </c>
      <c r="AZ40" s="240" t="s">
        <v>199</v>
      </c>
      <c r="BA40" s="301">
        <f t="shared" si="4"/>
        <v>5.166666666666667</v>
      </c>
      <c r="BB40" s="302" t="str">
        <f t="shared" si="5"/>
        <v>Reg</v>
      </c>
      <c r="BC40" s="302">
        <f t="shared" si="6"/>
        <v>5.166666666666667</v>
      </c>
      <c r="BD40" s="302" t="str">
        <f t="shared" si="7"/>
        <v>Reg</v>
      </c>
      <c r="BE40" s="302">
        <f t="shared" si="8"/>
        <v>5.166666666666667</v>
      </c>
      <c r="BF40" s="302" t="str">
        <f t="shared" si="9"/>
        <v>Reg</v>
      </c>
      <c r="BG40" s="303">
        <f t="shared" si="10"/>
        <v>3</v>
      </c>
      <c r="BH40" s="304">
        <f t="shared" si="11"/>
        <v>3</v>
      </c>
      <c r="BI40" s="241" t="str">
        <f t="shared" si="12"/>
        <v/>
      </c>
      <c r="BJ40" s="241" t="str">
        <f t="shared" si="13"/>
        <v>Possible</v>
      </c>
      <c r="BK40" s="242" t="str">
        <f t="shared" si="14"/>
        <v>AAA</v>
      </c>
      <c r="BL40" s="242">
        <f t="shared" si="15"/>
        <v>14</v>
      </c>
      <c r="BM40" s="242">
        <f t="shared" si="16"/>
        <v>14</v>
      </c>
      <c r="BN40" s="242">
        <f t="shared" si="17"/>
        <v>0</v>
      </c>
      <c r="BO40" s="242">
        <f t="shared" si="18"/>
        <v>0</v>
      </c>
      <c r="BP40" s="242">
        <f t="shared" si="19"/>
        <v>0</v>
      </c>
      <c r="BQ40" s="242">
        <f t="shared" si="20"/>
        <v>0</v>
      </c>
    </row>
    <row r="41" spans="1:69" s="305" customFormat="1" x14ac:dyDescent="0.25">
      <c r="A41" s="248" t="str">
        <f t="shared" si="2"/>
        <v>Yukinaga Ando</v>
      </c>
      <c r="B41" s="248" t="str">
        <f>IF(ISERROR(VLOOKUP(A41,AMA!$C$53:$C$100,1,FALSE)),IF(ISERROR(VLOOKUP(A41,'END-AAA'!$C$51:$C$100,1,FALSE)),IF(ISERROR(VLOOKUP(A41,'DB-AA'!$C$51:$C$100,1,FALSE)),IF(ISERROR(VLOOKUP(A41,'UTR-A'!$C$51:$C$100,1,FALSE)),IF(ISERROR(VLOOKUP(A41,'FAI-S A'!$C$51:$C$100,1,FALSE)),"","S A"),"A"),"AA"),"AAA"),"ML")</f>
        <v/>
      </c>
      <c r="C41" s="242"/>
      <c r="D41" s="242" t="str">
        <f t="shared" si="3"/>
        <v>K</v>
      </c>
      <c r="E41" s="241" t="s">
        <v>11</v>
      </c>
      <c r="F41" s="241" t="s">
        <v>947</v>
      </c>
      <c r="G41" s="241" t="s">
        <v>948</v>
      </c>
      <c r="H41" s="241" t="s">
        <v>783</v>
      </c>
      <c r="I41" s="241" t="s">
        <v>185</v>
      </c>
      <c r="J41" s="241">
        <v>31</v>
      </c>
      <c r="K41" s="241" t="s">
        <v>83</v>
      </c>
      <c r="L41" s="298" t="s">
        <v>83</v>
      </c>
      <c r="M41" s="241" t="s">
        <v>808</v>
      </c>
      <c r="N41" s="241" t="s">
        <v>808</v>
      </c>
      <c r="O41" s="241" t="s">
        <v>199</v>
      </c>
      <c r="P41" s="298" t="s">
        <v>200</v>
      </c>
      <c r="Q41" s="241">
        <v>5</v>
      </c>
      <c r="R41" s="241">
        <v>1</v>
      </c>
      <c r="S41" s="298">
        <v>8</v>
      </c>
      <c r="T41" s="241">
        <v>5</v>
      </c>
      <c r="U41" s="241">
        <v>1</v>
      </c>
      <c r="V41" s="298">
        <v>8</v>
      </c>
      <c r="W41" s="241">
        <v>6</v>
      </c>
      <c r="X41" s="241">
        <v>6</v>
      </c>
      <c r="Y41" s="241">
        <v>3</v>
      </c>
      <c r="Z41" s="241">
        <v>3</v>
      </c>
      <c r="AA41" s="241" t="s">
        <v>32</v>
      </c>
      <c r="AB41" s="241" t="s">
        <v>32</v>
      </c>
      <c r="AC41" s="241">
        <v>8</v>
      </c>
      <c r="AD41" s="241">
        <v>8</v>
      </c>
      <c r="AE41" s="241" t="s">
        <v>32</v>
      </c>
      <c r="AF41" s="241" t="s">
        <v>32</v>
      </c>
      <c r="AG41" s="241" t="s">
        <v>32</v>
      </c>
      <c r="AH41" s="241" t="s">
        <v>32</v>
      </c>
      <c r="AI41" s="241" t="s">
        <v>32</v>
      </c>
      <c r="AJ41" s="241" t="s">
        <v>32</v>
      </c>
      <c r="AK41" s="241" t="s">
        <v>32</v>
      </c>
      <c r="AL41" s="241" t="s">
        <v>32</v>
      </c>
      <c r="AM41" s="241" t="s">
        <v>32</v>
      </c>
      <c r="AN41" s="241" t="s">
        <v>32</v>
      </c>
      <c r="AO41" s="241" t="s">
        <v>32</v>
      </c>
      <c r="AP41" s="241" t="s">
        <v>32</v>
      </c>
      <c r="AQ41" s="241" t="s">
        <v>32</v>
      </c>
      <c r="AR41" s="241" t="s">
        <v>32</v>
      </c>
      <c r="AS41" s="241" t="s">
        <v>32</v>
      </c>
      <c r="AT41" s="298" t="s">
        <v>32</v>
      </c>
      <c r="AU41" s="241" t="s">
        <v>6</v>
      </c>
      <c r="AV41" s="241">
        <v>8</v>
      </c>
      <c r="AW41" s="299" t="s">
        <v>395</v>
      </c>
      <c r="AX41" s="300" t="s">
        <v>32</v>
      </c>
      <c r="AY41" s="298" t="s">
        <v>33</v>
      </c>
      <c r="AZ41" s="240" t="s">
        <v>199</v>
      </c>
      <c r="BA41" s="301">
        <f t="shared" si="4"/>
        <v>5.166666666666667</v>
      </c>
      <c r="BB41" s="302" t="str">
        <f t="shared" si="5"/>
        <v>Reg</v>
      </c>
      <c r="BC41" s="302">
        <f t="shared" si="6"/>
        <v>5.166666666666667</v>
      </c>
      <c r="BD41" s="302" t="str">
        <f t="shared" si="7"/>
        <v>Reg</v>
      </c>
      <c r="BE41" s="302">
        <f t="shared" si="8"/>
        <v>5.166666666666667</v>
      </c>
      <c r="BF41" s="302" t="str">
        <f t="shared" si="9"/>
        <v>Reg</v>
      </c>
      <c r="BG41" s="303">
        <f t="shared" si="10"/>
        <v>3</v>
      </c>
      <c r="BH41" s="304">
        <f t="shared" si="11"/>
        <v>2</v>
      </c>
      <c r="BI41" s="241" t="str">
        <f t="shared" si="12"/>
        <v/>
      </c>
      <c r="BJ41" s="241" t="str">
        <f t="shared" si="13"/>
        <v>Possible</v>
      </c>
      <c r="BK41" s="242" t="str">
        <f t="shared" si="14"/>
        <v>AAA</v>
      </c>
      <c r="BL41" s="242">
        <f t="shared" si="15"/>
        <v>14</v>
      </c>
      <c r="BM41" s="242">
        <f t="shared" si="16"/>
        <v>14</v>
      </c>
      <c r="BN41" s="242">
        <f t="shared" si="17"/>
        <v>0</v>
      </c>
      <c r="BO41" s="242">
        <f t="shared" si="18"/>
        <v>0</v>
      </c>
      <c r="BP41" s="242">
        <f t="shared" si="19"/>
        <v>0</v>
      </c>
      <c r="BQ41" s="242">
        <f t="shared" si="20"/>
        <v>0</v>
      </c>
    </row>
    <row r="42" spans="1:69" s="305" customFormat="1" x14ac:dyDescent="0.25">
      <c r="A42" s="248" t="str">
        <f t="shared" si="2"/>
        <v>Alonso González</v>
      </c>
      <c r="B42" s="248" t="str">
        <f>IF(ISERROR(VLOOKUP(A42,AMA!$C$53:$C$100,1,FALSE)),IF(ISERROR(VLOOKUP(A42,'END-AAA'!$C$51:$C$100,1,FALSE)),IF(ISERROR(VLOOKUP(A42,'DB-AA'!$C$51:$C$100,1,FALSE)),IF(ISERROR(VLOOKUP(A42,'UTR-A'!$C$51:$C$100,1,FALSE)),IF(ISERROR(VLOOKUP(A42,'FAI-S A'!$C$51:$C$100,1,FALSE)),"","S A"),"A"),"AA"),"AAA"),"ML")</f>
        <v/>
      </c>
      <c r="C42" s="242"/>
      <c r="D42" s="242" t="str">
        <f t="shared" si="3"/>
        <v>K</v>
      </c>
      <c r="E42" s="241" t="s">
        <v>87</v>
      </c>
      <c r="F42" s="241" t="s">
        <v>868</v>
      </c>
      <c r="G42" s="241" t="s">
        <v>725</v>
      </c>
      <c r="H42" s="241" t="s">
        <v>783</v>
      </c>
      <c r="I42" s="241" t="s">
        <v>185</v>
      </c>
      <c r="J42" s="241">
        <v>27</v>
      </c>
      <c r="K42" s="241" t="s">
        <v>82</v>
      </c>
      <c r="L42" s="298" t="s">
        <v>82</v>
      </c>
      <c r="M42" s="241" t="s">
        <v>773</v>
      </c>
      <c r="N42" s="241" t="s">
        <v>773</v>
      </c>
      <c r="O42" s="241" t="s">
        <v>199</v>
      </c>
      <c r="P42" s="298" t="s">
        <v>199</v>
      </c>
      <c r="Q42" s="241">
        <v>5</v>
      </c>
      <c r="R42" s="241">
        <v>5</v>
      </c>
      <c r="S42" s="298">
        <v>3</v>
      </c>
      <c r="T42" s="241">
        <v>6</v>
      </c>
      <c r="U42" s="241">
        <v>5</v>
      </c>
      <c r="V42" s="298">
        <v>4</v>
      </c>
      <c r="W42" s="241">
        <v>5</v>
      </c>
      <c r="X42" s="241">
        <v>5</v>
      </c>
      <c r="Y42" s="241">
        <v>6</v>
      </c>
      <c r="Z42" s="241">
        <v>8</v>
      </c>
      <c r="AA42" s="241">
        <v>7</v>
      </c>
      <c r="AB42" s="241">
        <v>7</v>
      </c>
      <c r="AC42" s="241">
        <v>7</v>
      </c>
      <c r="AD42" s="241">
        <v>7</v>
      </c>
      <c r="AE42" s="241" t="s">
        <v>32</v>
      </c>
      <c r="AF42" s="241" t="s">
        <v>32</v>
      </c>
      <c r="AG42" s="241" t="s">
        <v>32</v>
      </c>
      <c r="AH42" s="241" t="s">
        <v>32</v>
      </c>
      <c r="AI42" s="241" t="s">
        <v>32</v>
      </c>
      <c r="AJ42" s="241" t="s">
        <v>32</v>
      </c>
      <c r="AK42" s="241" t="s">
        <v>32</v>
      </c>
      <c r="AL42" s="241" t="s">
        <v>32</v>
      </c>
      <c r="AM42" s="241" t="s">
        <v>32</v>
      </c>
      <c r="AN42" s="241" t="s">
        <v>32</v>
      </c>
      <c r="AO42" s="241" t="s">
        <v>32</v>
      </c>
      <c r="AP42" s="241" t="s">
        <v>32</v>
      </c>
      <c r="AQ42" s="241" t="s">
        <v>32</v>
      </c>
      <c r="AR42" s="241" t="s">
        <v>32</v>
      </c>
      <c r="AS42" s="241" t="s">
        <v>32</v>
      </c>
      <c r="AT42" s="298" t="s">
        <v>32</v>
      </c>
      <c r="AU42" s="241" t="s">
        <v>6</v>
      </c>
      <c r="AV42" s="241">
        <v>10</v>
      </c>
      <c r="AW42" s="299" t="s">
        <v>394</v>
      </c>
      <c r="AX42" s="300">
        <v>510000</v>
      </c>
      <c r="AY42" s="298" t="s">
        <v>33</v>
      </c>
      <c r="AZ42" s="240" t="s">
        <v>199</v>
      </c>
      <c r="BA42" s="301">
        <f t="shared" si="4"/>
        <v>5.083333333333333</v>
      </c>
      <c r="BB42" s="302" t="str">
        <f t="shared" si="5"/>
        <v>Reg</v>
      </c>
      <c r="BC42" s="302">
        <f t="shared" si="6"/>
        <v>5.75</v>
      </c>
      <c r="BD42" s="302" t="str">
        <f t="shared" si="7"/>
        <v>Reg</v>
      </c>
      <c r="BE42" s="302">
        <f t="shared" si="8"/>
        <v>5.75</v>
      </c>
      <c r="BF42" s="302" t="str">
        <f t="shared" si="9"/>
        <v>Reg</v>
      </c>
      <c r="BG42" s="303">
        <f t="shared" si="10"/>
        <v>4</v>
      </c>
      <c r="BH42" s="304">
        <f t="shared" si="11"/>
        <v>3</v>
      </c>
      <c r="BI42" s="241" t="str">
        <f t="shared" si="12"/>
        <v/>
      </c>
      <c r="BJ42" s="241" t="str">
        <f t="shared" si="13"/>
        <v>Possible</v>
      </c>
      <c r="BK42" s="242" t="str">
        <f t="shared" si="14"/>
        <v>AA</v>
      </c>
      <c r="BL42" s="242">
        <f t="shared" si="15"/>
        <v>13</v>
      </c>
      <c r="BM42" s="242">
        <f t="shared" si="16"/>
        <v>15</v>
      </c>
      <c r="BN42" s="242">
        <f t="shared" si="17"/>
        <v>-1</v>
      </c>
      <c r="BO42" s="242">
        <f t="shared" si="18"/>
        <v>0</v>
      </c>
      <c r="BP42" s="242">
        <f t="shared" si="19"/>
        <v>-1</v>
      </c>
      <c r="BQ42" s="242">
        <f t="shared" si="20"/>
        <v>-2</v>
      </c>
    </row>
    <row r="43" spans="1:69" s="305" customFormat="1" x14ac:dyDescent="0.25">
      <c r="A43" s="248" t="str">
        <f t="shared" ref="A43:A74" si="21">F43&amp;" "&amp;G43</f>
        <v>Bao-tian Dee</v>
      </c>
      <c r="B43" s="248" t="str">
        <f>IF(ISERROR(VLOOKUP(A43,AMA!$C$53:$C$100,1,FALSE)),IF(ISERROR(VLOOKUP(A43,'END-AAA'!$C$51:$C$100,1,FALSE)),IF(ISERROR(VLOOKUP(A43,'DB-AA'!$C$51:$C$100,1,FALSE)),IF(ISERROR(VLOOKUP(A43,'UTR-A'!$C$51:$C$100,1,FALSE)),IF(ISERROR(VLOOKUP(A43,'FAI-S A'!$C$51:$C$100,1,FALSE)),"","S A"),"A"),"AA"),"AAA"),"ML")</f>
        <v/>
      </c>
      <c r="C43" s="242"/>
      <c r="D43" s="242" t="str">
        <f t="shared" ref="D43:D74" si="22">IF(OR(OR(O43="Very High",O43="High"),AND(OR(O43="Very High",O43="High",O43="Normal"),OR(P43="Very High",P43="High"))),"K","T")</f>
        <v>T</v>
      </c>
      <c r="E43" s="241" t="s">
        <v>87</v>
      </c>
      <c r="F43" s="241" t="s">
        <v>939</v>
      </c>
      <c r="G43" s="241" t="s">
        <v>940</v>
      </c>
      <c r="H43" s="241" t="s">
        <v>769</v>
      </c>
      <c r="I43" s="241" t="s">
        <v>186</v>
      </c>
      <c r="J43" s="241">
        <v>22</v>
      </c>
      <c r="K43" s="241" t="s">
        <v>83</v>
      </c>
      <c r="L43" s="298" t="s">
        <v>83</v>
      </c>
      <c r="M43" s="241" t="s">
        <v>773</v>
      </c>
      <c r="N43" s="241" t="s">
        <v>773</v>
      </c>
      <c r="O43" s="241" t="s">
        <v>201</v>
      </c>
      <c r="P43" s="298" t="s">
        <v>200</v>
      </c>
      <c r="Q43" s="241">
        <v>6</v>
      </c>
      <c r="R43" s="241">
        <v>2</v>
      </c>
      <c r="S43" s="298">
        <v>4</v>
      </c>
      <c r="T43" s="241">
        <v>6</v>
      </c>
      <c r="U43" s="241">
        <v>2</v>
      </c>
      <c r="V43" s="298">
        <v>4</v>
      </c>
      <c r="W43" s="241">
        <v>7</v>
      </c>
      <c r="X43" s="241">
        <v>7</v>
      </c>
      <c r="Y43" s="241">
        <v>8</v>
      </c>
      <c r="Z43" s="241">
        <v>8</v>
      </c>
      <c r="AA43" s="241">
        <v>8</v>
      </c>
      <c r="AB43" s="241">
        <v>8</v>
      </c>
      <c r="AC43" s="241" t="s">
        <v>32</v>
      </c>
      <c r="AD43" s="241" t="s">
        <v>32</v>
      </c>
      <c r="AE43" s="241" t="s">
        <v>32</v>
      </c>
      <c r="AF43" s="241" t="s">
        <v>32</v>
      </c>
      <c r="AG43" s="241">
        <v>5</v>
      </c>
      <c r="AH43" s="241">
        <v>5</v>
      </c>
      <c r="AI43" s="241" t="s">
        <v>32</v>
      </c>
      <c r="AJ43" s="241" t="s">
        <v>32</v>
      </c>
      <c r="AK43" s="241" t="s">
        <v>32</v>
      </c>
      <c r="AL43" s="241" t="s">
        <v>32</v>
      </c>
      <c r="AM43" s="241" t="s">
        <v>32</v>
      </c>
      <c r="AN43" s="241" t="s">
        <v>32</v>
      </c>
      <c r="AO43" s="241" t="s">
        <v>32</v>
      </c>
      <c r="AP43" s="241" t="s">
        <v>32</v>
      </c>
      <c r="AQ43" s="241" t="s">
        <v>32</v>
      </c>
      <c r="AR43" s="241" t="s">
        <v>32</v>
      </c>
      <c r="AS43" s="241" t="s">
        <v>32</v>
      </c>
      <c r="AT43" s="298" t="s">
        <v>32</v>
      </c>
      <c r="AU43" s="241" t="s">
        <v>397</v>
      </c>
      <c r="AV43" s="241">
        <v>7</v>
      </c>
      <c r="AW43" s="299" t="s">
        <v>393</v>
      </c>
      <c r="AX43" s="300">
        <v>510000</v>
      </c>
      <c r="AY43" s="298" t="s">
        <v>33</v>
      </c>
      <c r="AZ43" s="240" t="s">
        <v>779</v>
      </c>
      <c r="BA43" s="301">
        <f t="shared" ref="BA43:BA74" si="23">AVERAGE(Q43:S43)+0.25*MAX(0,(COUNT(W43,Y43,AA43,AC43,AE43,AG43,AI43,AK43,AM43,AO43,AQ43,AS43)-3))+IF(AW43&gt;0.55,0.25,0)+IF(MAX(W43,Y43,AA43,AC43,AE43,AG43,AI43,AK43,AM43,AO43,AQ43,AS43)&gt;5,0.25,0)</f>
        <v>4.75</v>
      </c>
      <c r="BB43" s="302" t="str">
        <f t="shared" ref="BB43:BB74" si="24">IF(BA43&gt;9,"SuperStar",IF(BA43&gt;8,"Star",IF(BA43&gt;6.5,"GoodReg",IF(BA43&gt;5,"Reg",IF(BA43&gt;4,"Bench","Minors")))))</f>
        <v>Bench</v>
      </c>
      <c r="BC43" s="302">
        <f t="shared" ref="BC43:BC74" si="25">AVERAGE(T43:V43)+0.25*MAX(0,(COUNT(X43,Z43,AB43,AD43,AF43,AH43,AJ43,AL43,AN43,AP43,AR43,AT43)-3))+IF(AW43&gt;0.55,0.25,0)+IF(MAX(X43,Z43,AB43,AD43,AF43,AH43,AJ43,AL43,AN43,AP43,AR43,AT43)&gt;5,0.25,0)</f>
        <v>4.75</v>
      </c>
      <c r="BD43" s="302" t="str">
        <f t="shared" ref="BD43:BD74" si="26">IF(BC43&gt;9,"SuperStar",IF(BC43&gt;8,"Star",IF(BC43&gt;6.5,"GoodReg",IF(BC43&gt;5,"Reg",IF(BC43&gt;4,"Bench","Minors")))))</f>
        <v>Bench</v>
      </c>
      <c r="BE43" s="302">
        <f t="shared" ref="BE43:BE74" si="27">MIN(BA43+(MAX(0,25-U43))^1.5,BC43)</f>
        <v>4.75</v>
      </c>
      <c r="BF43" s="302" t="str">
        <f t="shared" ref="BF43:BF74" si="28">IF(BE43&gt;9,"SuperStar",IF(BE43&gt;8,"Star",IF(BE43&gt;6.5,"GoodReg",IF(BE43&gt;5,"Reg",IF(BE43&gt;4,"Bench","Minors")))))</f>
        <v>Bench</v>
      </c>
      <c r="BG43" s="303">
        <f t="shared" ref="BG43:BG74" si="29">COUNT(W43:AT43)/2</f>
        <v>4</v>
      </c>
      <c r="BH43" s="304">
        <f t="shared" ref="BH43:BH74" si="30">COUNTIF(W43:AT43,"&gt;5")/2</f>
        <v>3</v>
      </c>
      <c r="BI43" s="241" t="str">
        <f t="shared" ref="BI43:BI74" si="31">IF(AY43=1,"Yes","")</f>
        <v/>
      </c>
      <c r="BJ43" s="241" t="str">
        <f t="shared" ref="BJ43:BJ74" si="32">IF(B43="ML","There",IF(AVERAGE($T43:$V43)&gt;=6,"Likely",IF(AVERAGE($T43:$V43)&gt;=4,"Possible","Unlikely")))</f>
        <v>Possible</v>
      </c>
      <c r="BK43" s="242" t="str">
        <f t="shared" ref="BK43:BK74" si="33">IF(AVERAGE(Q43:S43)&gt;=5.5,"ML",IF(AVERAGE(Q43:S43)&gt;=4.5,"AAA",IF(AVERAGE(Q43:S43)&gt;=4,"AA",IF(AVERAGE(Q43:S43)&gt;=3.5,"A","SS-A"))))</f>
        <v>AA</v>
      </c>
      <c r="BL43" s="242">
        <f t="shared" ref="BL43:BL74" si="34">SUM(Q43:S43)</f>
        <v>12</v>
      </c>
      <c r="BM43" s="242">
        <f t="shared" ref="BM43:BM74" si="35">SUM(T43:V43)</f>
        <v>12</v>
      </c>
      <c r="BN43" s="242">
        <f t="shared" ref="BN43:BN74" si="36">Q43-T43</f>
        <v>0</v>
      </c>
      <c r="BO43" s="242">
        <f t="shared" ref="BO43:BO74" si="37">R43-U43</f>
        <v>0</v>
      </c>
      <c r="BP43" s="242">
        <f t="shared" ref="BP43:BP74" si="38">S43-V43</f>
        <v>0</v>
      </c>
      <c r="BQ43" s="242">
        <f t="shared" ref="BQ43:BQ74" si="39">SUM(BN43:BP43)</f>
        <v>0</v>
      </c>
    </row>
    <row r="44" spans="1:69" s="305" customFormat="1" x14ac:dyDescent="0.25">
      <c r="A44" s="248" t="str">
        <f t="shared" si="21"/>
        <v>Jorge De Los Santos</v>
      </c>
      <c r="B44" s="248" t="str">
        <f>IF(ISERROR(VLOOKUP(A44,AMA!$C$53:$C$100,1,FALSE)),IF(ISERROR(VLOOKUP(A44,'END-AAA'!$C$51:$C$100,1,FALSE)),IF(ISERROR(VLOOKUP(A44,'DB-AA'!$C$51:$C$100,1,FALSE)),IF(ISERROR(VLOOKUP(A44,'UTR-A'!$C$51:$C$100,1,FALSE)),IF(ISERROR(VLOOKUP(A44,'FAI-S A'!$C$51:$C$100,1,FALSE)),"","S A"),"A"),"AA"),"AAA"),"ML")</f>
        <v/>
      </c>
      <c r="C44" s="242"/>
      <c r="D44" s="242" t="str">
        <f t="shared" si="22"/>
        <v>K</v>
      </c>
      <c r="E44" s="241" t="s">
        <v>87</v>
      </c>
      <c r="F44" s="241" t="s">
        <v>445</v>
      </c>
      <c r="G44" s="241" t="s">
        <v>1148</v>
      </c>
      <c r="H44" s="241" t="s">
        <v>814</v>
      </c>
      <c r="I44" s="241" t="s">
        <v>187</v>
      </c>
      <c r="J44" s="241">
        <v>24</v>
      </c>
      <c r="K44" s="241" t="s">
        <v>83</v>
      </c>
      <c r="L44" s="298" t="s">
        <v>83</v>
      </c>
      <c r="M44" s="241" t="s">
        <v>816</v>
      </c>
      <c r="N44" s="241" t="s">
        <v>816</v>
      </c>
      <c r="O44" s="241" t="s">
        <v>200</v>
      </c>
      <c r="P44" s="298" t="s">
        <v>199</v>
      </c>
      <c r="Q44" s="241">
        <v>5</v>
      </c>
      <c r="R44" s="241">
        <v>5</v>
      </c>
      <c r="S44" s="298">
        <v>1</v>
      </c>
      <c r="T44" s="241">
        <v>5</v>
      </c>
      <c r="U44" s="241">
        <v>6</v>
      </c>
      <c r="V44" s="298">
        <v>1</v>
      </c>
      <c r="W44" s="241">
        <v>6</v>
      </c>
      <c r="X44" s="241">
        <v>6</v>
      </c>
      <c r="Y44" s="241">
        <v>5</v>
      </c>
      <c r="Z44" s="241">
        <v>5</v>
      </c>
      <c r="AA44" s="241">
        <v>5</v>
      </c>
      <c r="AB44" s="241">
        <v>5</v>
      </c>
      <c r="AC44" s="241">
        <v>3</v>
      </c>
      <c r="AD44" s="241">
        <v>3</v>
      </c>
      <c r="AE44" s="241" t="s">
        <v>32</v>
      </c>
      <c r="AF44" s="241" t="s">
        <v>32</v>
      </c>
      <c r="AG44" s="241" t="s">
        <v>32</v>
      </c>
      <c r="AH44" s="241" t="s">
        <v>32</v>
      </c>
      <c r="AI44" s="241" t="s">
        <v>32</v>
      </c>
      <c r="AJ44" s="241" t="s">
        <v>32</v>
      </c>
      <c r="AK44" s="241">
        <v>6</v>
      </c>
      <c r="AL44" s="241">
        <v>7</v>
      </c>
      <c r="AM44" s="241" t="s">
        <v>32</v>
      </c>
      <c r="AN44" s="241" t="s">
        <v>32</v>
      </c>
      <c r="AO44" s="241" t="s">
        <v>32</v>
      </c>
      <c r="AP44" s="241" t="s">
        <v>32</v>
      </c>
      <c r="AQ44" s="241" t="s">
        <v>32</v>
      </c>
      <c r="AR44" s="241" t="s">
        <v>32</v>
      </c>
      <c r="AS44" s="241" t="s">
        <v>32</v>
      </c>
      <c r="AT44" s="298" t="s">
        <v>32</v>
      </c>
      <c r="AU44" s="241" t="s">
        <v>333</v>
      </c>
      <c r="AV44" s="241">
        <v>6</v>
      </c>
      <c r="AW44" s="299" t="s">
        <v>394</v>
      </c>
      <c r="AX44" s="300" t="s">
        <v>32</v>
      </c>
      <c r="AY44" s="298" t="s">
        <v>33</v>
      </c>
      <c r="AZ44" s="240" t="s">
        <v>779</v>
      </c>
      <c r="BA44" s="301">
        <f t="shared" si="23"/>
        <v>4.6666666666666661</v>
      </c>
      <c r="BB44" s="302" t="str">
        <f t="shared" si="24"/>
        <v>Bench</v>
      </c>
      <c r="BC44" s="302">
        <f t="shared" si="25"/>
        <v>5</v>
      </c>
      <c r="BD44" s="302" t="str">
        <f t="shared" si="26"/>
        <v>Bench</v>
      </c>
      <c r="BE44" s="302">
        <f t="shared" si="27"/>
        <v>5</v>
      </c>
      <c r="BF44" s="302" t="str">
        <f t="shared" si="28"/>
        <v>Bench</v>
      </c>
      <c r="BG44" s="303">
        <f t="shared" si="29"/>
        <v>5</v>
      </c>
      <c r="BH44" s="304">
        <f t="shared" si="30"/>
        <v>2</v>
      </c>
      <c r="BI44" s="241" t="str">
        <f t="shared" si="31"/>
        <v/>
      </c>
      <c r="BJ44" s="241" t="str">
        <f t="shared" si="32"/>
        <v>Possible</v>
      </c>
      <c r="BK44" s="242" t="str">
        <f t="shared" si="33"/>
        <v>A</v>
      </c>
      <c r="BL44" s="242">
        <f t="shared" si="34"/>
        <v>11</v>
      </c>
      <c r="BM44" s="242">
        <f t="shared" si="35"/>
        <v>12</v>
      </c>
      <c r="BN44" s="242">
        <f t="shared" si="36"/>
        <v>0</v>
      </c>
      <c r="BO44" s="242">
        <f t="shared" si="37"/>
        <v>-1</v>
      </c>
      <c r="BP44" s="242">
        <f t="shared" si="38"/>
        <v>0</v>
      </c>
      <c r="BQ44" s="242">
        <f t="shared" si="39"/>
        <v>-1</v>
      </c>
    </row>
    <row r="45" spans="1:69" s="305" customFormat="1" x14ac:dyDescent="0.25">
      <c r="A45" s="248" t="str">
        <f t="shared" si="21"/>
        <v>Eduardo Herrera</v>
      </c>
      <c r="B45" s="248" t="str">
        <f>IF(ISERROR(VLOOKUP(A45,AMA!$C$53:$C$100,1,FALSE)),IF(ISERROR(VLOOKUP(A45,'END-AAA'!$C$51:$C$100,1,FALSE)),IF(ISERROR(VLOOKUP(A45,'DB-AA'!$C$51:$C$100,1,FALSE)),IF(ISERROR(VLOOKUP(A45,'UTR-A'!$C$51:$C$100,1,FALSE)),IF(ISERROR(VLOOKUP(A45,'FAI-S A'!$C$51:$C$100,1,FALSE)),"","S A"),"A"),"AA"),"AAA"),"ML")</f>
        <v/>
      </c>
      <c r="C45" s="242"/>
      <c r="D45" s="242" t="str">
        <f t="shared" si="22"/>
        <v>T</v>
      </c>
      <c r="E45" s="241" t="s">
        <v>11</v>
      </c>
      <c r="F45" s="241" t="s">
        <v>791</v>
      </c>
      <c r="G45" s="241" t="s">
        <v>522</v>
      </c>
      <c r="H45" s="241" t="s">
        <v>769</v>
      </c>
      <c r="I45" s="241" t="s">
        <v>186</v>
      </c>
      <c r="J45" s="241">
        <v>37</v>
      </c>
      <c r="K45" s="241" t="s">
        <v>83</v>
      </c>
      <c r="L45" s="298" t="s">
        <v>83</v>
      </c>
      <c r="M45" s="241" t="s">
        <v>816</v>
      </c>
      <c r="N45" s="241" t="s">
        <v>816</v>
      </c>
      <c r="O45" s="241" t="s">
        <v>201</v>
      </c>
      <c r="P45" s="298" t="s">
        <v>200</v>
      </c>
      <c r="Q45" s="241">
        <v>2</v>
      </c>
      <c r="R45" s="241">
        <v>4</v>
      </c>
      <c r="S45" s="298">
        <v>7</v>
      </c>
      <c r="T45" s="241">
        <v>2</v>
      </c>
      <c r="U45" s="241">
        <v>4</v>
      </c>
      <c r="V45" s="298">
        <v>7</v>
      </c>
      <c r="W45" s="241">
        <v>4</v>
      </c>
      <c r="X45" s="241">
        <v>4</v>
      </c>
      <c r="Y45" s="241" t="s">
        <v>32</v>
      </c>
      <c r="Z45" s="241" t="s">
        <v>32</v>
      </c>
      <c r="AA45" s="241">
        <v>3</v>
      </c>
      <c r="AB45" s="241">
        <v>3</v>
      </c>
      <c r="AC45" s="241" t="s">
        <v>32</v>
      </c>
      <c r="AD45" s="241" t="s">
        <v>32</v>
      </c>
      <c r="AE45" s="241" t="s">
        <v>32</v>
      </c>
      <c r="AF45" s="241" t="s">
        <v>32</v>
      </c>
      <c r="AG45" s="241" t="s">
        <v>32</v>
      </c>
      <c r="AH45" s="241" t="s">
        <v>32</v>
      </c>
      <c r="AI45" s="241" t="s">
        <v>32</v>
      </c>
      <c r="AJ45" s="241" t="s">
        <v>32</v>
      </c>
      <c r="AK45" s="241" t="s">
        <v>32</v>
      </c>
      <c r="AL45" s="241" t="s">
        <v>32</v>
      </c>
      <c r="AM45" s="241" t="s">
        <v>32</v>
      </c>
      <c r="AN45" s="241" t="s">
        <v>32</v>
      </c>
      <c r="AO45" s="241" t="s">
        <v>32</v>
      </c>
      <c r="AP45" s="241" t="s">
        <v>32</v>
      </c>
      <c r="AQ45" s="241" t="s">
        <v>32</v>
      </c>
      <c r="AR45" s="241" t="s">
        <v>32</v>
      </c>
      <c r="AS45" s="241" t="s">
        <v>32</v>
      </c>
      <c r="AT45" s="298" t="s">
        <v>32</v>
      </c>
      <c r="AU45" s="241" t="s">
        <v>713</v>
      </c>
      <c r="AV45" s="241">
        <v>6</v>
      </c>
      <c r="AW45" s="299" t="s">
        <v>490</v>
      </c>
      <c r="AX45" s="300" t="s">
        <v>32</v>
      </c>
      <c r="AY45" s="298">
        <v>1</v>
      </c>
      <c r="AZ45" s="240" t="s">
        <v>199</v>
      </c>
      <c r="BA45" s="301">
        <f t="shared" si="23"/>
        <v>4.583333333333333</v>
      </c>
      <c r="BB45" s="302" t="str">
        <f t="shared" si="24"/>
        <v>Bench</v>
      </c>
      <c r="BC45" s="302">
        <f t="shared" si="25"/>
        <v>4.583333333333333</v>
      </c>
      <c r="BD45" s="302" t="str">
        <f t="shared" si="26"/>
        <v>Bench</v>
      </c>
      <c r="BE45" s="302">
        <f t="shared" si="27"/>
        <v>4.583333333333333</v>
      </c>
      <c r="BF45" s="302" t="str">
        <f t="shared" si="28"/>
        <v>Bench</v>
      </c>
      <c r="BG45" s="303">
        <f t="shared" si="29"/>
        <v>2</v>
      </c>
      <c r="BH45" s="304">
        <f t="shared" si="30"/>
        <v>0</v>
      </c>
      <c r="BI45" s="241" t="str">
        <f t="shared" si="31"/>
        <v>Yes</v>
      </c>
      <c r="BJ45" s="241" t="str">
        <f t="shared" si="32"/>
        <v>Possible</v>
      </c>
      <c r="BK45" s="242" t="str">
        <f t="shared" si="33"/>
        <v>AA</v>
      </c>
      <c r="BL45" s="242">
        <f t="shared" si="34"/>
        <v>13</v>
      </c>
      <c r="BM45" s="242">
        <f t="shared" si="35"/>
        <v>13</v>
      </c>
      <c r="BN45" s="242">
        <f t="shared" si="36"/>
        <v>0</v>
      </c>
      <c r="BO45" s="242">
        <f t="shared" si="37"/>
        <v>0</v>
      </c>
      <c r="BP45" s="242">
        <f t="shared" si="38"/>
        <v>0</v>
      </c>
      <c r="BQ45" s="242">
        <f t="shared" si="39"/>
        <v>0</v>
      </c>
    </row>
    <row r="46" spans="1:69" s="305" customFormat="1" x14ac:dyDescent="0.25">
      <c r="A46" s="248" t="str">
        <f t="shared" si="21"/>
        <v>Jo Takahashi</v>
      </c>
      <c r="B46" s="248" t="str">
        <f>IF(ISERROR(VLOOKUP(A46,AMA!$C$53:$C$100,1,FALSE)),IF(ISERROR(VLOOKUP(A46,'END-AAA'!$C$51:$C$100,1,FALSE)),IF(ISERROR(VLOOKUP(A46,'DB-AA'!$C$51:$C$100,1,FALSE)),IF(ISERROR(VLOOKUP(A46,'UTR-A'!$C$51:$C$100,1,FALSE)),IF(ISERROR(VLOOKUP(A46,'FAI-S A'!$C$51:$C$100,1,FALSE)),"","S A"),"A"),"AA"),"AAA"),"ML")</f>
        <v/>
      </c>
      <c r="C46" s="242"/>
      <c r="D46" s="242" t="str">
        <f t="shared" si="22"/>
        <v>K</v>
      </c>
      <c r="E46" s="20" t="s">
        <v>87</v>
      </c>
      <c r="F46" s="20" t="s">
        <v>787</v>
      </c>
      <c r="G46" s="20" t="s">
        <v>1197</v>
      </c>
      <c r="H46" s="20" t="s">
        <v>802</v>
      </c>
      <c r="I46" s="20" t="s">
        <v>277</v>
      </c>
      <c r="J46" s="20">
        <v>22</v>
      </c>
      <c r="K46" s="20" t="s">
        <v>85</v>
      </c>
      <c r="L46" s="21" t="s">
        <v>83</v>
      </c>
      <c r="M46" s="20" t="s">
        <v>808</v>
      </c>
      <c r="N46" s="20" t="s">
        <v>773</v>
      </c>
      <c r="O46" s="20" t="s">
        <v>199</v>
      </c>
      <c r="P46" s="21" t="s">
        <v>199</v>
      </c>
      <c r="Q46" s="20">
        <v>4</v>
      </c>
      <c r="R46" s="20">
        <v>3</v>
      </c>
      <c r="S46" s="21">
        <v>5</v>
      </c>
      <c r="T46" s="20">
        <v>6</v>
      </c>
      <c r="U46" s="20">
        <v>5</v>
      </c>
      <c r="V46" s="21">
        <v>6</v>
      </c>
      <c r="W46" s="20">
        <v>7</v>
      </c>
      <c r="X46" s="20">
        <v>8</v>
      </c>
      <c r="Y46" s="20">
        <v>1</v>
      </c>
      <c r="Z46" s="20">
        <v>1</v>
      </c>
      <c r="AA46" s="20" t="s">
        <v>32</v>
      </c>
      <c r="AB46" s="20" t="s">
        <v>32</v>
      </c>
      <c r="AC46" s="20">
        <v>7</v>
      </c>
      <c r="AD46" s="20">
        <v>8</v>
      </c>
      <c r="AE46" s="20" t="s">
        <v>32</v>
      </c>
      <c r="AF46" s="20" t="s">
        <v>32</v>
      </c>
      <c r="AG46" s="20" t="s">
        <v>32</v>
      </c>
      <c r="AH46" s="20" t="s">
        <v>32</v>
      </c>
      <c r="AI46" s="20" t="s">
        <v>32</v>
      </c>
      <c r="AJ46" s="20" t="s">
        <v>32</v>
      </c>
      <c r="AK46" s="20" t="s">
        <v>32</v>
      </c>
      <c r="AL46" s="20" t="s">
        <v>32</v>
      </c>
      <c r="AM46" s="20" t="s">
        <v>32</v>
      </c>
      <c r="AN46" s="20" t="s">
        <v>32</v>
      </c>
      <c r="AO46" s="20" t="s">
        <v>32</v>
      </c>
      <c r="AP46" s="20" t="s">
        <v>32</v>
      </c>
      <c r="AQ46" s="20" t="s">
        <v>32</v>
      </c>
      <c r="AR46" s="20" t="s">
        <v>32</v>
      </c>
      <c r="AS46" s="20" t="s">
        <v>32</v>
      </c>
      <c r="AT46" s="21" t="s">
        <v>32</v>
      </c>
      <c r="AU46" s="20" t="s">
        <v>5</v>
      </c>
      <c r="AV46" s="20">
        <v>7</v>
      </c>
      <c r="AW46" s="75" t="s">
        <v>393</v>
      </c>
      <c r="AX46" s="79" t="s">
        <v>32</v>
      </c>
      <c r="AY46" s="21" t="s">
        <v>33</v>
      </c>
      <c r="AZ46" s="65" t="s">
        <v>779</v>
      </c>
      <c r="BA46" s="301">
        <f t="shared" si="23"/>
        <v>4.5</v>
      </c>
      <c r="BB46" s="302" t="str">
        <f t="shared" si="24"/>
        <v>Bench</v>
      </c>
      <c r="BC46" s="302">
        <f t="shared" si="25"/>
        <v>6.166666666666667</v>
      </c>
      <c r="BD46" s="302" t="str">
        <f t="shared" si="26"/>
        <v>Reg</v>
      </c>
      <c r="BE46" s="302">
        <f t="shared" si="27"/>
        <v>6.166666666666667</v>
      </c>
      <c r="BF46" s="302" t="str">
        <f t="shared" si="28"/>
        <v>Reg</v>
      </c>
      <c r="BG46" s="303">
        <f t="shared" si="29"/>
        <v>3</v>
      </c>
      <c r="BH46" s="304">
        <f t="shared" si="30"/>
        <v>2</v>
      </c>
      <c r="BI46" s="241" t="str">
        <f t="shared" si="31"/>
        <v/>
      </c>
      <c r="BJ46" s="241" t="str">
        <f t="shared" si="32"/>
        <v>Possible</v>
      </c>
      <c r="BK46" s="242" t="str">
        <f t="shared" si="33"/>
        <v>AA</v>
      </c>
      <c r="BL46" s="242">
        <f t="shared" si="34"/>
        <v>12</v>
      </c>
      <c r="BM46" s="242">
        <f t="shared" si="35"/>
        <v>17</v>
      </c>
      <c r="BN46" s="242">
        <f t="shared" si="36"/>
        <v>-2</v>
      </c>
      <c r="BO46" s="242">
        <f t="shared" si="37"/>
        <v>-2</v>
      </c>
      <c r="BP46" s="242">
        <f t="shared" si="38"/>
        <v>-1</v>
      </c>
      <c r="BQ46" s="242">
        <f t="shared" si="39"/>
        <v>-5</v>
      </c>
    </row>
    <row r="47" spans="1:69" s="305" customFormat="1" x14ac:dyDescent="0.25">
      <c r="A47" s="248" t="str">
        <f t="shared" si="21"/>
        <v>Harrison Eggins</v>
      </c>
      <c r="B47" s="248" t="str">
        <f>IF(ISERROR(VLOOKUP(A47,AMA!$C$53:$C$100,1,FALSE)),IF(ISERROR(VLOOKUP(A47,'END-AAA'!$C$51:$C$100,1,FALSE)),IF(ISERROR(VLOOKUP(A47,'DB-AA'!$C$51:$C$100,1,FALSE)),IF(ISERROR(VLOOKUP(A47,'UTR-A'!$C$51:$C$100,1,FALSE)),IF(ISERROR(VLOOKUP(A47,'FAI-S A'!$C$51:$C$100,1,FALSE)),"","S A"),"A"),"AA"),"AAA"),"ML")</f>
        <v/>
      </c>
      <c r="C47" s="242"/>
      <c r="D47" s="242" t="str">
        <f t="shared" si="22"/>
        <v>T</v>
      </c>
      <c r="E47" s="241" t="s">
        <v>11</v>
      </c>
      <c r="F47" s="241" t="s">
        <v>966</v>
      </c>
      <c r="G47" s="241" t="s">
        <v>967</v>
      </c>
      <c r="H47" s="241" t="s">
        <v>783</v>
      </c>
      <c r="I47" s="241" t="s">
        <v>185</v>
      </c>
      <c r="J47" s="241">
        <v>27</v>
      </c>
      <c r="K47" s="241" t="s">
        <v>83</v>
      </c>
      <c r="L47" s="298" t="s">
        <v>83</v>
      </c>
      <c r="M47" s="241" t="s">
        <v>816</v>
      </c>
      <c r="N47" s="241" t="s">
        <v>816</v>
      </c>
      <c r="O47" s="241" t="s">
        <v>200</v>
      </c>
      <c r="P47" s="298" t="s">
        <v>200</v>
      </c>
      <c r="Q47" s="241">
        <v>5</v>
      </c>
      <c r="R47" s="241">
        <v>3</v>
      </c>
      <c r="S47" s="298">
        <v>4</v>
      </c>
      <c r="T47" s="241">
        <v>6</v>
      </c>
      <c r="U47" s="241">
        <v>3</v>
      </c>
      <c r="V47" s="298">
        <v>4</v>
      </c>
      <c r="W47" s="241">
        <v>6</v>
      </c>
      <c r="X47" s="241">
        <v>6</v>
      </c>
      <c r="Y47" s="241" t="s">
        <v>32</v>
      </c>
      <c r="Z47" s="241" t="s">
        <v>32</v>
      </c>
      <c r="AA47" s="241" t="s">
        <v>32</v>
      </c>
      <c r="AB47" s="241" t="s">
        <v>32</v>
      </c>
      <c r="AC47" s="241" t="s">
        <v>32</v>
      </c>
      <c r="AD47" s="241" t="s">
        <v>32</v>
      </c>
      <c r="AE47" s="241">
        <v>6</v>
      </c>
      <c r="AF47" s="241">
        <v>6</v>
      </c>
      <c r="AG47" s="241" t="s">
        <v>32</v>
      </c>
      <c r="AH47" s="241" t="s">
        <v>32</v>
      </c>
      <c r="AI47" s="241" t="s">
        <v>32</v>
      </c>
      <c r="AJ47" s="241" t="s">
        <v>32</v>
      </c>
      <c r="AK47" s="241" t="s">
        <v>32</v>
      </c>
      <c r="AL47" s="241" t="s">
        <v>32</v>
      </c>
      <c r="AM47" s="241" t="s">
        <v>32</v>
      </c>
      <c r="AN47" s="241" t="s">
        <v>32</v>
      </c>
      <c r="AO47" s="241" t="s">
        <v>32</v>
      </c>
      <c r="AP47" s="241" t="s">
        <v>32</v>
      </c>
      <c r="AQ47" s="241" t="s">
        <v>32</v>
      </c>
      <c r="AR47" s="241" t="s">
        <v>32</v>
      </c>
      <c r="AS47" s="241" t="s">
        <v>32</v>
      </c>
      <c r="AT47" s="298" t="s">
        <v>32</v>
      </c>
      <c r="AU47" s="241" t="s">
        <v>2</v>
      </c>
      <c r="AV47" s="241">
        <v>9</v>
      </c>
      <c r="AW47" s="299" t="s">
        <v>393</v>
      </c>
      <c r="AX47" s="300" t="s">
        <v>32</v>
      </c>
      <c r="AY47" s="298">
        <v>0</v>
      </c>
      <c r="AZ47" s="240" t="s">
        <v>199</v>
      </c>
      <c r="BA47" s="301">
        <f t="shared" si="23"/>
        <v>4.5</v>
      </c>
      <c r="BB47" s="302" t="str">
        <f t="shared" si="24"/>
        <v>Bench</v>
      </c>
      <c r="BC47" s="302">
        <f t="shared" si="25"/>
        <v>4.833333333333333</v>
      </c>
      <c r="BD47" s="302" t="str">
        <f t="shared" si="26"/>
        <v>Bench</v>
      </c>
      <c r="BE47" s="302">
        <f t="shared" si="27"/>
        <v>4.833333333333333</v>
      </c>
      <c r="BF47" s="302" t="str">
        <f t="shared" si="28"/>
        <v>Bench</v>
      </c>
      <c r="BG47" s="303">
        <f t="shared" si="29"/>
        <v>2</v>
      </c>
      <c r="BH47" s="304">
        <f t="shared" si="30"/>
        <v>2</v>
      </c>
      <c r="BI47" s="241" t="str">
        <f t="shared" si="31"/>
        <v/>
      </c>
      <c r="BJ47" s="241" t="str">
        <f t="shared" si="32"/>
        <v>Possible</v>
      </c>
      <c r="BK47" s="242" t="str">
        <f t="shared" si="33"/>
        <v>AA</v>
      </c>
      <c r="BL47" s="242">
        <f t="shared" si="34"/>
        <v>12</v>
      </c>
      <c r="BM47" s="242">
        <f t="shared" si="35"/>
        <v>13</v>
      </c>
      <c r="BN47" s="242">
        <f t="shared" si="36"/>
        <v>-1</v>
      </c>
      <c r="BO47" s="242">
        <f t="shared" si="37"/>
        <v>0</v>
      </c>
      <c r="BP47" s="242">
        <f t="shared" si="38"/>
        <v>0</v>
      </c>
      <c r="BQ47" s="242">
        <f t="shared" si="39"/>
        <v>-1</v>
      </c>
    </row>
    <row r="48" spans="1:69" s="305" customFormat="1" x14ac:dyDescent="0.25">
      <c r="A48" s="248" t="str">
        <f t="shared" si="21"/>
        <v>Daniel López</v>
      </c>
      <c r="B48" s="248" t="str">
        <f>IF(ISERROR(VLOOKUP(A48,AMA!$C$53:$C$100,1,FALSE)),IF(ISERROR(VLOOKUP(A48,'END-AAA'!$C$51:$C$100,1,FALSE)),IF(ISERROR(VLOOKUP(A48,'DB-AA'!$C$51:$C$100,1,FALSE)),IF(ISERROR(VLOOKUP(A48,'UTR-A'!$C$51:$C$100,1,FALSE)),IF(ISERROR(VLOOKUP(A48,'FAI-S A'!$C$51:$C$100,1,FALSE)),"","S A"),"A"),"AA"),"AAA"),"ML")</f>
        <v/>
      </c>
      <c r="C48" s="242"/>
      <c r="D48" s="242" t="str">
        <f t="shared" si="22"/>
        <v>T</v>
      </c>
      <c r="E48" s="241" t="s">
        <v>87</v>
      </c>
      <c r="F48" s="241" t="s">
        <v>986</v>
      </c>
      <c r="G48" s="241" t="s">
        <v>427</v>
      </c>
      <c r="H48" s="241" t="s">
        <v>769</v>
      </c>
      <c r="I48" s="241" t="s">
        <v>186</v>
      </c>
      <c r="J48" s="241">
        <v>27</v>
      </c>
      <c r="K48" s="241" t="s">
        <v>83</v>
      </c>
      <c r="L48" s="298" t="s">
        <v>83</v>
      </c>
      <c r="M48" s="241" t="s">
        <v>808</v>
      </c>
      <c r="N48" s="241" t="s">
        <v>808</v>
      </c>
      <c r="O48" s="241" t="s">
        <v>200</v>
      </c>
      <c r="P48" s="298" t="s">
        <v>201</v>
      </c>
      <c r="Q48" s="241">
        <v>6</v>
      </c>
      <c r="R48" s="241">
        <v>2</v>
      </c>
      <c r="S48" s="298">
        <v>4</v>
      </c>
      <c r="T48" s="241">
        <v>6</v>
      </c>
      <c r="U48" s="241">
        <v>2</v>
      </c>
      <c r="V48" s="298">
        <v>4</v>
      </c>
      <c r="W48" s="241">
        <v>8</v>
      </c>
      <c r="X48" s="241">
        <v>8</v>
      </c>
      <c r="Y48" s="241">
        <v>2</v>
      </c>
      <c r="Z48" s="241">
        <v>2</v>
      </c>
      <c r="AA48" s="241">
        <v>8</v>
      </c>
      <c r="AB48" s="241">
        <v>9</v>
      </c>
      <c r="AC48" s="241" t="s">
        <v>32</v>
      </c>
      <c r="AD48" s="241" t="s">
        <v>32</v>
      </c>
      <c r="AE48" s="241" t="s">
        <v>32</v>
      </c>
      <c r="AF48" s="241" t="s">
        <v>32</v>
      </c>
      <c r="AG48" s="241" t="s">
        <v>32</v>
      </c>
      <c r="AH48" s="241" t="s">
        <v>32</v>
      </c>
      <c r="AI48" s="241" t="s">
        <v>32</v>
      </c>
      <c r="AJ48" s="241" t="s">
        <v>32</v>
      </c>
      <c r="AK48" s="241" t="s">
        <v>32</v>
      </c>
      <c r="AL48" s="241" t="s">
        <v>32</v>
      </c>
      <c r="AM48" s="241" t="s">
        <v>32</v>
      </c>
      <c r="AN48" s="241" t="s">
        <v>32</v>
      </c>
      <c r="AO48" s="241" t="s">
        <v>32</v>
      </c>
      <c r="AP48" s="241" t="s">
        <v>32</v>
      </c>
      <c r="AQ48" s="241" t="s">
        <v>32</v>
      </c>
      <c r="AR48" s="241" t="s">
        <v>32</v>
      </c>
      <c r="AS48" s="241" t="s">
        <v>32</v>
      </c>
      <c r="AT48" s="298" t="s">
        <v>32</v>
      </c>
      <c r="AU48" s="241" t="s">
        <v>2</v>
      </c>
      <c r="AV48" s="241">
        <v>9</v>
      </c>
      <c r="AW48" s="299" t="s">
        <v>395</v>
      </c>
      <c r="AX48" s="300" t="s">
        <v>32</v>
      </c>
      <c r="AY48" s="298">
        <v>0</v>
      </c>
      <c r="AZ48" s="240" t="s">
        <v>199</v>
      </c>
      <c r="BA48" s="301">
        <f t="shared" si="23"/>
        <v>4.5</v>
      </c>
      <c r="BB48" s="302" t="str">
        <f t="shared" si="24"/>
        <v>Bench</v>
      </c>
      <c r="BC48" s="302">
        <f t="shared" si="25"/>
        <v>4.5</v>
      </c>
      <c r="BD48" s="302" t="str">
        <f t="shared" si="26"/>
        <v>Bench</v>
      </c>
      <c r="BE48" s="302">
        <f t="shared" si="27"/>
        <v>4.5</v>
      </c>
      <c r="BF48" s="302" t="str">
        <f t="shared" si="28"/>
        <v>Bench</v>
      </c>
      <c r="BG48" s="303">
        <f t="shared" si="29"/>
        <v>3</v>
      </c>
      <c r="BH48" s="304">
        <f t="shared" si="30"/>
        <v>2</v>
      </c>
      <c r="BI48" s="241" t="str">
        <f t="shared" si="31"/>
        <v/>
      </c>
      <c r="BJ48" s="241" t="str">
        <f t="shared" si="32"/>
        <v>Possible</v>
      </c>
      <c r="BK48" s="242" t="str">
        <f t="shared" si="33"/>
        <v>AA</v>
      </c>
      <c r="BL48" s="242">
        <f t="shared" si="34"/>
        <v>12</v>
      </c>
      <c r="BM48" s="242">
        <f t="shared" si="35"/>
        <v>12</v>
      </c>
      <c r="BN48" s="242">
        <f t="shared" si="36"/>
        <v>0</v>
      </c>
      <c r="BO48" s="242">
        <f t="shared" si="37"/>
        <v>0</v>
      </c>
      <c r="BP48" s="242">
        <f t="shared" si="38"/>
        <v>0</v>
      </c>
      <c r="BQ48" s="242">
        <f t="shared" si="39"/>
        <v>0</v>
      </c>
    </row>
    <row r="49" spans="1:69" s="305" customFormat="1" x14ac:dyDescent="0.25">
      <c r="A49" s="248" t="str">
        <f t="shared" si="21"/>
        <v>Jim Lewis</v>
      </c>
      <c r="B49" s="248" t="str">
        <f>IF(ISERROR(VLOOKUP(A49,AMA!$C$53:$C$100,1,FALSE)),IF(ISERROR(VLOOKUP(A49,'END-AAA'!$C$51:$C$100,1,FALSE)),IF(ISERROR(VLOOKUP(A49,'DB-AA'!$C$51:$C$100,1,FALSE)),IF(ISERROR(VLOOKUP(A49,'UTR-A'!$C$51:$C$100,1,FALSE)),IF(ISERROR(VLOOKUP(A49,'FAI-S A'!$C$51:$C$100,1,FALSE)),"","S A"),"A"),"AA"),"AAA"),"ML")</f>
        <v/>
      </c>
      <c r="C49" s="242"/>
      <c r="D49" s="242" t="str">
        <f t="shared" si="22"/>
        <v>K</v>
      </c>
      <c r="E49" s="241" t="s">
        <v>11</v>
      </c>
      <c r="F49" s="241" t="s">
        <v>492</v>
      </c>
      <c r="G49" s="241" t="s">
        <v>984</v>
      </c>
      <c r="H49" s="241" t="s">
        <v>814</v>
      </c>
      <c r="I49" s="241" t="s">
        <v>187</v>
      </c>
      <c r="J49" s="241">
        <v>24</v>
      </c>
      <c r="K49" s="241" t="s">
        <v>83</v>
      </c>
      <c r="L49" s="298" t="s">
        <v>83</v>
      </c>
      <c r="M49" s="241" t="s">
        <v>816</v>
      </c>
      <c r="N49" s="241" t="s">
        <v>816</v>
      </c>
      <c r="O49" s="241" t="s">
        <v>200</v>
      </c>
      <c r="P49" s="298" t="s">
        <v>199</v>
      </c>
      <c r="Q49" s="241">
        <v>6</v>
      </c>
      <c r="R49" s="241">
        <v>1</v>
      </c>
      <c r="S49" s="298">
        <v>5</v>
      </c>
      <c r="T49" s="241">
        <v>6</v>
      </c>
      <c r="U49" s="241">
        <v>1</v>
      </c>
      <c r="V49" s="298">
        <v>5</v>
      </c>
      <c r="W49" s="241">
        <v>8</v>
      </c>
      <c r="X49" s="241">
        <v>8</v>
      </c>
      <c r="Y49" s="241">
        <v>1</v>
      </c>
      <c r="Z49" s="241">
        <v>1</v>
      </c>
      <c r="AA49" s="241" t="s">
        <v>32</v>
      </c>
      <c r="AB49" s="241" t="s">
        <v>32</v>
      </c>
      <c r="AC49" s="241">
        <v>6</v>
      </c>
      <c r="AD49" s="241">
        <v>7</v>
      </c>
      <c r="AE49" s="241" t="s">
        <v>32</v>
      </c>
      <c r="AF49" s="241" t="s">
        <v>32</v>
      </c>
      <c r="AG49" s="241" t="s">
        <v>32</v>
      </c>
      <c r="AH49" s="241" t="s">
        <v>32</v>
      </c>
      <c r="AI49" s="241" t="s">
        <v>32</v>
      </c>
      <c r="AJ49" s="241" t="s">
        <v>32</v>
      </c>
      <c r="AK49" s="241" t="s">
        <v>32</v>
      </c>
      <c r="AL49" s="241" t="s">
        <v>32</v>
      </c>
      <c r="AM49" s="241" t="s">
        <v>32</v>
      </c>
      <c r="AN49" s="241" t="s">
        <v>32</v>
      </c>
      <c r="AO49" s="241" t="s">
        <v>32</v>
      </c>
      <c r="AP49" s="241" t="s">
        <v>32</v>
      </c>
      <c r="AQ49" s="241" t="s">
        <v>32</v>
      </c>
      <c r="AR49" s="241" t="s">
        <v>32</v>
      </c>
      <c r="AS49" s="241" t="s">
        <v>32</v>
      </c>
      <c r="AT49" s="298" t="s">
        <v>32</v>
      </c>
      <c r="AU49" s="241" t="s">
        <v>4</v>
      </c>
      <c r="AV49" s="241">
        <v>9</v>
      </c>
      <c r="AW49" s="299" t="s">
        <v>40</v>
      </c>
      <c r="AX49" s="300" t="s">
        <v>32</v>
      </c>
      <c r="AY49" s="298" t="s">
        <v>33</v>
      </c>
      <c r="AZ49" s="240" t="s">
        <v>779</v>
      </c>
      <c r="BA49" s="301">
        <f t="shared" si="23"/>
        <v>4.5</v>
      </c>
      <c r="BB49" s="302" t="str">
        <f t="shared" si="24"/>
        <v>Bench</v>
      </c>
      <c r="BC49" s="302">
        <f t="shared" si="25"/>
        <v>4.5</v>
      </c>
      <c r="BD49" s="302" t="str">
        <f t="shared" si="26"/>
        <v>Bench</v>
      </c>
      <c r="BE49" s="302">
        <f t="shared" si="27"/>
        <v>4.5</v>
      </c>
      <c r="BF49" s="302" t="str">
        <f t="shared" si="28"/>
        <v>Bench</v>
      </c>
      <c r="BG49" s="303">
        <f t="shared" si="29"/>
        <v>3</v>
      </c>
      <c r="BH49" s="304">
        <f t="shared" si="30"/>
        <v>2</v>
      </c>
      <c r="BI49" s="241" t="str">
        <f t="shared" si="31"/>
        <v/>
      </c>
      <c r="BJ49" s="241" t="str">
        <f t="shared" si="32"/>
        <v>Possible</v>
      </c>
      <c r="BK49" s="242" t="str">
        <f t="shared" si="33"/>
        <v>AA</v>
      </c>
      <c r="BL49" s="242">
        <f t="shared" si="34"/>
        <v>12</v>
      </c>
      <c r="BM49" s="242">
        <f t="shared" si="35"/>
        <v>12</v>
      </c>
      <c r="BN49" s="242">
        <f t="shared" si="36"/>
        <v>0</v>
      </c>
      <c r="BO49" s="242">
        <f t="shared" si="37"/>
        <v>0</v>
      </c>
      <c r="BP49" s="242">
        <f t="shared" si="38"/>
        <v>0</v>
      </c>
      <c r="BQ49" s="242">
        <f t="shared" si="39"/>
        <v>0</v>
      </c>
    </row>
    <row r="50" spans="1:69" s="305" customFormat="1" x14ac:dyDescent="0.25">
      <c r="A50" s="248" t="str">
        <f t="shared" si="21"/>
        <v>Hachemon Suzuki</v>
      </c>
      <c r="B50" s="248" t="str">
        <f>IF(ISERROR(VLOOKUP(A50,AMA!$C$53:$C$100,1,FALSE)),IF(ISERROR(VLOOKUP(A50,'END-AAA'!$C$51:$C$100,1,FALSE)),IF(ISERROR(VLOOKUP(A50,'DB-AA'!$C$51:$C$100,1,FALSE)),IF(ISERROR(VLOOKUP(A50,'UTR-A'!$C$51:$C$100,1,FALSE)),IF(ISERROR(VLOOKUP(A50,'FAI-S A'!$C$51:$C$100,1,FALSE)),"","S A"),"A"),"AA"),"AAA"),"ML")</f>
        <v/>
      </c>
      <c r="C50" s="242"/>
      <c r="D50" s="242" t="str">
        <f t="shared" si="22"/>
        <v>K</v>
      </c>
      <c r="E50" s="241" t="s">
        <v>11</v>
      </c>
      <c r="F50" s="241" t="s">
        <v>1208</v>
      </c>
      <c r="G50" s="241" t="s">
        <v>496</v>
      </c>
      <c r="H50" s="241" t="s">
        <v>769</v>
      </c>
      <c r="I50" s="241" t="s">
        <v>186</v>
      </c>
      <c r="J50" s="241">
        <v>24</v>
      </c>
      <c r="K50" s="241" t="s">
        <v>83</v>
      </c>
      <c r="L50" s="298" t="s">
        <v>83</v>
      </c>
      <c r="M50" s="241" t="s">
        <v>816</v>
      </c>
      <c r="N50" s="241" t="s">
        <v>808</v>
      </c>
      <c r="O50" s="241" t="s">
        <v>199</v>
      </c>
      <c r="P50" s="298" t="s">
        <v>199</v>
      </c>
      <c r="Q50" s="241">
        <v>6</v>
      </c>
      <c r="R50" s="241">
        <v>3</v>
      </c>
      <c r="S50" s="298">
        <v>2</v>
      </c>
      <c r="T50" s="241">
        <v>8</v>
      </c>
      <c r="U50" s="241">
        <v>4</v>
      </c>
      <c r="V50" s="298">
        <v>3</v>
      </c>
      <c r="W50" s="241">
        <v>7</v>
      </c>
      <c r="X50" s="241">
        <v>8</v>
      </c>
      <c r="Y50" s="241" t="s">
        <v>32</v>
      </c>
      <c r="Z50" s="241" t="s">
        <v>32</v>
      </c>
      <c r="AA50" s="241">
        <v>4</v>
      </c>
      <c r="AB50" s="241">
        <v>7</v>
      </c>
      <c r="AC50" s="241">
        <v>4</v>
      </c>
      <c r="AD50" s="241">
        <v>5</v>
      </c>
      <c r="AE50" s="241" t="s">
        <v>32</v>
      </c>
      <c r="AF50" s="241" t="s">
        <v>32</v>
      </c>
      <c r="AG50" s="241" t="s">
        <v>32</v>
      </c>
      <c r="AH50" s="241" t="s">
        <v>32</v>
      </c>
      <c r="AI50" s="241" t="s">
        <v>32</v>
      </c>
      <c r="AJ50" s="241" t="s">
        <v>32</v>
      </c>
      <c r="AK50" s="241" t="s">
        <v>32</v>
      </c>
      <c r="AL50" s="241" t="s">
        <v>32</v>
      </c>
      <c r="AM50" s="241" t="s">
        <v>32</v>
      </c>
      <c r="AN50" s="241" t="s">
        <v>32</v>
      </c>
      <c r="AO50" s="241" t="s">
        <v>32</v>
      </c>
      <c r="AP50" s="241" t="s">
        <v>32</v>
      </c>
      <c r="AQ50" s="241">
        <v>3</v>
      </c>
      <c r="AR50" s="241">
        <v>4</v>
      </c>
      <c r="AS50" s="241" t="s">
        <v>32</v>
      </c>
      <c r="AT50" s="298" t="s">
        <v>32</v>
      </c>
      <c r="AU50" s="241" t="s">
        <v>326</v>
      </c>
      <c r="AV50" s="241">
        <v>6</v>
      </c>
      <c r="AW50" s="299" t="s">
        <v>394</v>
      </c>
      <c r="AX50" s="300" t="s">
        <v>32</v>
      </c>
      <c r="AY50" s="298" t="s">
        <v>33</v>
      </c>
      <c r="AZ50" s="240" t="s">
        <v>779</v>
      </c>
      <c r="BA50" s="301">
        <f t="shared" si="23"/>
        <v>4.4166666666666661</v>
      </c>
      <c r="BB50" s="302" t="str">
        <f t="shared" si="24"/>
        <v>Bench</v>
      </c>
      <c r="BC50" s="302">
        <f t="shared" si="25"/>
        <v>5.75</v>
      </c>
      <c r="BD50" s="302" t="str">
        <f t="shared" si="26"/>
        <v>Reg</v>
      </c>
      <c r="BE50" s="302">
        <f t="shared" si="27"/>
        <v>5.75</v>
      </c>
      <c r="BF50" s="302" t="str">
        <f t="shared" si="28"/>
        <v>Reg</v>
      </c>
      <c r="BG50" s="303">
        <f t="shared" si="29"/>
        <v>4</v>
      </c>
      <c r="BH50" s="304">
        <f t="shared" si="30"/>
        <v>1.5</v>
      </c>
      <c r="BI50" s="241" t="str">
        <f t="shared" si="31"/>
        <v/>
      </c>
      <c r="BJ50" s="241" t="str">
        <f t="shared" si="32"/>
        <v>Possible</v>
      </c>
      <c r="BK50" s="242" t="str">
        <f t="shared" si="33"/>
        <v>A</v>
      </c>
      <c r="BL50" s="242">
        <f t="shared" si="34"/>
        <v>11</v>
      </c>
      <c r="BM50" s="242">
        <f t="shared" si="35"/>
        <v>15</v>
      </c>
      <c r="BN50" s="242">
        <f t="shared" si="36"/>
        <v>-2</v>
      </c>
      <c r="BO50" s="242">
        <f t="shared" si="37"/>
        <v>-1</v>
      </c>
      <c r="BP50" s="242">
        <f t="shared" si="38"/>
        <v>-1</v>
      </c>
      <c r="BQ50" s="242">
        <f t="shared" si="39"/>
        <v>-4</v>
      </c>
    </row>
    <row r="51" spans="1:69" s="305" customFormat="1" x14ac:dyDescent="0.25">
      <c r="A51" s="248" t="str">
        <f t="shared" si="21"/>
        <v>Alfredo Ríos</v>
      </c>
      <c r="B51" s="248" t="str">
        <f>IF(ISERROR(VLOOKUP(A51,AMA!$C$53:$C$100,1,FALSE)),IF(ISERROR(VLOOKUP(A51,'END-AAA'!$C$51:$C$100,1,FALSE)),IF(ISERROR(VLOOKUP(A51,'DB-AA'!$C$51:$C$100,1,FALSE)),IF(ISERROR(VLOOKUP(A51,'UTR-A'!$C$51:$C$100,1,FALSE)),IF(ISERROR(VLOOKUP(A51,'FAI-S A'!$C$51:$C$100,1,FALSE)),"","S A"),"A"),"AA"),"AAA"),"ML")</f>
        <v/>
      </c>
      <c r="C51" s="242"/>
      <c r="D51" s="242" t="str">
        <f t="shared" si="22"/>
        <v>T</v>
      </c>
      <c r="E51" s="241" t="s">
        <v>11</v>
      </c>
      <c r="F51" s="241" t="s">
        <v>417</v>
      </c>
      <c r="G51" s="241" t="s">
        <v>770</v>
      </c>
      <c r="H51" s="241" t="s">
        <v>810</v>
      </c>
      <c r="I51" s="241" t="s">
        <v>83</v>
      </c>
      <c r="J51" s="241">
        <v>19</v>
      </c>
      <c r="K51" s="241" t="s">
        <v>83</v>
      </c>
      <c r="L51" s="298" t="s">
        <v>83</v>
      </c>
      <c r="M51" s="241" t="s">
        <v>816</v>
      </c>
      <c r="N51" s="241" t="s">
        <v>808</v>
      </c>
      <c r="O51" s="241" t="s">
        <v>200</v>
      </c>
      <c r="P51" s="298" t="s">
        <v>200</v>
      </c>
      <c r="Q51" s="241">
        <v>6</v>
      </c>
      <c r="R51" s="241">
        <v>3</v>
      </c>
      <c r="S51" s="298">
        <v>2</v>
      </c>
      <c r="T51" s="241">
        <v>7</v>
      </c>
      <c r="U51" s="241">
        <v>3</v>
      </c>
      <c r="V51" s="298">
        <v>4</v>
      </c>
      <c r="W51" s="241">
        <v>7</v>
      </c>
      <c r="X51" s="241">
        <v>7</v>
      </c>
      <c r="Y51" s="241">
        <v>1</v>
      </c>
      <c r="Z51" s="241">
        <v>1</v>
      </c>
      <c r="AA51" s="241">
        <v>3</v>
      </c>
      <c r="AB51" s="241">
        <v>6</v>
      </c>
      <c r="AC51" s="241" t="s">
        <v>32</v>
      </c>
      <c r="AD51" s="241" t="s">
        <v>32</v>
      </c>
      <c r="AE51" s="241">
        <v>5</v>
      </c>
      <c r="AF51" s="241">
        <v>6</v>
      </c>
      <c r="AG51" s="241" t="s">
        <v>32</v>
      </c>
      <c r="AH51" s="241" t="s">
        <v>32</v>
      </c>
      <c r="AI51" s="241" t="s">
        <v>32</v>
      </c>
      <c r="AJ51" s="241" t="s">
        <v>32</v>
      </c>
      <c r="AK51" s="241" t="s">
        <v>32</v>
      </c>
      <c r="AL51" s="241" t="s">
        <v>32</v>
      </c>
      <c r="AM51" s="241" t="s">
        <v>32</v>
      </c>
      <c r="AN51" s="241" t="s">
        <v>32</v>
      </c>
      <c r="AO51" s="241" t="s">
        <v>32</v>
      </c>
      <c r="AP51" s="241" t="s">
        <v>32</v>
      </c>
      <c r="AQ51" s="241" t="s">
        <v>32</v>
      </c>
      <c r="AR51" s="241" t="s">
        <v>32</v>
      </c>
      <c r="AS51" s="241" t="s">
        <v>32</v>
      </c>
      <c r="AT51" s="298" t="s">
        <v>32</v>
      </c>
      <c r="AU51" s="241" t="s">
        <v>333</v>
      </c>
      <c r="AV51" s="241">
        <v>7</v>
      </c>
      <c r="AW51" s="299" t="s">
        <v>394</v>
      </c>
      <c r="AX51" s="300" t="s">
        <v>32</v>
      </c>
      <c r="AY51" s="298" t="s">
        <v>33</v>
      </c>
      <c r="AZ51" s="240" t="s">
        <v>201</v>
      </c>
      <c r="BA51" s="301">
        <f t="shared" si="23"/>
        <v>4.4166666666666661</v>
      </c>
      <c r="BB51" s="302" t="str">
        <f t="shared" si="24"/>
        <v>Bench</v>
      </c>
      <c r="BC51" s="302">
        <f t="shared" si="25"/>
        <v>5.416666666666667</v>
      </c>
      <c r="BD51" s="302" t="str">
        <f t="shared" si="26"/>
        <v>Reg</v>
      </c>
      <c r="BE51" s="302">
        <f t="shared" si="27"/>
        <v>5.416666666666667</v>
      </c>
      <c r="BF51" s="302" t="str">
        <f t="shared" si="28"/>
        <v>Reg</v>
      </c>
      <c r="BG51" s="303">
        <f t="shared" si="29"/>
        <v>4</v>
      </c>
      <c r="BH51" s="304">
        <f t="shared" si="30"/>
        <v>2</v>
      </c>
      <c r="BI51" s="241" t="str">
        <f t="shared" si="31"/>
        <v/>
      </c>
      <c r="BJ51" s="241" t="str">
        <f t="shared" si="32"/>
        <v>Possible</v>
      </c>
      <c r="BK51" s="242" t="str">
        <f t="shared" si="33"/>
        <v>A</v>
      </c>
      <c r="BL51" s="242">
        <f t="shared" si="34"/>
        <v>11</v>
      </c>
      <c r="BM51" s="242">
        <f t="shared" si="35"/>
        <v>14</v>
      </c>
      <c r="BN51" s="242">
        <f t="shared" si="36"/>
        <v>-1</v>
      </c>
      <c r="BO51" s="242">
        <f t="shared" si="37"/>
        <v>0</v>
      </c>
      <c r="BP51" s="242">
        <f t="shared" si="38"/>
        <v>-2</v>
      </c>
      <c r="BQ51" s="242">
        <f t="shared" si="39"/>
        <v>-3</v>
      </c>
    </row>
    <row r="52" spans="1:69" s="305" customFormat="1" x14ac:dyDescent="0.25">
      <c r="A52" s="248" t="str">
        <f t="shared" si="21"/>
        <v>Ánibal Ortíz</v>
      </c>
      <c r="B52" s="248" t="str">
        <f>IF(ISERROR(VLOOKUP(A52,AMA!$C$53:$C$100,1,FALSE)),IF(ISERROR(VLOOKUP(A52,'END-AAA'!$C$51:$C$100,1,FALSE)),IF(ISERROR(VLOOKUP(A52,'DB-AA'!$C$51:$C$100,1,FALSE)),IF(ISERROR(VLOOKUP(A52,'UTR-A'!$C$51:$C$100,1,FALSE)),IF(ISERROR(VLOOKUP(A52,'FAI-S A'!$C$51:$C$100,1,FALSE)),"","S A"),"A"),"AA"),"AAA"),"ML")</f>
        <v/>
      </c>
      <c r="C52" s="242"/>
      <c r="D52" s="242" t="str">
        <f t="shared" si="22"/>
        <v>T</v>
      </c>
      <c r="E52" s="241" t="s">
        <v>87</v>
      </c>
      <c r="F52" s="241" t="s">
        <v>890</v>
      </c>
      <c r="G52" s="241" t="s">
        <v>433</v>
      </c>
      <c r="H52" s="241" t="s">
        <v>814</v>
      </c>
      <c r="I52" s="241" t="s">
        <v>187</v>
      </c>
      <c r="J52" s="241">
        <v>23</v>
      </c>
      <c r="K52" s="241" t="s">
        <v>83</v>
      </c>
      <c r="L52" s="298" t="s">
        <v>83</v>
      </c>
      <c r="M52" s="241" t="s">
        <v>808</v>
      </c>
      <c r="N52" s="241" t="s">
        <v>773</v>
      </c>
      <c r="O52" s="241" t="s">
        <v>200</v>
      </c>
      <c r="P52" s="298" t="s">
        <v>200</v>
      </c>
      <c r="Q52" s="241">
        <v>6</v>
      </c>
      <c r="R52" s="241">
        <v>1</v>
      </c>
      <c r="S52" s="298">
        <v>4</v>
      </c>
      <c r="T52" s="241">
        <v>6</v>
      </c>
      <c r="U52" s="241">
        <v>2</v>
      </c>
      <c r="V52" s="298">
        <v>6</v>
      </c>
      <c r="W52" s="241">
        <v>7</v>
      </c>
      <c r="X52" s="241">
        <v>7</v>
      </c>
      <c r="Y52" s="241">
        <v>2</v>
      </c>
      <c r="Z52" s="241">
        <v>2</v>
      </c>
      <c r="AA52" s="241" t="s">
        <v>32</v>
      </c>
      <c r="AB52" s="241" t="s">
        <v>32</v>
      </c>
      <c r="AC52" s="241">
        <v>6</v>
      </c>
      <c r="AD52" s="241">
        <v>6</v>
      </c>
      <c r="AE52" s="241" t="s">
        <v>32</v>
      </c>
      <c r="AF52" s="241" t="s">
        <v>32</v>
      </c>
      <c r="AG52" s="241" t="s">
        <v>32</v>
      </c>
      <c r="AH52" s="241" t="s">
        <v>32</v>
      </c>
      <c r="AI52" s="241" t="s">
        <v>32</v>
      </c>
      <c r="AJ52" s="241" t="s">
        <v>32</v>
      </c>
      <c r="AK52" s="241">
        <v>7</v>
      </c>
      <c r="AL52" s="241">
        <v>7</v>
      </c>
      <c r="AM52" s="241" t="s">
        <v>32</v>
      </c>
      <c r="AN52" s="241" t="s">
        <v>32</v>
      </c>
      <c r="AO52" s="241" t="s">
        <v>32</v>
      </c>
      <c r="AP52" s="241" t="s">
        <v>32</v>
      </c>
      <c r="AQ52" s="241" t="s">
        <v>32</v>
      </c>
      <c r="AR52" s="241" t="s">
        <v>32</v>
      </c>
      <c r="AS52" s="241" t="s">
        <v>32</v>
      </c>
      <c r="AT52" s="298" t="s">
        <v>32</v>
      </c>
      <c r="AU52" s="241" t="s">
        <v>5</v>
      </c>
      <c r="AV52" s="241">
        <v>6</v>
      </c>
      <c r="AW52" s="299" t="s">
        <v>40</v>
      </c>
      <c r="AX52" s="300" t="s">
        <v>32</v>
      </c>
      <c r="AY52" s="298">
        <v>0</v>
      </c>
      <c r="AZ52" s="240" t="s">
        <v>199</v>
      </c>
      <c r="BA52" s="301">
        <f t="shared" si="23"/>
        <v>4.4166666666666661</v>
      </c>
      <c r="BB52" s="302" t="str">
        <f t="shared" si="24"/>
        <v>Bench</v>
      </c>
      <c r="BC52" s="302">
        <f t="shared" si="25"/>
        <v>5.416666666666667</v>
      </c>
      <c r="BD52" s="302" t="str">
        <f t="shared" si="26"/>
        <v>Reg</v>
      </c>
      <c r="BE52" s="302">
        <f t="shared" si="27"/>
        <v>5.416666666666667</v>
      </c>
      <c r="BF52" s="302" t="str">
        <f t="shared" si="28"/>
        <v>Reg</v>
      </c>
      <c r="BG52" s="303">
        <f t="shared" si="29"/>
        <v>4</v>
      </c>
      <c r="BH52" s="304">
        <f t="shared" si="30"/>
        <v>3</v>
      </c>
      <c r="BI52" s="241" t="str">
        <f t="shared" si="31"/>
        <v/>
      </c>
      <c r="BJ52" s="241" t="str">
        <f t="shared" si="32"/>
        <v>Possible</v>
      </c>
      <c r="BK52" s="242" t="str">
        <f t="shared" si="33"/>
        <v>A</v>
      </c>
      <c r="BL52" s="242">
        <f t="shared" si="34"/>
        <v>11</v>
      </c>
      <c r="BM52" s="242">
        <f t="shared" si="35"/>
        <v>14</v>
      </c>
      <c r="BN52" s="242">
        <f t="shared" si="36"/>
        <v>0</v>
      </c>
      <c r="BO52" s="242">
        <f t="shared" si="37"/>
        <v>-1</v>
      </c>
      <c r="BP52" s="242">
        <f t="shared" si="38"/>
        <v>-2</v>
      </c>
      <c r="BQ52" s="242">
        <f t="shared" si="39"/>
        <v>-3</v>
      </c>
    </row>
    <row r="53" spans="1:69" s="305" customFormat="1" x14ac:dyDescent="0.25">
      <c r="A53" s="248" t="str">
        <f t="shared" si="21"/>
        <v>Dave McNeal</v>
      </c>
      <c r="B53" s="248" t="str">
        <f>IF(ISERROR(VLOOKUP(A53,AMA!$C$53:$C$100,1,FALSE)),IF(ISERROR(VLOOKUP(A53,'END-AAA'!$C$51:$C$100,1,FALSE)),IF(ISERROR(VLOOKUP(A53,'DB-AA'!$C$51:$C$100,1,FALSE)),IF(ISERROR(VLOOKUP(A53,'UTR-A'!$C$51:$C$100,1,FALSE)),IF(ISERROR(VLOOKUP(A53,'FAI-S A'!$C$51:$C$100,1,FALSE)),"","S A"),"A"),"AA"),"AAA"),"ML")</f>
        <v/>
      </c>
      <c r="C53" s="242"/>
      <c r="D53" s="242" t="str">
        <f t="shared" si="22"/>
        <v>T</v>
      </c>
      <c r="E53" s="241" t="s">
        <v>11</v>
      </c>
      <c r="F53" s="241" t="s">
        <v>414</v>
      </c>
      <c r="G53" s="241" t="s">
        <v>993</v>
      </c>
      <c r="H53" s="241" t="s">
        <v>769</v>
      </c>
      <c r="I53" s="241" t="s">
        <v>186</v>
      </c>
      <c r="J53" s="241">
        <v>25</v>
      </c>
      <c r="K53" s="241" t="s">
        <v>83</v>
      </c>
      <c r="L53" s="298" t="s">
        <v>83</v>
      </c>
      <c r="M53" s="241" t="s">
        <v>816</v>
      </c>
      <c r="N53" s="241" t="s">
        <v>816</v>
      </c>
      <c r="O53" s="241" t="s">
        <v>200</v>
      </c>
      <c r="P53" s="298" t="s">
        <v>200</v>
      </c>
      <c r="Q53" s="241">
        <v>5</v>
      </c>
      <c r="R53" s="241">
        <v>3</v>
      </c>
      <c r="S53" s="298">
        <v>3</v>
      </c>
      <c r="T53" s="241">
        <v>6</v>
      </c>
      <c r="U53" s="241">
        <v>4</v>
      </c>
      <c r="V53" s="298">
        <v>3</v>
      </c>
      <c r="W53" s="241">
        <v>7</v>
      </c>
      <c r="X53" s="241">
        <v>7</v>
      </c>
      <c r="Y53" s="241">
        <v>4</v>
      </c>
      <c r="Z53" s="241">
        <v>5</v>
      </c>
      <c r="AA53" s="241">
        <v>4</v>
      </c>
      <c r="AB53" s="241">
        <v>6</v>
      </c>
      <c r="AC53" s="241">
        <v>6</v>
      </c>
      <c r="AD53" s="241">
        <v>7</v>
      </c>
      <c r="AE53" s="241" t="s">
        <v>32</v>
      </c>
      <c r="AF53" s="241" t="s">
        <v>32</v>
      </c>
      <c r="AG53" s="241" t="s">
        <v>32</v>
      </c>
      <c r="AH53" s="241" t="s">
        <v>32</v>
      </c>
      <c r="AI53" s="241" t="s">
        <v>32</v>
      </c>
      <c r="AJ53" s="241" t="s">
        <v>32</v>
      </c>
      <c r="AK53" s="241" t="s">
        <v>32</v>
      </c>
      <c r="AL53" s="241" t="s">
        <v>32</v>
      </c>
      <c r="AM53" s="241" t="s">
        <v>32</v>
      </c>
      <c r="AN53" s="241" t="s">
        <v>32</v>
      </c>
      <c r="AO53" s="241" t="s">
        <v>32</v>
      </c>
      <c r="AP53" s="241" t="s">
        <v>32</v>
      </c>
      <c r="AQ53" s="241" t="s">
        <v>32</v>
      </c>
      <c r="AR53" s="241" t="s">
        <v>32</v>
      </c>
      <c r="AS53" s="241" t="s">
        <v>32</v>
      </c>
      <c r="AT53" s="298" t="s">
        <v>32</v>
      </c>
      <c r="AU53" s="241" t="s">
        <v>8</v>
      </c>
      <c r="AV53" s="241">
        <v>8</v>
      </c>
      <c r="AW53" s="299" t="s">
        <v>490</v>
      </c>
      <c r="AX53" s="300" t="s">
        <v>32</v>
      </c>
      <c r="AY53" s="298" t="s">
        <v>33</v>
      </c>
      <c r="AZ53" s="240" t="s">
        <v>779</v>
      </c>
      <c r="BA53" s="301">
        <f t="shared" si="23"/>
        <v>4.4166666666666661</v>
      </c>
      <c r="BB53" s="302" t="str">
        <f t="shared" si="24"/>
        <v>Bench</v>
      </c>
      <c r="BC53" s="302">
        <f t="shared" si="25"/>
        <v>5.083333333333333</v>
      </c>
      <c r="BD53" s="302" t="str">
        <f t="shared" si="26"/>
        <v>Reg</v>
      </c>
      <c r="BE53" s="302">
        <f t="shared" si="27"/>
        <v>5.083333333333333</v>
      </c>
      <c r="BF53" s="302" t="str">
        <f t="shared" si="28"/>
        <v>Reg</v>
      </c>
      <c r="BG53" s="303">
        <f t="shared" si="29"/>
        <v>4</v>
      </c>
      <c r="BH53" s="304">
        <f t="shared" si="30"/>
        <v>2.5</v>
      </c>
      <c r="BI53" s="241" t="str">
        <f t="shared" si="31"/>
        <v/>
      </c>
      <c r="BJ53" s="241" t="str">
        <f t="shared" si="32"/>
        <v>Possible</v>
      </c>
      <c r="BK53" s="242" t="str">
        <f t="shared" si="33"/>
        <v>A</v>
      </c>
      <c r="BL53" s="242">
        <f t="shared" si="34"/>
        <v>11</v>
      </c>
      <c r="BM53" s="242">
        <f t="shared" si="35"/>
        <v>13</v>
      </c>
      <c r="BN53" s="242">
        <f t="shared" si="36"/>
        <v>-1</v>
      </c>
      <c r="BO53" s="242">
        <f t="shared" si="37"/>
        <v>-1</v>
      </c>
      <c r="BP53" s="242">
        <f t="shared" si="38"/>
        <v>0</v>
      </c>
      <c r="BQ53" s="242">
        <f t="shared" si="39"/>
        <v>-2</v>
      </c>
    </row>
    <row r="54" spans="1:69" s="305" customFormat="1" x14ac:dyDescent="0.25">
      <c r="A54" s="248" t="str">
        <f t="shared" si="21"/>
        <v>Edgar Núñez</v>
      </c>
      <c r="B54" s="248" t="str">
        <f>IF(ISERROR(VLOOKUP(A54,AMA!$C$53:$C$100,1,FALSE)),IF(ISERROR(VLOOKUP(A54,'END-AAA'!$C$51:$C$100,1,FALSE)),IF(ISERROR(VLOOKUP(A54,'DB-AA'!$C$51:$C$100,1,FALSE)),IF(ISERROR(VLOOKUP(A54,'UTR-A'!$C$51:$C$100,1,FALSE)),IF(ISERROR(VLOOKUP(A54,'FAI-S A'!$C$51:$C$100,1,FALSE)),"","S A"),"A"),"AA"),"AAA"),"ML")</f>
        <v/>
      </c>
      <c r="C54" s="242"/>
      <c r="D54" s="242" t="str">
        <f t="shared" si="22"/>
        <v>T</v>
      </c>
      <c r="E54" s="241" t="s">
        <v>87</v>
      </c>
      <c r="F54" s="241" t="s">
        <v>935</v>
      </c>
      <c r="G54" s="241" t="s">
        <v>1000</v>
      </c>
      <c r="H54" s="241" t="s">
        <v>802</v>
      </c>
      <c r="I54" s="241" t="s">
        <v>277</v>
      </c>
      <c r="J54" s="241">
        <v>21</v>
      </c>
      <c r="K54" s="241" t="s">
        <v>82</v>
      </c>
      <c r="L54" s="298" t="s">
        <v>82</v>
      </c>
      <c r="M54" s="241" t="s">
        <v>816</v>
      </c>
      <c r="N54" s="241" t="s">
        <v>773</v>
      </c>
      <c r="O54" s="241" t="s">
        <v>200</v>
      </c>
      <c r="P54" s="298" t="s">
        <v>200</v>
      </c>
      <c r="Q54" s="241">
        <v>5</v>
      </c>
      <c r="R54" s="241">
        <v>2</v>
      </c>
      <c r="S54" s="298">
        <v>3</v>
      </c>
      <c r="T54" s="241">
        <v>7</v>
      </c>
      <c r="U54" s="241">
        <v>3</v>
      </c>
      <c r="V54" s="298">
        <v>3</v>
      </c>
      <c r="W54" s="241" t="s">
        <v>32</v>
      </c>
      <c r="X54" s="241" t="s">
        <v>32</v>
      </c>
      <c r="Y54" s="241">
        <v>1</v>
      </c>
      <c r="Z54" s="241">
        <v>3</v>
      </c>
      <c r="AA54" s="241">
        <v>6</v>
      </c>
      <c r="AB54" s="241">
        <v>8</v>
      </c>
      <c r="AC54" s="241" t="s">
        <v>32</v>
      </c>
      <c r="AD54" s="241" t="s">
        <v>32</v>
      </c>
      <c r="AE54" s="241" t="s">
        <v>32</v>
      </c>
      <c r="AF54" s="241" t="s">
        <v>32</v>
      </c>
      <c r="AG54" s="241">
        <v>5</v>
      </c>
      <c r="AH54" s="241">
        <v>6</v>
      </c>
      <c r="AI54" s="241">
        <v>6</v>
      </c>
      <c r="AJ54" s="241">
        <v>7</v>
      </c>
      <c r="AK54" s="241">
        <v>5</v>
      </c>
      <c r="AL54" s="241">
        <v>6</v>
      </c>
      <c r="AM54" s="241" t="s">
        <v>32</v>
      </c>
      <c r="AN54" s="241" t="s">
        <v>32</v>
      </c>
      <c r="AO54" s="241" t="s">
        <v>32</v>
      </c>
      <c r="AP54" s="241" t="s">
        <v>32</v>
      </c>
      <c r="AQ54" s="241" t="s">
        <v>32</v>
      </c>
      <c r="AR54" s="241" t="s">
        <v>32</v>
      </c>
      <c r="AS54" s="241" t="s">
        <v>32</v>
      </c>
      <c r="AT54" s="298" t="s">
        <v>32</v>
      </c>
      <c r="AU54" s="241" t="s">
        <v>7</v>
      </c>
      <c r="AV54" s="241">
        <v>8</v>
      </c>
      <c r="AW54" s="299" t="s">
        <v>394</v>
      </c>
      <c r="AX54" s="300" t="s">
        <v>32</v>
      </c>
      <c r="AY54" s="298" t="s">
        <v>33</v>
      </c>
      <c r="AZ54" s="240" t="s">
        <v>199</v>
      </c>
      <c r="BA54" s="301">
        <f t="shared" si="23"/>
        <v>4.3333333333333339</v>
      </c>
      <c r="BB54" s="302" t="str">
        <f t="shared" si="24"/>
        <v>Bench</v>
      </c>
      <c r="BC54" s="302">
        <f t="shared" si="25"/>
        <v>5.333333333333333</v>
      </c>
      <c r="BD54" s="302" t="str">
        <f t="shared" si="26"/>
        <v>Reg</v>
      </c>
      <c r="BE54" s="302">
        <f t="shared" si="27"/>
        <v>5.333333333333333</v>
      </c>
      <c r="BF54" s="302" t="str">
        <f t="shared" si="28"/>
        <v>Reg</v>
      </c>
      <c r="BG54" s="303">
        <f t="shared" si="29"/>
        <v>5</v>
      </c>
      <c r="BH54" s="304">
        <f t="shared" si="30"/>
        <v>3</v>
      </c>
      <c r="BI54" s="241" t="str">
        <f t="shared" si="31"/>
        <v/>
      </c>
      <c r="BJ54" s="241" t="str">
        <f t="shared" si="32"/>
        <v>Possible</v>
      </c>
      <c r="BK54" s="242" t="str">
        <f t="shared" si="33"/>
        <v>SS-A</v>
      </c>
      <c r="BL54" s="242">
        <f t="shared" si="34"/>
        <v>10</v>
      </c>
      <c r="BM54" s="242">
        <f t="shared" si="35"/>
        <v>13</v>
      </c>
      <c r="BN54" s="242">
        <f t="shared" si="36"/>
        <v>-2</v>
      </c>
      <c r="BO54" s="242">
        <f t="shared" si="37"/>
        <v>-1</v>
      </c>
      <c r="BP54" s="242">
        <f t="shared" si="38"/>
        <v>0</v>
      </c>
      <c r="BQ54" s="242">
        <f t="shared" si="39"/>
        <v>-3</v>
      </c>
    </row>
    <row r="55" spans="1:69" s="305" customFormat="1" x14ac:dyDescent="0.25">
      <c r="A55" s="248" t="str">
        <f t="shared" si="21"/>
        <v>Harry Castillo</v>
      </c>
      <c r="B55" s="248" t="str">
        <f>IF(ISERROR(VLOOKUP(A55,AMA!$C$53:$C$100,1,FALSE)),IF(ISERROR(VLOOKUP(A55,'END-AAA'!$C$51:$C$100,1,FALSE)),IF(ISERROR(VLOOKUP(A55,'DB-AA'!$C$51:$C$100,1,FALSE)),IF(ISERROR(VLOOKUP(A55,'UTR-A'!$C$51:$C$100,1,FALSE)),IF(ISERROR(VLOOKUP(A55,'FAI-S A'!$C$51:$C$100,1,FALSE)),"","S A"),"A"),"AA"),"AAA"),"ML")</f>
        <v/>
      </c>
      <c r="C55" s="242"/>
      <c r="D55" s="242" t="str">
        <f t="shared" si="22"/>
        <v>K</v>
      </c>
      <c r="E55" s="241" t="s">
        <v>87</v>
      </c>
      <c r="F55" s="241" t="s">
        <v>959</v>
      </c>
      <c r="G55" s="241" t="s">
        <v>960</v>
      </c>
      <c r="H55" s="241" t="s">
        <v>814</v>
      </c>
      <c r="I55" s="241" t="s">
        <v>187</v>
      </c>
      <c r="J55" s="241">
        <v>24</v>
      </c>
      <c r="K55" s="241" t="s">
        <v>82</v>
      </c>
      <c r="L55" s="298" t="s">
        <v>82</v>
      </c>
      <c r="M55" s="241" t="s">
        <v>816</v>
      </c>
      <c r="N55" s="241" t="s">
        <v>816</v>
      </c>
      <c r="O55" s="241" t="s">
        <v>199</v>
      </c>
      <c r="P55" s="298" t="s">
        <v>200</v>
      </c>
      <c r="Q55" s="241">
        <v>5</v>
      </c>
      <c r="R55" s="241">
        <v>2</v>
      </c>
      <c r="S55" s="298">
        <v>3</v>
      </c>
      <c r="T55" s="241">
        <v>5</v>
      </c>
      <c r="U55" s="241">
        <v>2</v>
      </c>
      <c r="V55" s="298">
        <v>3</v>
      </c>
      <c r="W55" s="241">
        <v>6</v>
      </c>
      <c r="X55" s="241">
        <v>6</v>
      </c>
      <c r="Y55" s="241">
        <v>4</v>
      </c>
      <c r="Z55" s="241">
        <v>5</v>
      </c>
      <c r="AA55" s="241">
        <v>5</v>
      </c>
      <c r="AB55" s="241">
        <v>5</v>
      </c>
      <c r="AC55" s="241" t="s">
        <v>32</v>
      </c>
      <c r="AD55" s="241" t="s">
        <v>32</v>
      </c>
      <c r="AE55" s="241" t="s">
        <v>32</v>
      </c>
      <c r="AF55" s="241" t="s">
        <v>32</v>
      </c>
      <c r="AG55" s="241">
        <v>6</v>
      </c>
      <c r="AH55" s="241">
        <v>6</v>
      </c>
      <c r="AI55" s="241" t="s">
        <v>32</v>
      </c>
      <c r="AJ55" s="241" t="s">
        <v>32</v>
      </c>
      <c r="AK55" s="241">
        <v>5</v>
      </c>
      <c r="AL55" s="241">
        <v>5</v>
      </c>
      <c r="AM55" s="241" t="s">
        <v>32</v>
      </c>
      <c r="AN55" s="241" t="s">
        <v>32</v>
      </c>
      <c r="AO55" s="241" t="s">
        <v>32</v>
      </c>
      <c r="AP55" s="241" t="s">
        <v>32</v>
      </c>
      <c r="AQ55" s="241" t="s">
        <v>32</v>
      </c>
      <c r="AR55" s="241" t="s">
        <v>32</v>
      </c>
      <c r="AS55" s="241" t="s">
        <v>32</v>
      </c>
      <c r="AT55" s="298" t="s">
        <v>32</v>
      </c>
      <c r="AU55" s="241" t="s">
        <v>5</v>
      </c>
      <c r="AV55" s="241">
        <v>8</v>
      </c>
      <c r="AW55" s="299" t="s">
        <v>393</v>
      </c>
      <c r="AX55" s="300" t="s">
        <v>32</v>
      </c>
      <c r="AY55" s="298">
        <v>0</v>
      </c>
      <c r="AZ55" s="240" t="s">
        <v>779</v>
      </c>
      <c r="BA55" s="301">
        <f t="shared" si="23"/>
        <v>4.3333333333333339</v>
      </c>
      <c r="BB55" s="302" t="str">
        <f t="shared" si="24"/>
        <v>Bench</v>
      </c>
      <c r="BC55" s="302">
        <f t="shared" si="25"/>
        <v>4.3333333333333339</v>
      </c>
      <c r="BD55" s="302" t="str">
        <f t="shared" si="26"/>
        <v>Bench</v>
      </c>
      <c r="BE55" s="302">
        <f t="shared" si="27"/>
        <v>4.3333333333333339</v>
      </c>
      <c r="BF55" s="302" t="str">
        <f t="shared" si="28"/>
        <v>Bench</v>
      </c>
      <c r="BG55" s="303">
        <f t="shared" si="29"/>
        <v>5</v>
      </c>
      <c r="BH55" s="304">
        <f t="shared" si="30"/>
        <v>2</v>
      </c>
      <c r="BI55" s="241" t="str">
        <f t="shared" si="31"/>
        <v/>
      </c>
      <c r="BJ55" s="241" t="str">
        <f t="shared" si="32"/>
        <v>Unlikely</v>
      </c>
      <c r="BK55" s="242" t="str">
        <f t="shared" si="33"/>
        <v>SS-A</v>
      </c>
      <c r="BL55" s="242">
        <f t="shared" si="34"/>
        <v>10</v>
      </c>
      <c r="BM55" s="242">
        <f t="shared" si="35"/>
        <v>10</v>
      </c>
      <c r="BN55" s="242">
        <f t="shared" si="36"/>
        <v>0</v>
      </c>
      <c r="BO55" s="242">
        <f t="shared" si="37"/>
        <v>0</v>
      </c>
      <c r="BP55" s="242">
        <f t="shared" si="38"/>
        <v>0</v>
      </c>
      <c r="BQ55" s="242">
        <f t="shared" si="39"/>
        <v>0</v>
      </c>
    </row>
    <row r="56" spans="1:69" s="305" customFormat="1" x14ac:dyDescent="0.25">
      <c r="A56" s="248" t="str">
        <f t="shared" si="21"/>
        <v>Brian Rouhan</v>
      </c>
      <c r="B56" s="248" t="str">
        <f>IF(ISERROR(VLOOKUP(A56,AMA!$C$53:$C$100,1,FALSE)),IF(ISERROR(VLOOKUP(A56,'END-AAA'!$C$51:$C$100,1,FALSE)),IF(ISERROR(VLOOKUP(A56,'DB-AA'!$C$51:$C$100,1,FALSE)),IF(ISERROR(VLOOKUP(A56,'UTR-A'!$C$51:$C$100,1,FALSE)),IF(ISERROR(VLOOKUP(A56,'FAI-S A'!$C$51:$C$100,1,FALSE)),"","S A"),"A"),"AA"),"AAA"),"ML")</f>
        <v/>
      </c>
      <c r="C56" s="242"/>
      <c r="D56" s="242" t="str">
        <f t="shared" si="22"/>
        <v>K</v>
      </c>
      <c r="E56" s="241" t="s">
        <v>87</v>
      </c>
      <c r="F56" s="241" t="s">
        <v>1007</v>
      </c>
      <c r="G56" s="241" t="s">
        <v>1008</v>
      </c>
      <c r="H56" s="241" t="s">
        <v>802</v>
      </c>
      <c r="I56" s="241" t="s">
        <v>277</v>
      </c>
      <c r="J56" s="241">
        <v>23</v>
      </c>
      <c r="K56" s="241" t="s">
        <v>83</v>
      </c>
      <c r="L56" s="298" t="s">
        <v>83</v>
      </c>
      <c r="M56" s="241" t="s">
        <v>816</v>
      </c>
      <c r="N56" s="241" t="s">
        <v>764</v>
      </c>
      <c r="O56" s="241" t="s">
        <v>200</v>
      </c>
      <c r="P56" s="298" t="s">
        <v>199</v>
      </c>
      <c r="Q56" s="241">
        <v>5</v>
      </c>
      <c r="R56" s="241">
        <v>4</v>
      </c>
      <c r="S56" s="298">
        <v>2</v>
      </c>
      <c r="T56" s="241">
        <v>6</v>
      </c>
      <c r="U56" s="241">
        <v>6</v>
      </c>
      <c r="V56" s="298">
        <v>5</v>
      </c>
      <c r="W56" s="241">
        <v>7</v>
      </c>
      <c r="X56" s="241">
        <v>8</v>
      </c>
      <c r="Y56" s="241">
        <v>6</v>
      </c>
      <c r="Z56" s="241">
        <v>7</v>
      </c>
      <c r="AA56" s="241" t="s">
        <v>32</v>
      </c>
      <c r="AB56" s="241" t="s">
        <v>32</v>
      </c>
      <c r="AC56" s="241">
        <v>5</v>
      </c>
      <c r="AD56" s="241">
        <v>7</v>
      </c>
      <c r="AE56" s="241" t="s">
        <v>32</v>
      </c>
      <c r="AF56" s="241" t="s">
        <v>32</v>
      </c>
      <c r="AG56" s="241" t="s">
        <v>32</v>
      </c>
      <c r="AH56" s="241" t="s">
        <v>32</v>
      </c>
      <c r="AI56" s="241" t="s">
        <v>32</v>
      </c>
      <c r="AJ56" s="241" t="s">
        <v>32</v>
      </c>
      <c r="AK56" s="241" t="s">
        <v>32</v>
      </c>
      <c r="AL56" s="241" t="s">
        <v>32</v>
      </c>
      <c r="AM56" s="241" t="s">
        <v>32</v>
      </c>
      <c r="AN56" s="241" t="s">
        <v>32</v>
      </c>
      <c r="AO56" s="241" t="s">
        <v>32</v>
      </c>
      <c r="AP56" s="241" t="s">
        <v>32</v>
      </c>
      <c r="AQ56" s="241" t="s">
        <v>32</v>
      </c>
      <c r="AR56" s="241" t="s">
        <v>32</v>
      </c>
      <c r="AS56" s="241" t="s">
        <v>32</v>
      </c>
      <c r="AT56" s="298" t="s">
        <v>32</v>
      </c>
      <c r="AU56" s="241" t="s">
        <v>7</v>
      </c>
      <c r="AV56" s="241">
        <v>6</v>
      </c>
      <c r="AW56" s="299" t="s">
        <v>394</v>
      </c>
      <c r="AX56" s="300" t="s">
        <v>32</v>
      </c>
      <c r="AY56" s="298" t="s">
        <v>33</v>
      </c>
      <c r="AZ56" s="240" t="s">
        <v>779</v>
      </c>
      <c r="BA56" s="301">
        <f t="shared" si="23"/>
        <v>4.1666666666666661</v>
      </c>
      <c r="BB56" s="302" t="str">
        <f t="shared" si="24"/>
        <v>Bench</v>
      </c>
      <c r="BC56" s="302">
        <f t="shared" si="25"/>
        <v>6.166666666666667</v>
      </c>
      <c r="BD56" s="302" t="str">
        <f t="shared" si="26"/>
        <v>Reg</v>
      </c>
      <c r="BE56" s="302">
        <f t="shared" si="27"/>
        <v>6.166666666666667</v>
      </c>
      <c r="BF56" s="302" t="str">
        <f t="shared" si="28"/>
        <v>Reg</v>
      </c>
      <c r="BG56" s="303">
        <f t="shared" si="29"/>
        <v>3</v>
      </c>
      <c r="BH56" s="304">
        <f t="shared" si="30"/>
        <v>2.5</v>
      </c>
      <c r="BI56" s="241" t="str">
        <f t="shared" si="31"/>
        <v/>
      </c>
      <c r="BJ56" s="241" t="str">
        <f t="shared" si="32"/>
        <v>Possible</v>
      </c>
      <c r="BK56" s="242" t="str">
        <f t="shared" si="33"/>
        <v>A</v>
      </c>
      <c r="BL56" s="242">
        <f t="shared" si="34"/>
        <v>11</v>
      </c>
      <c r="BM56" s="242">
        <f t="shared" si="35"/>
        <v>17</v>
      </c>
      <c r="BN56" s="242">
        <f t="shared" si="36"/>
        <v>-1</v>
      </c>
      <c r="BO56" s="242">
        <f t="shared" si="37"/>
        <v>-2</v>
      </c>
      <c r="BP56" s="242">
        <f t="shared" si="38"/>
        <v>-3</v>
      </c>
      <c r="BQ56" s="242">
        <f t="shared" si="39"/>
        <v>-6</v>
      </c>
    </row>
    <row r="57" spans="1:69" s="305" customFormat="1" x14ac:dyDescent="0.25">
      <c r="A57" s="248" t="str">
        <f t="shared" si="21"/>
        <v>Vito DeNegri</v>
      </c>
      <c r="B57" s="248" t="str">
        <f>IF(ISERROR(VLOOKUP(A57,AMA!$C$53:$C$100,1,FALSE)),IF(ISERROR(VLOOKUP(A57,'END-AAA'!$C$51:$C$100,1,FALSE)),IF(ISERROR(VLOOKUP(A57,'DB-AA'!$C$51:$C$100,1,FALSE)),IF(ISERROR(VLOOKUP(A57,'UTR-A'!$C$51:$C$100,1,FALSE)),IF(ISERROR(VLOOKUP(A57,'FAI-S A'!$C$51:$C$100,1,FALSE)),"","S A"),"A"),"AA"),"AAA"),"ML")</f>
        <v/>
      </c>
      <c r="C57" s="242"/>
      <c r="D57" s="242" t="str">
        <f t="shared" si="22"/>
        <v>T</v>
      </c>
      <c r="E57" s="241" t="s">
        <v>87</v>
      </c>
      <c r="F57" s="241" t="s">
        <v>416</v>
      </c>
      <c r="G57" s="241" t="s">
        <v>941</v>
      </c>
      <c r="H57" s="241" t="s">
        <v>769</v>
      </c>
      <c r="I57" s="241" t="s">
        <v>186</v>
      </c>
      <c r="J57" s="241">
        <v>24</v>
      </c>
      <c r="K57" s="241" t="s">
        <v>83</v>
      </c>
      <c r="L57" s="298" t="s">
        <v>83</v>
      </c>
      <c r="M57" s="241" t="s">
        <v>808</v>
      </c>
      <c r="N57" s="241" t="s">
        <v>773</v>
      </c>
      <c r="O57" s="241" t="s">
        <v>201</v>
      </c>
      <c r="P57" s="298" t="s">
        <v>200</v>
      </c>
      <c r="Q57" s="241">
        <v>6</v>
      </c>
      <c r="R57" s="241">
        <v>3</v>
      </c>
      <c r="S57" s="298">
        <v>2</v>
      </c>
      <c r="T57" s="241">
        <v>8</v>
      </c>
      <c r="U57" s="241">
        <v>4</v>
      </c>
      <c r="V57" s="298">
        <v>2</v>
      </c>
      <c r="W57" s="241">
        <v>9</v>
      </c>
      <c r="X57" s="241">
        <v>9</v>
      </c>
      <c r="Y57" s="241">
        <v>9</v>
      </c>
      <c r="Z57" s="241">
        <v>10</v>
      </c>
      <c r="AA57" s="241" t="s">
        <v>32</v>
      </c>
      <c r="AB57" s="241" t="s">
        <v>32</v>
      </c>
      <c r="AC57" s="241">
        <v>4</v>
      </c>
      <c r="AD57" s="241">
        <v>6</v>
      </c>
      <c r="AE57" s="241" t="s">
        <v>32</v>
      </c>
      <c r="AF57" s="241" t="s">
        <v>32</v>
      </c>
      <c r="AG57" s="241" t="s">
        <v>32</v>
      </c>
      <c r="AH57" s="241" t="s">
        <v>32</v>
      </c>
      <c r="AI57" s="241" t="s">
        <v>32</v>
      </c>
      <c r="AJ57" s="241" t="s">
        <v>32</v>
      </c>
      <c r="AK57" s="241" t="s">
        <v>32</v>
      </c>
      <c r="AL57" s="241" t="s">
        <v>32</v>
      </c>
      <c r="AM57" s="241" t="s">
        <v>32</v>
      </c>
      <c r="AN57" s="241" t="s">
        <v>32</v>
      </c>
      <c r="AO57" s="241" t="s">
        <v>32</v>
      </c>
      <c r="AP57" s="241" t="s">
        <v>32</v>
      </c>
      <c r="AQ57" s="241" t="s">
        <v>32</v>
      </c>
      <c r="AR57" s="241" t="s">
        <v>32</v>
      </c>
      <c r="AS57" s="241" t="s">
        <v>32</v>
      </c>
      <c r="AT57" s="298" t="s">
        <v>32</v>
      </c>
      <c r="AU57" s="241" t="s">
        <v>6</v>
      </c>
      <c r="AV57" s="241">
        <v>7</v>
      </c>
      <c r="AW57" s="299" t="s">
        <v>393</v>
      </c>
      <c r="AX57" s="300">
        <v>510000</v>
      </c>
      <c r="AY57" s="298" t="s">
        <v>33</v>
      </c>
      <c r="AZ57" s="240" t="s">
        <v>779</v>
      </c>
      <c r="BA57" s="301">
        <f t="shared" si="23"/>
        <v>4.1666666666666661</v>
      </c>
      <c r="BB57" s="302" t="str">
        <f t="shared" si="24"/>
        <v>Bench</v>
      </c>
      <c r="BC57" s="302">
        <f t="shared" si="25"/>
        <v>5.166666666666667</v>
      </c>
      <c r="BD57" s="302" t="str">
        <f t="shared" si="26"/>
        <v>Reg</v>
      </c>
      <c r="BE57" s="302">
        <f t="shared" si="27"/>
        <v>5.166666666666667</v>
      </c>
      <c r="BF57" s="302" t="str">
        <f t="shared" si="28"/>
        <v>Reg</v>
      </c>
      <c r="BG57" s="303">
        <f t="shared" si="29"/>
        <v>3</v>
      </c>
      <c r="BH57" s="304">
        <f t="shared" si="30"/>
        <v>2.5</v>
      </c>
      <c r="BI57" s="241" t="str">
        <f t="shared" si="31"/>
        <v/>
      </c>
      <c r="BJ57" s="241" t="str">
        <f t="shared" si="32"/>
        <v>Possible</v>
      </c>
      <c r="BK57" s="242" t="str">
        <f t="shared" si="33"/>
        <v>A</v>
      </c>
      <c r="BL57" s="242">
        <f t="shared" si="34"/>
        <v>11</v>
      </c>
      <c r="BM57" s="242">
        <f t="shared" si="35"/>
        <v>14</v>
      </c>
      <c r="BN57" s="242">
        <f t="shared" si="36"/>
        <v>-2</v>
      </c>
      <c r="BO57" s="242">
        <f t="shared" si="37"/>
        <v>-1</v>
      </c>
      <c r="BP57" s="242">
        <f t="shared" si="38"/>
        <v>0</v>
      </c>
      <c r="BQ57" s="242">
        <f t="shared" si="39"/>
        <v>-3</v>
      </c>
    </row>
    <row r="58" spans="1:69" s="305" customFormat="1" x14ac:dyDescent="0.25">
      <c r="A58" s="248" t="str">
        <f t="shared" si="21"/>
        <v>Juan Núñes</v>
      </c>
      <c r="B58" s="248" t="str">
        <f>IF(ISERROR(VLOOKUP(A58,AMA!$C$53:$C$100,1,FALSE)),IF(ISERROR(VLOOKUP(A58,'END-AAA'!$C$51:$C$100,1,FALSE)),IF(ISERROR(VLOOKUP(A58,'DB-AA'!$C$51:$C$100,1,FALSE)),IF(ISERROR(VLOOKUP(A58,'UTR-A'!$C$51:$C$100,1,FALSE)),IF(ISERROR(VLOOKUP(A58,'FAI-S A'!$C$51:$C$100,1,FALSE)),"","S A"),"A"),"AA"),"AAA"),"ML")</f>
        <v/>
      </c>
      <c r="C58" s="242"/>
      <c r="D58" s="242" t="str">
        <f t="shared" si="22"/>
        <v>K</v>
      </c>
      <c r="E58" s="241" t="s">
        <v>11</v>
      </c>
      <c r="F58" s="241" t="s">
        <v>400</v>
      </c>
      <c r="G58" s="241" t="s">
        <v>1268</v>
      </c>
      <c r="H58" s="241" t="s">
        <v>814</v>
      </c>
      <c r="I58" s="241" t="s">
        <v>187</v>
      </c>
      <c r="J58" s="241">
        <v>21</v>
      </c>
      <c r="K58" s="241" t="s">
        <v>82</v>
      </c>
      <c r="L58" s="298" t="s">
        <v>82</v>
      </c>
      <c r="M58" s="241" t="s">
        <v>816</v>
      </c>
      <c r="N58" s="241" t="s">
        <v>773</v>
      </c>
      <c r="O58" s="241" t="s">
        <v>200</v>
      </c>
      <c r="P58" s="298" t="s">
        <v>199</v>
      </c>
      <c r="Q58" s="241">
        <v>5</v>
      </c>
      <c r="R58" s="241">
        <v>2</v>
      </c>
      <c r="S58" s="298">
        <v>4</v>
      </c>
      <c r="T58" s="241">
        <v>7</v>
      </c>
      <c r="U58" s="241">
        <v>3</v>
      </c>
      <c r="V58" s="298">
        <v>4</v>
      </c>
      <c r="W58" s="241">
        <v>6</v>
      </c>
      <c r="X58" s="241">
        <v>7</v>
      </c>
      <c r="Y58" s="241">
        <v>1</v>
      </c>
      <c r="Z58" s="241">
        <v>1</v>
      </c>
      <c r="AA58" s="241">
        <v>7</v>
      </c>
      <c r="AB58" s="241">
        <v>9</v>
      </c>
      <c r="AC58" s="241" t="s">
        <v>32</v>
      </c>
      <c r="AD58" s="241" t="s">
        <v>32</v>
      </c>
      <c r="AE58" s="241" t="s">
        <v>32</v>
      </c>
      <c r="AF58" s="241" t="s">
        <v>32</v>
      </c>
      <c r="AG58" s="241" t="s">
        <v>32</v>
      </c>
      <c r="AH58" s="241" t="s">
        <v>32</v>
      </c>
      <c r="AI58" s="241" t="s">
        <v>32</v>
      </c>
      <c r="AJ58" s="241" t="s">
        <v>32</v>
      </c>
      <c r="AK58" s="241" t="s">
        <v>32</v>
      </c>
      <c r="AL58" s="241" t="s">
        <v>32</v>
      </c>
      <c r="AM58" s="241" t="s">
        <v>32</v>
      </c>
      <c r="AN58" s="241" t="s">
        <v>32</v>
      </c>
      <c r="AO58" s="241" t="s">
        <v>32</v>
      </c>
      <c r="AP58" s="241" t="s">
        <v>32</v>
      </c>
      <c r="AQ58" s="241" t="s">
        <v>32</v>
      </c>
      <c r="AR58" s="241" t="s">
        <v>32</v>
      </c>
      <c r="AS58" s="241" t="s">
        <v>32</v>
      </c>
      <c r="AT58" s="298" t="s">
        <v>32</v>
      </c>
      <c r="AU58" s="241" t="s">
        <v>1</v>
      </c>
      <c r="AV58" s="241">
        <v>7</v>
      </c>
      <c r="AW58" s="299" t="s">
        <v>393</v>
      </c>
      <c r="AX58" s="300" t="s">
        <v>32</v>
      </c>
      <c r="AY58" s="298" t="s">
        <v>33</v>
      </c>
      <c r="AZ58" s="240" t="s">
        <v>779</v>
      </c>
      <c r="BA58" s="301">
        <f t="shared" si="23"/>
        <v>4.1666666666666661</v>
      </c>
      <c r="BB58" s="302" t="str">
        <f t="shared" si="24"/>
        <v>Bench</v>
      </c>
      <c r="BC58" s="302">
        <f t="shared" si="25"/>
        <v>5.166666666666667</v>
      </c>
      <c r="BD58" s="302" t="str">
        <f t="shared" si="26"/>
        <v>Reg</v>
      </c>
      <c r="BE58" s="302">
        <f t="shared" si="27"/>
        <v>5.166666666666667</v>
      </c>
      <c r="BF58" s="302" t="str">
        <f t="shared" si="28"/>
        <v>Reg</v>
      </c>
      <c r="BG58" s="303">
        <f t="shared" si="29"/>
        <v>3</v>
      </c>
      <c r="BH58" s="304">
        <f t="shared" si="30"/>
        <v>2</v>
      </c>
      <c r="BI58" s="241" t="str">
        <f t="shared" si="31"/>
        <v/>
      </c>
      <c r="BJ58" s="241" t="str">
        <f t="shared" si="32"/>
        <v>Possible</v>
      </c>
      <c r="BK58" s="242" t="str">
        <f t="shared" si="33"/>
        <v>A</v>
      </c>
      <c r="BL58" s="242">
        <f t="shared" si="34"/>
        <v>11</v>
      </c>
      <c r="BM58" s="242">
        <f t="shared" si="35"/>
        <v>14</v>
      </c>
      <c r="BN58" s="242">
        <f t="shared" si="36"/>
        <v>-2</v>
      </c>
      <c r="BO58" s="242">
        <f t="shared" si="37"/>
        <v>-1</v>
      </c>
      <c r="BP58" s="242">
        <f t="shared" si="38"/>
        <v>0</v>
      </c>
      <c r="BQ58" s="242">
        <f t="shared" si="39"/>
        <v>-3</v>
      </c>
    </row>
    <row r="59" spans="1:69" s="305" customFormat="1" x14ac:dyDescent="0.25">
      <c r="A59" s="248" t="str">
        <f t="shared" si="21"/>
        <v>Javier Carmona</v>
      </c>
      <c r="B59" s="248" t="str">
        <f>IF(ISERROR(VLOOKUP(A59,AMA!$C$53:$C$100,1,FALSE)),IF(ISERROR(VLOOKUP(A59,'END-AAA'!$C$51:$C$100,1,FALSE)),IF(ISERROR(VLOOKUP(A59,'DB-AA'!$C$51:$C$100,1,FALSE)),IF(ISERROR(VLOOKUP(A59,'UTR-A'!$C$51:$C$100,1,FALSE)),IF(ISERROR(VLOOKUP(A59,'FAI-S A'!$C$51:$C$100,1,FALSE)),"","S A"),"A"),"AA"),"AAA"),"ML")</f>
        <v/>
      </c>
      <c r="C59" s="242"/>
      <c r="D59" s="242" t="str">
        <f t="shared" si="22"/>
        <v>T</v>
      </c>
      <c r="E59" s="241" t="s">
        <v>11</v>
      </c>
      <c r="F59" s="241" t="s">
        <v>957</v>
      </c>
      <c r="G59" s="241" t="s">
        <v>958</v>
      </c>
      <c r="H59" s="241" t="s">
        <v>814</v>
      </c>
      <c r="I59" s="241" t="s">
        <v>187</v>
      </c>
      <c r="J59" s="241">
        <v>22</v>
      </c>
      <c r="K59" s="241" t="s">
        <v>83</v>
      </c>
      <c r="L59" s="298" t="s">
        <v>83</v>
      </c>
      <c r="M59" s="241" t="s">
        <v>816</v>
      </c>
      <c r="N59" s="241" t="s">
        <v>808</v>
      </c>
      <c r="O59" s="241" t="s">
        <v>200</v>
      </c>
      <c r="P59" s="298" t="s">
        <v>200</v>
      </c>
      <c r="Q59" s="241">
        <v>5</v>
      </c>
      <c r="R59" s="241">
        <v>4</v>
      </c>
      <c r="S59" s="298">
        <v>2</v>
      </c>
      <c r="T59" s="241">
        <v>6</v>
      </c>
      <c r="U59" s="241">
        <v>5</v>
      </c>
      <c r="V59" s="298">
        <v>3</v>
      </c>
      <c r="W59" s="241">
        <v>7</v>
      </c>
      <c r="X59" s="241">
        <v>8</v>
      </c>
      <c r="Y59" s="241">
        <v>6</v>
      </c>
      <c r="Z59" s="241">
        <v>7</v>
      </c>
      <c r="AA59" s="241">
        <v>4</v>
      </c>
      <c r="AB59" s="241">
        <v>6</v>
      </c>
      <c r="AC59" s="241" t="s">
        <v>32</v>
      </c>
      <c r="AD59" s="241" t="s">
        <v>32</v>
      </c>
      <c r="AE59" s="241" t="s">
        <v>32</v>
      </c>
      <c r="AF59" s="241" t="s">
        <v>32</v>
      </c>
      <c r="AG59" s="241" t="s">
        <v>32</v>
      </c>
      <c r="AH59" s="241" t="s">
        <v>32</v>
      </c>
      <c r="AI59" s="241" t="s">
        <v>32</v>
      </c>
      <c r="AJ59" s="241" t="s">
        <v>32</v>
      </c>
      <c r="AK59" s="241" t="s">
        <v>32</v>
      </c>
      <c r="AL59" s="241" t="s">
        <v>32</v>
      </c>
      <c r="AM59" s="241" t="s">
        <v>32</v>
      </c>
      <c r="AN59" s="241" t="s">
        <v>32</v>
      </c>
      <c r="AO59" s="241" t="s">
        <v>32</v>
      </c>
      <c r="AP59" s="241" t="s">
        <v>32</v>
      </c>
      <c r="AQ59" s="241" t="s">
        <v>32</v>
      </c>
      <c r="AR59" s="241" t="s">
        <v>32</v>
      </c>
      <c r="AS59" s="241" t="s">
        <v>32</v>
      </c>
      <c r="AT59" s="298" t="s">
        <v>32</v>
      </c>
      <c r="AU59" s="241" t="s">
        <v>8</v>
      </c>
      <c r="AV59" s="241">
        <v>9</v>
      </c>
      <c r="AW59" s="299" t="s">
        <v>393</v>
      </c>
      <c r="AX59" s="300" t="s">
        <v>32</v>
      </c>
      <c r="AY59" s="298" t="s">
        <v>33</v>
      </c>
      <c r="AZ59" s="240" t="s">
        <v>779</v>
      </c>
      <c r="BA59" s="301">
        <f t="shared" si="23"/>
        <v>4.1666666666666661</v>
      </c>
      <c r="BB59" s="302" t="str">
        <f t="shared" si="24"/>
        <v>Bench</v>
      </c>
      <c r="BC59" s="302">
        <f t="shared" si="25"/>
        <v>5.166666666666667</v>
      </c>
      <c r="BD59" s="302" t="str">
        <f t="shared" si="26"/>
        <v>Reg</v>
      </c>
      <c r="BE59" s="302">
        <f t="shared" si="27"/>
        <v>5.166666666666667</v>
      </c>
      <c r="BF59" s="302" t="str">
        <f t="shared" si="28"/>
        <v>Reg</v>
      </c>
      <c r="BG59" s="303">
        <f t="shared" si="29"/>
        <v>3</v>
      </c>
      <c r="BH59" s="304">
        <f t="shared" si="30"/>
        <v>2.5</v>
      </c>
      <c r="BI59" s="241" t="str">
        <f t="shared" si="31"/>
        <v/>
      </c>
      <c r="BJ59" s="241" t="str">
        <f t="shared" si="32"/>
        <v>Possible</v>
      </c>
      <c r="BK59" s="242" t="str">
        <f t="shared" si="33"/>
        <v>A</v>
      </c>
      <c r="BL59" s="242">
        <f t="shared" si="34"/>
        <v>11</v>
      </c>
      <c r="BM59" s="242">
        <f t="shared" si="35"/>
        <v>14</v>
      </c>
      <c r="BN59" s="242">
        <f t="shared" si="36"/>
        <v>-1</v>
      </c>
      <c r="BO59" s="242">
        <f t="shared" si="37"/>
        <v>-1</v>
      </c>
      <c r="BP59" s="242">
        <f t="shared" si="38"/>
        <v>-1</v>
      </c>
      <c r="BQ59" s="242">
        <f t="shared" si="39"/>
        <v>-3</v>
      </c>
    </row>
    <row r="60" spans="1:69" s="305" customFormat="1" x14ac:dyDescent="0.25">
      <c r="A60" s="248" t="str">
        <f t="shared" si="21"/>
        <v>Bobby Hebert</v>
      </c>
      <c r="B60" s="248" t="str">
        <f>IF(ISERROR(VLOOKUP(A60,AMA!$C$53:$C$100,1,FALSE)),IF(ISERROR(VLOOKUP(A60,'END-AAA'!$C$51:$C$100,1,FALSE)),IF(ISERROR(VLOOKUP(A60,'DB-AA'!$C$51:$C$100,1,FALSE)),IF(ISERROR(VLOOKUP(A60,'UTR-A'!$C$51:$C$100,1,FALSE)),IF(ISERROR(VLOOKUP(A60,'FAI-S A'!$C$51:$C$100,1,FALSE)),"","S A"),"A"),"AA"),"AAA"),"ML")</f>
        <v/>
      </c>
      <c r="C60" s="242"/>
      <c r="D60" s="242" t="str">
        <f t="shared" si="22"/>
        <v>T</v>
      </c>
      <c r="E60" s="241" t="s">
        <v>11</v>
      </c>
      <c r="F60" s="241" t="s">
        <v>949</v>
      </c>
      <c r="G60" s="241" t="s">
        <v>950</v>
      </c>
      <c r="H60" s="241" t="s">
        <v>783</v>
      </c>
      <c r="I60" s="241" t="s">
        <v>185</v>
      </c>
      <c r="J60" s="241">
        <v>31</v>
      </c>
      <c r="K60" s="241" t="s">
        <v>82</v>
      </c>
      <c r="L60" s="298" t="s">
        <v>82</v>
      </c>
      <c r="M60" s="241" t="s">
        <v>816</v>
      </c>
      <c r="N60" s="241" t="s">
        <v>816</v>
      </c>
      <c r="O60" s="241" t="s">
        <v>200</v>
      </c>
      <c r="P60" s="298" t="s">
        <v>200</v>
      </c>
      <c r="Q60" s="241">
        <v>6</v>
      </c>
      <c r="R60" s="241">
        <v>2</v>
      </c>
      <c r="S60" s="298">
        <v>3</v>
      </c>
      <c r="T60" s="241">
        <v>6</v>
      </c>
      <c r="U60" s="241">
        <v>2</v>
      </c>
      <c r="V60" s="298">
        <v>3</v>
      </c>
      <c r="W60" s="241">
        <v>9</v>
      </c>
      <c r="X60" s="241">
        <v>9</v>
      </c>
      <c r="Y60" s="241" t="s">
        <v>32</v>
      </c>
      <c r="Z60" s="241" t="s">
        <v>32</v>
      </c>
      <c r="AA60" s="241">
        <v>5</v>
      </c>
      <c r="AB60" s="241">
        <v>5</v>
      </c>
      <c r="AC60" s="241" t="s">
        <v>32</v>
      </c>
      <c r="AD60" s="241" t="s">
        <v>32</v>
      </c>
      <c r="AE60" s="241" t="s">
        <v>32</v>
      </c>
      <c r="AF60" s="241" t="s">
        <v>32</v>
      </c>
      <c r="AG60" s="241" t="s">
        <v>32</v>
      </c>
      <c r="AH60" s="241" t="s">
        <v>32</v>
      </c>
      <c r="AI60" s="241" t="s">
        <v>32</v>
      </c>
      <c r="AJ60" s="241" t="s">
        <v>32</v>
      </c>
      <c r="AK60" s="241" t="s">
        <v>32</v>
      </c>
      <c r="AL60" s="241" t="s">
        <v>32</v>
      </c>
      <c r="AM60" s="241" t="s">
        <v>32</v>
      </c>
      <c r="AN60" s="241" t="s">
        <v>32</v>
      </c>
      <c r="AO60" s="241" t="s">
        <v>32</v>
      </c>
      <c r="AP60" s="241" t="s">
        <v>32</v>
      </c>
      <c r="AQ60" s="241" t="s">
        <v>32</v>
      </c>
      <c r="AR60" s="241" t="s">
        <v>32</v>
      </c>
      <c r="AS60" s="241" t="s">
        <v>32</v>
      </c>
      <c r="AT60" s="298" t="s">
        <v>32</v>
      </c>
      <c r="AU60" s="241" t="s">
        <v>326</v>
      </c>
      <c r="AV60" s="241">
        <v>9</v>
      </c>
      <c r="AW60" s="299" t="s">
        <v>395</v>
      </c>
      <c r="AX60" s="300" t="s">
        <v>32</v>
      </c>
      <c r="AY60" s="298" t="s">
        <v>33</v>
      </c>
      <c r="AZ60" s="240" t="s">
        <v>779</v>
      </c>
      <c r="BA60" s="301">
        <f t="shared" si="23"/>
        <v>4.1666666666666661</v>
      </c>
      <c r="BB60" s="302" t="str">
        <f t="shared" si="24"/>
        <v>Bench</v>
      </c>
      <c r="BC60" s="302">
        <f t="shared" si="25"/>
        <v>4.1666666666666661</v>
      </c>
      <c r="BD60" s="302" t="str">
        <f t="shared" si="26"/>
        <v>Bench</v>
      </c>
      <c r="BE60" s="302">
        <f t="shared" si="27"/>
        <v>4.1666666666666661</v>
      </c>
      <c r="BF60" s="302" t="str">
        <f t="shared" si="28"/>
        <v>Bench</v>
      </c>
      <c r="BG60" s="303">
        <f t="shared" si="29"/>
        <v>2</v>
      </c>
      <c r="BH60" s="304">
        <f t="shared" si="30"/>
        <v>1</v>
      </c>
      <c r="BI60" s="241" t="str">
        <f t="shared" si="31"/>
        <v/>
      </c>
      <c r="BJ60" s="241" t="str">
        <f t="shared" si="32"/>
        <v>Unlikely</v>
      </c>
      <c r="BK60" s="242" t="str">
        <f t="shared" si="33"/>
        <v>A</v>
      </c>
      <c r="BL60" s="242">
        <f t="shared" si="34"/>
        <v>11</v>
      </c>
      <c r="BM60" s="242">
        <f t="shared" si="35"/>
        <v>11</v>
      </c>
      <c r="BN60" s="242">
        <f t="shared" si="36"/>
        <v>0</v>
      </c>
      <c r="BO60" s="242">
        <f t="shared" si="37"/>
        <v>0</v>
      </c>
      <c r="BP60" s="242">
        <f t="shared" si="38"/>
        <v>0</v>
      </c>
      <c r="BQ60" s="242">
        <f t="shared" si="39"/>
        <v>0</v>
      </c>
    </row>
    <row r="61" spans="1:69" s="305" customFormat="1" x14ac:dyDescent="0.25">
      <c r="A61" s="248" t="str">
        <f t="shared" si="21"/>
        <v>Esteban López</v>
      </c>
      <c r="B61" s="248" t="str">
        <f>IF(ISERROR(VLOOKUP(A61,AMA!$C$53:$C$100,1,FALSE)),IF(ISERROR(VLOOKUP(A61,'END-AAA'!$C$51:$C$100,1,FALSE)),IF(ISERROR(VLOOKUP(A61,'DB-AA'!$C$51:$C$100,1,FALSE)),IF(ISERROR(VLOOKUP(A61,'UTR-A'!$C$51:$C$100,1,FALSE)),IF(ISERROR(VLOOKUP(A61,'FAI-S A'!$C$51:$C$100,1,FALSE)),"","S A"),"A"),"AA"),"AAA"),"ML")</f>
        <v/>
      </c>
      <c r="C61" s="242"/>
      <c r="D61" s="242" t="str">
        <f t="shared" si="22"/>
        <v>T</v>
      </c>
      <c r="E61" s="241" t="s">
        <v>11</v>
      </c>
      <c r="F61" s="241" t="s">
        <v>987</v>
      </c>
      <c r="G61" s="241" t="s">
        <v>427</v>
      </c>
      <c r="H61" s="241" t="s">
        <v>814</v>
      </c>
      <c r="I61" s="241" t="s">
        <v>187</v>
      </c>
      <c r="J61" s="241">
        <v>24</v>
      </c>
      <c r="K61" s="241" t="s">
        <v>83</v>
      </c>
      <c r="L61" s="298" t="s">
        <v>83</v>
      </c>
      <c r="M61" s="241" t="s">
        <v>816</v>
      </c>
      <c r="N61" s="241" t="s">
        <v>816</v>
      </c>
      <c r="O61" s="241" t="s">
        <v>201</v>
      </c>
      <c r="P61" s="298" t="s">
        <v>200</v>
      </c>
      <c r="Q61" s="241">
        <v>5</v>
      </c>
      <c r="R61" s="241">
        <v>2</v>
      </c>
      <c r="S61" s="298">
        <v>4</v>
      </c>
      <c r="T61" s="241">
        <v>5</v>
      </c>
      <c r="U61" s="241">
        <v>2</v>
      </c>
      <c r="V61" s="298">
        <v>4</v>
      </c>
      <c r="W61" s="241">
        <v>6</v>
      </c>
      <c r="X61" s="241">
        <v>7</v>
      </c>
      <c r="Y61" s="241">
        <v>1</v>
      </c>
      <c r="Z61" s="241">
        <v>1</v>
      </c>
      <c r="AA61" s="241" t="s">
        <v>32</v>
      </c>
      <c r="AB61" s="241" t="s">
        <v>32</v>
      </c>
      <c r="AC61" s="241">
        <v>6</v>
      </c>
      <c r="AD61" s="241">
        <v>7</v>
      </c>
      <c r="AE61" s="241" t="s">
        <v>32</v>
      </c>
      <c r="AF61" s="241" t="s">
        <v>32</v>
      </c>
      <c r="AG61" s="241" t="s">
        <v>32</v>
      </c>
      <c r="AH61" s="241" t="s">
        <v>32</v>
      </c>
      <c r="AI61" s="241" t="s">
        <v>32</v>
      </c>
      <c r="AJ61" s="241" t="s">
        <v>32</v>
      </c>
      <c r="AK61" s="241" t="s">
        <v>32</v>
      </c>
      <c r="AL61" s="241" t="s">
        <v>32</v>
      </c>
      <c r="AM61" s="241" t="s">
        <v>32</v>
      </c>
      <c r="AN61" s="241" t="s">
        <v>32</v>
      </c>
      <c r="AO61" s="241" t="s">
        <v>32</v>
      </c>
      <c r="AP61" s="241" t="s">
        <v>32</v>
      </c>
      <c r="AQ61" s="241" t="s">
        <v>32</v>
      </c>
      <c r="AR61" s="241" t="s">
        <v>32</v>
      </c>
      <c r="AS61" s="241" t="s">
        <v>32</v>
      </c>
      <c r="AT61" s="298" t="s">
        <v>32</v>
      </c>
      <c r="AU61" s="241" t="s">
        <v>1</v>
      </c>
      <c r="AV61" s="241">
        <v>4</v>
      </c>
      <c r="AW61" s="299" t="s">
        <v>393</v>
      </c>
      <c r="AX61" s="300" t="s">
        <v>32</v>
      </c>
      <c r="AY61" s="298" t="s">
        <v>33</v>
      </c>
      <c r="AZ61" s="240" t="s">
        <v>199</v>
      </c>
      <c r="BA61" s="301">
        <f t="shared" si="23"/>
        <v>4.1666666666666661</v>
      </c>
      <c r="BB61" s="302" t="str">
        <f t="shared" si="24"/>
        <v>Bench</v>
      </c>
      <c r="BC61" s="302">
        <f t="shared" si="25"/>
        <v>4.1666666666666661</v>
      </c>
      <c r="BD61" s="302" t="str">
        <f t="shared" si="26"/>
        <v>Bench</v>
      </c>
      <c r="BE61" s="302">
        <f t="shared" si="27"/>
        <v>4.1666666666666661</v>
      </c>
      <c r="BF61" s="302" t="str">
        <f t="shared" si="28"/>
        <v>Bench</v>
      </c>
      <c r="BG61" s="303">
        <f t="shared" si="29"/>
        <v>3</v>
      </c>
      <c r="BH61" s="304">
        <f t="shared" si="30"/>
        <v>2</v>
      </c>
      <c r="BI61" s="241" t="str">
        <f t="shared" si="31"/>
        <v/>
      </c>
      <c r="BJ61" s="241" t="str">
        <f t="shared" si="32"/>
        <v>Unlikely</v>
      </c>
      <c r="BK61" s="242" t="str">
        <f t="shared" si="33"/>
        <v>A</v>
      </c>
      <c r="BL61" s="242">
        <f t="shared" si="34"/>
        <v>11</v>
      </c>
      <c r="BM61" s="242">
        <f t="shared" si="35"/>
        <v>11</v>
      </c>
      <c r="BN61" s="242">
        <f t="shared" si="36"/>
        <v>0</v>
      </c>
      <c r="BO61" s="242">
        <f t="shared" si="37"/>
        <v>0</v>
      </c>
      <c r="BP61" s="242">
        <f t="shared" si="38"/>
        <v>0</v>
      </c>
      <c r="BQ61" s="242">
        <f t="shared" si="39"/>
        <v>0</v>
      </c>
    </row>
    <row r="62" spans="1:69" s="305" customFormat="1" x14ac:dyDescent="0.25">
      <c r="A62" s="248" t="str">
        <f t="shared" si="21"/>
        <v>Juan Jose Deleón</v>
      </c>
      <c r="B62" s="248" t="str">
        <f>IF(ISERROR(VLOOKUP(A62,AMA!$C$53:$C$100,1,FALSE)),IF(ISERROR(VLOOKUP(A62,'END-AAA'!$C$51:$C$100,1,FALSE)),IF(ISERROR(VLOOKUP(A62,'DB-AA'!$C$51:$C$100,1,FALSE)),IF(ISERROR(VLOOKUP(A62,'UTR-A'!$C$51:$C$100,1,FALSE)),IF(ISERROR(VLOOKUP(A62,'FAI-S A'!$C$51:$C$100,1,FALSE)),"","S A"),"A"),"AA"),"AAA"),"ML")</f>
        <v/>
      </c>
      <c r="C62" s="242"/>
      <c r="D62" s="242" t="str">
        <f t="shared" si="22"/>
        <v>T</v>
      </c>
      <c r="E62" s="241" t="s">
        <v>87</v>
      </c>
      <c r="F62" s="241" t="s">
        <v>963</v>
      </c>
      <c r="G62" s="241" t="s">
        <v>964</v>
      </c>
      <c r="H62" s="241" t="s">
        <v>810</v>
      </c>
      <c r="I62" s="241" t="s">
        <v>83</v>
      </c>
      <c r="J62" s="241">
        <v>20</v>
      </c>
      <c r="K62" s="241" t="s">
        <v>83</v>
      </c>
      <c r="L62" s="298" t="s">
        <v>83</v>
      </c>
      <c r="M62" s="241" t="s">
        <v>816</v>
      </c>
      <c r="N62" s="241" t="s">
        <v>773</v>
      </c>
      <c r="O62" s="241" t="s">
        <v>200</v>
      </c>
      <c r="P62" s="298" t="s">
        <v>200</v>
      </c>
      <c r="Q62" s="241">
        <v>4</v>
      </c>
      <c r="R62" s="241">
        <v>2</v>
      </c>
      <c r="S62" s="298">
        <v>4</v>
      </c>
      <c r="T62" s="241">
        <v>5</v>
      </c>
      <c r="U62" s="241">
        <v>2</v>
      </c>
      <c r="V62" s="298">
        <v>5</v>
      </c>
      <c r="W62" s="241">
        <v>6</v>
      </c>
      <c r="X62" s="241">
        <v>7</v>
      </c>
      <c r="Y62" s="241">
        <v>6</v>
      </c>
      <c r="Z62" s="241">
        <v>7</v>
      </c>
      <c r="AA62" s="241">
        <v>2</v>
      </c>
      <c r="AB62" s="241">
        <v>3</v>
      </c>
      <c r="AC62" s="241" t="s">
        <v>32</v>
      </c>
      <c r="AD62" s="241" t="s">
        <v>32</v>
      </c>
      <c r="AE62" s="241" t="s">
        <v>32</v>
      </c>
      <c r="AF62" s="241" t="s">
        <v>32</v>
      </c>
      <c r="AG62" s="241">
        <v>4</v>
      </c>
      <c r="AH62" s="241">
        <v>5</v>
      </c>
      <c r="AI62" s="241" t="s">
        <v>32</v>
      </c>
      <c r="AJ62" s="241" t="s">
        <v>32</v>
      </c>
      <c r="AK62" s="241" t="s">
        <v>32</v>
      </c>
      <c r="AL62" s="241" t="s">
        <v>32</v>
      </c>
      <c r="AM62" s="241" t="s">
        <v>32</v>
      </c>
      <c r="AN62" s="241" t="s">
        <v>32</v>
      </c>
      <c r="AO62" s="241" t="s">
        <v>32</v>
      </c>
      <c r="AP62" s="241" t="s">
        <v>32</v>
      </c>
      <c r="AQ62" s="241" t="s">
        <v>32</v>
      </c>
      <c r="AR62" s="241" t="s">
        <v>32</v>
      </c>
      <c r="AS62" s="241" t="s">
        <v>32</v>
      </c>
      <c r="AT62" s="298" t="s">
        <v>32</v>
      </c>
      <c r="AU62" s="241" t="s">
        <v>2</v>
      </c>
      <c r="AV62" s="241">
        <v>6</v>
      </c>
      <c r="AW62" s="299" t="s">
        <v>393</v>
      </c>
      <c r="AX62" s="300" t="s">
        <v>32</v>
      </c>
      <c r="AY62" s="298">
        <v>0</v>
      </c>
      <c r="AZ62" s="240" t="s">
        <v>199</v>
      </c>
      <c r="BA62" s="301">
        <f t="shared" si="23"/>
        <v>4.0833333333333339</v>
      </c>
      <c r="BB62" s="302" t="str">
        <f t="shared" si="24"/>
        <v>Bench</v>
      </c>
      <c r="BC62" s="302">
        <f t="shared" si="25"/>
        <v>4.75</v>
      </c>
      <c r="BD62" s="302" t="str">
        <f t="shared" si="26"/>
        <v>Bench</v>
      </c>
      <c r="BE62" s="302">
        <f t="shared" si="27"/>
        <v>4.75</v>
      </c>
      <c r="BF62" s="302" t="str">
        <f t="shared" si="28"/>
        <v>Bench</v>
      </c>
      <c r="BG62" s="303">
        <f t="shared" si="29"/>
        <v>4</v>
      </c>
      <c r="BH62" s="304">
        <f t="shared" si="30"/>
        <v>2</v>
      </c>
      <c r="BI62" s="241" t="str">
        <f t="shared" si="31"/>
        <v/>
      </c>
      <c r="BJ62" s="241" t="str">
        <f t="shared" si="32"/>
        <v>Possible</v>
      </c>
      <c r="BK62" s="242" t="str">
        <f t="shared" si="33"/>
        <v>SS-A</v>
      </c>
      <c r="BL62" s="242">
        <f t="shared" si="34"/>
        <v>10</v>
      </c>
      <c r="BM62" s="242">
        <f t="shared" si="35"/>
        <v>12</v>
      </c>
      <c r="BN62" s="242">
        <f t="shared" si="36"/>
        <v>-1</v>
      </c>
      <c r="BO62" s="242">
        <f t="shared" si="37"/>
        <v>0</v>
      </c>
      <c r="BP62" s="242">
        <f t="shared" si="38"/>
        <v>-1</v>
      </c>
      <c r="BQ62" s="242">
        <f t="shared" si="39"/>
        <v>-2</v>
      </c>
    </row>
    <row r="63" spans="1:69" s="305" customFormat="1" x14ac:dyDescent="0.25">
      <c r="A63" s="248" t="str">
        <f t="shared" si="21"/>
        <v>Winston Freake</v>
      </c>
      <c r="B63" s="248" t="str">
        <f>IF(ISERROR(VLOOKUP(A63,AMA!$C$53:$C$100,1,FALSE)),IF(ISERROR(VLOOKUP(A63,'END-AAA'!$C$51:$C$100,1,FALSE)),IF(ISERROR(VLOOKUP(A63,'DB-AA'!$C$51:$C$100,1,FALSE)),IF(ISERROR(VLOOKUP(A63,'UTR-A'!$C$51:$C$100,1,FALSE)),IF(ISERROR(VLOOKUP(A63,'FAI-S A'!$C$51:$C$100,1,FALSE)),"","S A"),"A"),"AA"),"AAA"),"ML")</f>
        <v/>
      </c>
      <c r="C63" s="242"/>
      <c r="D63" s="242" t="str">
        <f t="shared" si="22"/>
        <v>T</v>
      </c>
      <c r="E63" s="241" t="s">
        <v>11</v>
      </c>
      <c r="F63" s="241" t="s">
        <v>972</v>
      </c>
      <c r="G63" s="241" t="s">
        <v>973</v>
      </c>
      <c r="H63" s="241" t="s">
        <v>814</v>
      </c>
      <c r="I63" s="241" t="s">
        <v>187</v>
      </c>
      <c r="J63" s="241">
        <v>22</v>
      </c>
      <c r="K63" s="241" t="s">
        <v>85</v>
      </c>
      <c r="L63" s="298" t="s">
        <v>83</v>
      </c>
      <c r="M63" s="241" t="s">
        <v>816</v>
      </c>
      <c r="N63" s="241" t="s">
        <v>816</v>
      </c>
      <c r="O63" s="241" t="s">
        <v>200</v>
      </c>
      <c r="P63" s="298" t="s">
        <v>200</v>
      </c>
      <c r="Q63" s="241">
        <v>5</v>
      </c>
      <c r="R63" s="241">
        <v>2</v>
      </c>
      <c r="S63" s="298">
        <v>3</v>
      </c>
      <c r="T63" s="241">
        <v>6</v>
      </c>
      <c r="U63" s="241">
        <v>2</v>
      </c>
      <c r="V63" s="298">
        <v>3</v>
      </c>
      <c r="W63" s="241" t="s">
        <v>32</v>
      </c>
      <c r="X63" s="241" t="s">
        <v>32</v>
      </c>
      <c r="Y63" s="241">
        <v>6</v>
      </c>
      <c r="Z63" s="241">
        <v>7</v>
      </c>
      <c r="AA63" s="241">
        <v>4</v>
      </c>
      <c r="AB63" s="241">
        <v>6</v>
      </c>
      <c r="AC63" s="241" t="s">
        <v>32</v>
      </c>
      <c r="AD63" s="241" t="s">
        <v>32</v>
      </c>
      <c r="AE63" s="241" t="s">
        <v>32</v>
      </c>
      <c r="AF63" s="241" t="s">
        <v>32</v>
      </c>
      <c r="AG63" s="241">
        <v>4</v>
      </c>
      <c r="AH63" s="241">
        <v>4</v>
      </c>
      <c r="AI63" s="241">
        <v>5</v>
      </c>
      <c r="AJ63" s="241">
        <v>6</v>
      </c>
      <c r="AK63" s="241" t="s">
        <v>32</v>
      </c>
      <c r="AL63" s="241" t="s">
        <v>32</v>
      </c>
      <c r="AM63" s="241" t="s">
        <v>32</v>
      </c>
      <c r="AN63" s="241" t="s">
        <v>32</v>
      </c>
      <c r="AO63" s="241" t="s">
        <v>32</v>
      </c>
      <c r="AP63" s="241" t="s">
        <v>32</v>
      </c>
      <c r="AQ63" s="241" t="s">
        <v>32</v>
      </c>
      <c r="AR63" s="241" t="s">
        <v>32</v>
      </c>
      <c r="AS63" s="241" t="s">
        <v>32</v>
      </c>
      <c r="AT63" s="298" t="s">
        <v>32</v>
      </c>
      <c r="AU63" s="241" t="s">
        <v>8</v>
      </c>
      <c r="AV63" s="241">
        <v>3</v>
      </c>
      <c r="AW63" s="299" t="s">
        <v>393</v>
      </c>
      <c r="AX63" s="300" t="s">
        <v>32</v>
      </c>
      <c r="AY63" s="298" t="s">
        <v>33</v>
      </c>
      <c r="AZ63" s="240" t="s">
        <v>199</v>
      </c>
      <c r="BA63" s="301">
        <f t="shared" si="23"/>
        <v>4.0833333333333339</v>
      </c>
      <c r="BB63" s="302" t="str">
        <f t="shared" si="24"/>
        <v>Bench</v>
      </c>
      <c r="BC63" s="302">
        <f t="shared" si="25"/>
        <v>4.4166666666666661</v>
      </c>
      <c r="BD63" s="302" t="str">
        <f t="shared" si="26"/>
        <v>Bench</v>
      </c>
      <c r="BE63" s="302">
        <f t="shared" si="27"/>
        <v>4.4166666666666661</v>
      </c>
      <c r="BF63" s="302" t="str">
        <f t="shared" si="28"/>
        <v>Bench</v>
      </c>
      <c r="BG63" s="303">
        <f t="shared" si="29"/>
        <v>4</v>
      </c>
      <c r="BH63" s="304">
        <f t="shared" si="30"/>
        <v>2</v>
      </c>
      <c r="BI63" s="241" t="str">
        <f t="shared" si="31"/>
        <v/>
      </c>
      <c r="BJ63" s="241" t="str">
        <f t="shared" si="32"/>
        <v>Unlikely</v>
      </c>
      <c r="BK63" s="242" t="str">
        <f t="shared" si="33"/>
        <v>SS-A</v>
      </c>
      <c r="BL63" s="242">
        <f t="shared" si="34"/>
        <v>10</v>
      </c>
      <c r="BM63" s="242">
        <f t="shared" si="35"/>
        <v>11</v>
      </c>
      <c r="BN63" s="242">
        <f t="shared" si="36"/>
        <v>-1</v>
      </c>
      <c r="BO63" s="242">
        <f t="shared" si="37"/>
        <v>0</v>
      </c>
      <c r="BP63" s="242">
        <f t="shared" si="38"/>
        <v>0</v>
      </c>
      <c r="BQ63" s="242">
        <f t="shared" si="39"/>
        <v>-1</v>
      </c>
    </row>
    <row r="64" spans="1:69" s="305" customFormat="1" x14ac:dyDescent="0.25">
      <c r="A64" s="248" t="str">
        <f t="shared" si="21"/>
        <v>Rubén Chávez</v>
      </c>
      <c r="B64" s="248" t="str">
        <f>IF(ISERROR(VLOOKUP(A64,AMA!$C$53:$C$100,1,FALSE)),IF(ISERROR(VLOOKUP(A64,'END-AAA'!$C$51:$C$100,1,FALSE)),IF(ISERROR(VLOOKUP(A64,'DB-AA'!$C$51:$C$100,1,FALSE)),IF(ISERROR(VLOOKUP(A64,'UTR-A'!$C$51:$C$100,1,FALSE)),IF(ISERROR(VLOOKUP(A64,'FAI-S A'!$C$51:$C$100,1,FALSE)),"","S A"),"A"),"AA"),"AAA"),"ML")</f>
        <v/>
      </c>
      <c r="C64" s="242"/>
      <c r="D64" s="242" t="str">
        <f t="shared" si="22"/>
        <v>T</v>
      </c>
      <c r="E64" s="241" t="s">
        <v>87</v>
      </c>
      <c r="F64" s="241" t="s">
        <v>403</v>
      </c>
      <c r="G64" s="241" t="s">
        <v>871</v>
      </c>
      <c r="H64" s="241" t="s">
        <v>802</v>
      </c>
      <c r="I64" s="241" t="s">
        <v>277</v>
      </c>
      <c r="J64" s="241">
        <v>21</v>
      </c>
      <c r="K64" s="241" t="s">
        <v>83</v>
      </c>
      <c r="L64" s="298" t="s">
        <v>83</v>
      </c>
      <c r="M64" s="241" t="s">
        <v>816</v>
      </c>
      <c r="N64" s="241" t="s">
        <v>773</v>
      </c>
      <c r="O64" s="241" t="s">
        <v>200</v>
      </c>
      <c r="P64" s="298" t="s">
        <v>200</v>
      </c>
      <c r="Q64" s="241">
        <v>3</v>
      </c>
      <c r="R64" s="241">
        <v>5</v>
      </c>
      <c r="S64" s="298">
        <v>2</v>
      </c>
      <c r="T64" s="241">
        <v>4</v>
      </c>
      <c r="U64" s="241">
        <v>5</v>
      </c>
      <c r="V64" s="298">
        <v>3</v>
      </c>
      <c r="W64" s="241">
        <v>6</v>
      </c>
      <c r="X64" s="241">
        <v>7</v>
      </c>
      <c r="Y64" s="241" t="s">
        <v>32</v>
      </c>
      <c r="Z64" s="241" t="s">
        <v>32</v>
      </c>
      <c r="AA64" s="241">
        <v>3</v>
      </c>
      <c r="AB64" s="241">
        <v>6</v>
      </c>
      <c r="AC64" s="241" t="s">
        <v>32</v>
      </c>
      <c r="AD64" s="241" t="s">
        <v>32</v>
      </c>
      <c r="AE64" s="241" t="s">
        <v>32</v>
      </c>
      <c r="AF64" s="241" t="s">
        <v>32</v>
      </c>
      <c r="AG64" s="241">
        <v>5</v>
      </c>
      <c r="AH64" s="241">
        <v>6</v>
      </c>
      <c r="AI64" s="241" t="s">
        <v>32</v>
      </c>
      <c r="AJ64" s="241" t="s">
        <v>32</v>
      </c>
      <c r="AK64" s="241" t="s">
        <v>32</v>
      </c>
      <c r="AL64" s="241" t="s">
        <v>32</v>
      </c>
      <c r="AM64" s="241" t="s">
        <v>32</v>
      </c>
      <c r="AN64" s="241" t="s">
        <v>32</v>
      </c>
      <c r="AO64" s="241" t="s">
        <v>32</v>
      </c>
      <c r="AP64" s="241" t="s">
        <v>32</v>
      </c>
      <c r="AQ64" s="241" t="s">
        <v>32</v>
      </c>
      <c r="AR64" s="241" t="s">
        <v>32</v>
      </c>
      <c r="AS64" s="241" t="s">
        <v>32</v>
      </c>
      <c r="AT64" s="298" t="s">
        <v>32</v>
      </c>
      <c r="AU64" s="241" t="s">
        <v>8</v>
      </c>
      <c r="AV64" s="241">
        <v>8</v>
      </c>
      <c r="AW64" s="299" t="s">
        <v>394</v>
      </c>
      <c r="AX64" s="300" t="s">
        <v>32</v>
      </c>
      <c r="AY64" s="298" t="s">
        <v>33</v>
      </c>
      <c r="AZ64" s="240" t="s">
        <v>779</v>
      </c>
      <c r="BA64" s="301">
        <f t="shared" si="23"/>
        <v>3.8333333333333335</v>
      </c>
      <c r="BB64" s="302" t="str">
        <f t="shared" si="24"/>
        <v>Minors</v>
      </c>
      <c r="BC64" s="302">
        <f t="shared" si="25"/>
        <v>4.5</v>
      </c>
      <c r="BD64" s="302" t="str">
        <f t="shared" si="26"/>
        <v>Bench</v>
      </c>
      <c r="BE64" s="302">
        <f t="shared" si="27"/>
        <v>4.5</v>
      </c>
      <c r="BF64" s="302" t="str">
        <f t="shared" si="28"/>
        <v>Bench</v>
      </c>
      <c r="BG64" s="303">
        <f t="shared" si="29"/>
        <v>3</v>
      </c>
      <c r="BH64" s="304">
        <f t="shared" si="30"/>
        <v>2</v>
      </c>
      <c r="BI64" s="241" t="str">
        <f t="shared" si="31"/>
        <v/>
      </c>
      <c r="BJ64" s="241" t="str">
        <f t="shared" si="32"/>
        <v>Possible</v>
      </c>
      <c r="BK64" s="242" t="str">
        <f t="shared" si="33"/>
        <v>SS-A</v>
      </c>
      <c r="BL64" s="242">
        <f t="shared" si="34"/>
        <v>10</v>
      </c>
      <c r="BM64" s="242">
        <f t="shared" si="35"/>
        <v>12</v>
      </c>
      <c r="BN64" s="242">
        <f t="shared" si="36"/>
        <v>-1</v>
      </c>
      <c r="BO64" s="242">
        <f t="shared" si="37"/>
        <v>0</v>
      </c>
      <c r="BP64" s="242">
        <f t="shared" si="38"/>
        <v>-1</v>
      </c>
      <c r="BQ64" s="242">
        <f t="shared" si="39"/>
        <v>-2</v>
      </c>
    </row>
    <row r="65" spans="1:69" s="305" customFormat="1" x14ac:dyDescent="0.25">
      <c r="A65" s="248" t="str">
        <f t="shared" si="21"/>
        <v>Luis Arroyo</v>
      </c>
      <c r="B65" s="248" t="str">
        <f>IF(ISERROR(VLOOKUP(A65,AMA!$C$53:$C$100,1,FALSE)),IF(ISERROR(VLOOKUP(A65,'END-AAA'!$C$51:$C$100,1,FALSE)),IF(ISERROR(VLOOKUP(A65,'DB-AA'!$C$51:$C$100,1,FALSE)),IF(ISERROR(VLOOKUP(A65,'UTR-A'!$C$51:$C$100,1,FALSE)),IF(ISERROR(VLOOKUP(A65,'FAI-S A'!$C$51:$C$100,1,FALSE)),"","S A"),"A"),"AA"),"AAA"),"ML")</f>
        <v/>
      </c>
      <c r="C65" s="242"/>
      <c r="D65" s="242" t="str">
        <f t="shared" si="22"/>
        <v>T</v>
      </c>
      <c r="E65" s="241" t="s">
        <v>87</v>
      </c>
      <c r="F65" s="241" t="s">
        <v>521</v>
      </c>
      <c r="G65" s="241" t="s">
        <v>934</v>
      </c>
      <c r="H65" s="241" t="s">
        <v>769</v>
      </c>
      <c r="I65" s="241" t="s">
        <v>186</v>
      </c>
      <c r="J65" s="241">
        <v>26</v>
      </c>
      <c r="K65" s="241" t="s">
        <v>82</v>
      </c>
      <c r="L65" s="298" t="s">
        <v>82</v>
      </c>
      <c r="M65" s="241" t="s">
        <v>803</v>
      </c>
      <c r="N65" s="241" t="s">
        <v>808</v>
      </c>
      <c r="O65" s="241" t="s">
        <v>200</v>
      </c>
      <c r="P65" s="298" t="s">
        <v>200</v>
      </c>
      <c r="Q65" s="241">
        <v>4</v>
      </c>
      <c r="R65" s="241">
        <v>4</v>
      </c>
      <c r="S65" s="298">
        <v>2</v>
      </c>
      <c r="T65" s="241">
        <v>5</v>
      </c>
      <c r="U65" s="241">
        <v>4</v>
      </c>
      <c r="V65" s="298">
        <v>2</v>
      </c>
      <c r="W65" s="241">
        <v>6</v>
      </c>
      <c r="X65" s="241">
        <v>6</v>
      </c>
      <c r="Y65" s="241">
        <v>6</v>
      </c>
      <c r="Z65" s="241">
        <v>7</v>
      </c>
      <c r="AA65" s="241" t="s">
        <v>32</v>
      </c>
      <c r="AB65" s="241" t="s">
        <v>32</v>
      </c>
      <c r="AC65" s="241" t="s">
        <v>32</v>
      </c>
      <c r="AD65" s="241" t="s">
        <v>32</v>
      </c>
      <c r="AE65" s="241" t="s">
        <v>32</v>
      </c>
      <c r="AF65" s="241" t="s">
        <v>32</v>
      </c>
      <c r="AG65" s="241">
        <v>6</v>
      </c>
      <c r="AH65" s="241">
        <v>6</v>
      </c>
      <c r="AI65" s="241" t="s">
        <v>32</v>
      </c>
      <c r="AJ65" s="241" t="s">
        <v>32</v>
      </c>
      <c r="AK65" s="241" t="s">
        <v>32</v>
      </c>
      <c r="AL65" s="241" t="s">
        <v>32</v>
      </c>
      <c r="AM65" s="241" t="s">
        <v>32</v>
      </c>
      <c r="AN65" s="241" t="s">
        <v>32</v>
      </c>
      <c r="AO65" s="241" t="s">
        <v>32</v>
      </c>
      <c r="AP65" s="241" t="s">
        <v>32</v>
      </c>
      <c r="AQ65" s="241" t="s">
        <v>32</v>
      </c>
      <c r="AR65" s="241" t="s">
        <v>32</v>
      </c>
      <c r="AS65" s="241" t="s">
        <v>32</v>
      </c>
      <c r="AT65" s="298" t="s">
        <v>32</v>
      </c>
      <c r="AU65" s="241" t="s">
        <v>209</v>
      </c>
      <c r="AV65" s="241">
        <v>8</v>
      </c>
      <c r="AW65" s="299" t="s">
        <v>393</v>
      </c>
      <c r="AX65" s="300" t="s">
        <v>32</v>
      </c>
      <c r="AY65" s="298" t="s">
        <v>33</v>
      </c>
      <c r="AZ65" s="240" t="s">
        <v>779</v>
      </c>
      <c r="BA65" s="301">
        <f t="shared" si="23"/>
        <v>3.8333333333333335</v>
      </c>
      <c r="BB65" s="302" t="str">
        <f t="shared" si="24"/>
        <v>Minors</v>
      </c>
      <c r="BC65" s="302">
        <f t="shared" si="25"/>
        <v>4.1666666666666661</v>
      </c>
      <c r="BD65" s="302" t="str">
        <f t="shared" si="26"/>
        <v>Bench</v>
      </c>
      <c r="BE65" s="302">
        <f t="shared" si="27"/>
        <v>4.1666666666666661</v>
      </c>
      <c r="BF65" s="302" t="str">
        <f t="shared" si="28"/>
        <v>Bench</v>
      </c>
      <c r="BG65" s="303">
        <f t="shared" si="29"/>
        <v>3</v>
      </c>
      <c r="BH65" s="304">
        <f t="shared" si="30"/>
        <v>3</v>
      </c>
      <c r="BI65" s="241" t="str">
        <f t="shared" si="31"/>
        <v/>
      </c>
      <c r="BJ65" s="241" t="str">
        <f t="shared" si="32"/>
        <v>Unlikely</v>
      </c>
      <c r="BK65" s="242" t="str">
        <f t="shared" si="33"/>
        <v>SS-A</v>
      </c>
      <c r="BL65" s="242">
        <f t="shared" si="34"/>
        <v>10</v>
      </c>
      <c r="BM65" s="242">
        <f t="shared" si="35"/>
        <v>11</v>
      </c>
      <c r="BN65" s="242">
        <f t="shared" si="36"/>
        <v>-1</v>
      </c>
      <c r="BO65" s="242">
        <f t="shared" si="37"/>
        <v>0</v>
      </c>
      <c r="BP65" s="242">
        <f t="shared" si="38"/>
        <v>0</v>
      </c>
      <c r="BQ65" s="242">
        <f t="shared" si="39"/>
        <v>-1</v>
      </c>
    </row>
    <row r="66" spans="1:69" s="305" customFormat="1" x14ac:dyDescent="0.25">
      <c r="A66" s="248" t="str">
        <f t="shared" si="21"/>
        <v>Seinosuke Shimizu</v>
      </c>
      <c r="B66" s="248" t="str">
        <f>IF(ISERROR(VLOOKUP(A66,AMA!$C$53:$C$100,1,FALSE)),IF(ISERROR(VLOOKUP(A66,'END-AAA'!$C$51:$C$100,1,FALSE)),IF(ISERROR(VLOOKUP(A66,'DB-AA'!$C$51:$C$100,1,FALSE)),IF(ISERROR(VLOOKUP(A66,'UTR-A'!$C$51:$C$100,1,FALSE)),IF(ISERROR(VLOOKUP(A66,'FAI-S A'!$C$51:$C$100,1,FALSE)),"","S A"),"A"),"AA"),"AAA"),"ML")</f>
        <v/>
      </c>
      <c r="C66" s="242"/>
      <c r="D66" s="242" t="str">
        <f t="shared" si="22"/>
        <v>T</v>
      </c>
      <c r="E66" s="241" t="s">
        <v>11</v>
      </c>
      <c r="F66" s="241" t="s">
        <v>1014</v>
      </c>
      <c r="G66" s="241" t="s">
        <v>1015</v>
      </c>
      <c r="H66" s="241" t="s">
        <v>814</v>
      </c>
      <c r="I66" s="241" t="s">
        <v>187</v>
      </c>
      <c r="J66" s="241">
        <v>23</v>
      </c>
      <c r="K66" s="241" t="s">
        <v>83</v>
      </c>
      <c r="L66" s="298" t="s">
        <v>83</v>
      </c>
      <c r="M66" s="241" t="s">
        <v>816</v>
      </c>
      <c r="N66" s="241" t="s">
        <v>816</v>
      </c>
      <c r="O66" s="241" t="s">
        <v>200</v>
      </c>
      <c r="P66" s="298" t="s">
        <v>200</v>
      </c>
      <c r="Q66" s="241">
        <v>4</v>
      </c>
      <c r="R66" s="241">
        <v>2</v>
      </c>
      <c r="S66" s="298">
        <v>4</v>
      </c>
      <c r="T66" s="241">
        <v>5</v>
      </c>
      <c r="U66" s="241">
        <v>2</v>
      </c>
      <c r="V66" s="298">
        <v>4</v>
      </c>
      <c r="W66" s="241">
        <v>6</v>
      </c>
      <c r="X66" s="241">
        <v>7</v>
      </c>
      <c r="Y66" s="241">
        <v>3</v>
      </c>
      <c r="Z66" s="241">
        <v>4</v>
      </c>
      <c r="AA66" s="241" t="s">
        <v>32</v>
      </c>
      <c r="AB66" s="241" t="s">
        <v>32</v>
      </c>
      <c r="AC66" s="241">
        <v>5</v>
      </c>
      <c r="AD66" s="241">
        <v>6</v>
      </c>
      <c r="AE66" s="241" t="s">
        <v>32</v>
      </c>
      <c r="AF66" s="241" t="s">
        <v>32</v>
      </c>
      <c r="AG66" s="241" t="s">
        <v>32</v>
      </c>
      <c r="AH66" s="241" t="s">
        <v>32</v>
      </c>
      <c r="AI66" s="241" t="s">
        <v>32</v>
      </c>
      <c r="AJ66" s="241" t="s">
        <v>32</v>
      </c>
      <c r="AK66" s="241" t="s">
        <v>32</v>
      </c>
      <c r="AL66" s="241" t="s">
        <v>32</v>
      </c>
      <c r="AM66" s="241" t="s">
        <v>32</v>
      </c>
      <c r="AN66" s="241" t="s">
        <v>32</v>
      </c>
      <c r="AO66" s="241" t="s">
        <v>32</v>
      </c>
      <c r="AP66" s="241" t="s">
        <v>32</v>
      </c>
      <c r="AQ66" s="241" t="s">
        <v>32</v>
      </c>
      <c r="AR66" s="241" t="s">
        <v>32</v>
      </c>
      <c r="AS66" s="241" t="s">
        <v>32</v>
      </c>
      <c r="AT66" s="298" t="s">
        <v>32</v>
      </c>
      <c r="AU66" s="241" t="s">
        <v>6</v>
      </c>
      <c r="AV66" s="241">
        <v>5</v>
      </c>
      <c r="AW66" s="299" t="s">
        <v>393</v>
      </c>
      <c r="AX66" s="300" t="s">
        <v>32</v>
      </c>
      <c r="AY66" s="298" t="s">
        <v>33</v>
      </c>
      <c r="AZ66" s="240" t="s">
        <v>779</v>
      </c>
      <c r="BA66" s="301">
        <f t="shared" si="23"/>
        <v>3.8333333333333335</v>
      </c>
      <c r="BB66" s="302" t="str">
        <f t="shared" si="24"/>
        <v>Minors</v>
      </c>
      <c r="BC66" s="302">
        <f t="shared" si="25"/>
        <v>4.1666666666666661</v>
      </c>
      <c r="BD66" s="302" t="str">
        <f t="shared" si="26"/>
        <v>Bench</v>
      </c>
      <c r="BE66" s="302">
        <f t="shared" si="27"/>
        <v>4.1666666666666661</v>
      </c>
      <c r="BF66" s="302" t="str">
        <f t="shared" si="28"/>
        <v>Bench</v>
      </c>
      <c r="BG66" s="303">
        <f t="shared" si="29"/>
        <v>3</v>
      </c>
      <c r="BH66" s="304">
        <f t="shared" si="30"/>
        <v>1.5</v>
      </c>
      <c r="BI66" s="241" t="str">
        <f t="shared" si="31"/>
        <v/>
      </c>
      <c r="BJ66" s="241" t="str">
        <f t="shared" si="32"/>
        <v>Unlikely</v>
      </c>
      <c r="BK66" s="242" t="str">
        <f t="shared" si="33"/>
        <v>SS-A</v>
      </c>
      <c r="BL66" s="242">
        <f t="shared" si="34"/>
        <v>10</v>
      </c>
      <c r="BM66" s="242">
        <f t="shared" si="35"/>
        <v>11</v>
      </c>
      <c r="BN66" s="242">
        <f t="shared" si="36"/>
        <v>-1</v>
      </c>
      <c r="BO66" s="242">
        <f t="shared" si="37"/>
        <v>0</v>
      </c>
      <c r="BP66" s="242">
        <f t="shared" si="38"/>
        <v>0</v>
      </c>
      <c r="BQ66" s="242">
        <f t="shared" si="39"/>
        <v>-1</v>
      </c>
    </row>
    <row r="67" spans="1:69" s="305" customFormat="1" x14ac:dyDescent="0.25">
      <c r="A67" s="248" t="str">
        <f t="shared" si="21"/>
        <v>Hong-bin Zhang</v>
      </c>
      <c r="B67" s="248" t="str">
        <f>IF(ISERROR(VLOOKUP(A67,AMA!$C$53:$C$100,1,FALSE)),IF(ISERROR(VLOOKUP(A67,'END-AAA'!$C$51:$C$100,1,FALSE)),IF(ISERROR(VLOOKUP(A67,'DB-AA'!$C$51:$C$100,1,FALSE)),IF(ISERROR(VLOOKUP(A67,'UTR-A'!$C$51:$C$100,1,FALSE)),IF(ISERROR(VLOOKUP(A67,'FAI-S A'!$C$51:$C$100,1,FALSE)),"","S A"),"A"),"AA"),"AAA"),"ML")</f>
        <v/>
      </c>
      <c r="C67" s="242"/>
      <c r="D67" s="242" t="str">
        <f t="shared" si="22"/>
        <v>T</v>
      </c>
      <c r="E67" s="241" t="s">
        <v>87</v>
      </c>
      <c r="F67" s="241" t="s">
        <v>1028</v>
      </c>
      <c r="G67" s="241" t="s">
        <v>867</v>
      </c>
      <c r="H67" s="241" t="s">
        <v>802</v>
      </c>
      <c r="I67" s="241" t="s">
        <v>277</v>
      </c>
      <c r="J67" s="241">
        <v>23</v>
      </c>
      <c r="K67" s="241" t="s">
        <v>82</v>
      </c>
      <c r="L67" s="298" t="s">
        <v>82</v>
      </c>
      <c r="M67" s="241" t="s">
        <v>816</v>
      </c>
      <c r="N67" s="241" t="s">
        <v>816</v>
      </c>
      <c r="O67" s="241" t="s">
        <v>201</v>
      </c>
      <c r="P67" s="298" t="s">
        <v>199</v>
      </c>
      <c r="Q67" s="241">
        <v>4</v>
      </c>
      <c r="R67" s="241">
        <v>2</v>
      </c>
      <c r="S67" s="298">
        <v>3</v>
      </c>
      <c r="T67" s="241">
        <v>5</v>
      </c>
      <c r="U67" s="241">
        <v>2</v>
      </c>
      <c r="V67" s="298">
        <v>3</v>
      </c>
      <c r="W67" s="241">
        <v>6</v>
      </c>
      <c r="X67" s="241">
        <v>6</v>
      </c>
      <c r="Y67" s="241">
        <v>4</v>
      </c>
      <c r="Z67" s="241">
        <v>5</v>
      </c>
      <c r="AA67" s="241">
        <v>4</v>
      </c>
      <c r="AB67" s="241">
        <v>4</v>
      </c>
      <c r="AC67" s="241" t="s">
        <v>32</v>
      </c>
      <c r="AD67" s="241" t="s">
        <v>32</v>
      </c>
      <c r="AE67" s="241" t="s">
        <v>32</v>
      </c>
      <c r="AF67" s="241" t="s">
        <v>32</v>
      </c>
      <c r="AG67" s="241" t="s">
        <v>32</v>
      </c>
      <c r="AH67" s="241" t="s">
        <v>32</v>
      </c>
      <c r="AI67" s="241" t="s">
        <v>32</v>
      </c>
      <c r="AJ67" s="241" t="s">
        <v>32</v>
      </c>
      <c r="AK67" s="241">
        <v>6</v>
      </c>
      <c r="AL67" s="241">
        <v>6</v>
      </c>
      <c r="AM67" s="241" t="s">
        <v>32</v>
      </c>
      <c r="AN67" s="241" t="s">
        <v>32</v>
      </c>
      <c r="AO67" s="241" t="s">
        <v>32</v>
      </c>
      <c r="AP67" s="241" t="s">
        <v>32</v>
      </c>
      <c r="AQ67" s="241" t="s">
        <v>32</v>
      </c>
      <c r="AR67" s="241" t="s">
        <v>32</v>
      </c>
      <c r="AS67" s="241" t="s">
        <v>32</v>
      </c>
      <c r="AT67" s="298" t="s">
        <v>32</v>
      </c>
      <c r="AU67" s="241" t="s">
        <v>8</v>
      </c>
      <c r="AV67" s="241">
        <v>7</v>
      </c>
      <c r="AW67" s="299" t="s">
        <v>393</v>
      </c>
      <c r="AX67" s="300" t="s">
        <v>32</v>
      </c>
      <c r="AY67" s="298" t="s">
        <v>33</v>
      </c>
      <c r="AZ67" s="240" t="s">
        <v>199</v>
      </c>
      <c r="BA67" s="301">
        <f t="shared" si="23"/>
        <v>3.75</v>
      </c>
      <c r="BB67" s="302" t="str">
        <f t="shared" si="24"/>
        <v>Minors</v>
      </c>
      <c r="BC67" s="302">
        <f t="shared" si="25"/>
        <v>4.0833333333333339</v>
      </c>
      <c r="BD67" s="302" t="str">
        <f t="shared" si="26"/>
        <v>Bench</v>
      </c>
      <c r="BE67" s="302">
        <f t="shared" si="27"/>
        <v>4.0833333333333339</v>
      </c>
      <c r="BF67" s="302" t="str">
        <f t="shared" si="28"/>
        <v>Bench</v>
      </c>
      <c r="BG67" s="303">
        <f t="shared" si="29"/>
        <v>4</v>
      </c>
      <c r="BH67" s="304">
        <f t="shared" si="30"/>
        <v>2</v>
      </c>
      <c r="BI67" s="241" t="str">
        <f t="shared" si="31"/>
        <v/>
      </c>
      <c r="BJ67" s="241" t="str">
        <f t="shared" si="32"/>
        <v>Unlikely</v>
      </c>
      <c r="BK67" s="242" t="str">
        <f t="shared" si="33"/>
        <v>SS-A</v>
      </c>
      <c r="BL67" s="242">
        <f t="shared" si="34"/>
        <v>9</v>
      </c>
      <c r="BM67" s="242">
        <f t="shared" si="35"/>
        <v>10</v>
      </c>
      <c r="BN67" s="242">
        <f t="shared" si="36"/>
        <v>-1</v>
      </c>
      <c r="BO67" s="242">
        <f t="shared" si="37"/>
        <v>0</v>
      </c>
      <c r="BP67" s="242">
        <f t="shared" si="38"/>
        <v>0</v>
      </c>
      <c r="BQ67" s="242">
        <f t="shared" si="39"/>
        <v>-1</v>
      </c>
    </row>
    <row r="68" spans="1:69" s="305" customFormat="1" x14ac:dyDescent="0.25">
      <c r="A68" s="248" t="str">
        <f t="shared" si="21"/>
        <v>Alfredo Hernández</v>
      </c>
      <c r="B68" s="248" t="str">
        <f>IF(ISERROR(VLOOKUP(A68,AMA!$C$53:$C$100,1,FALSE)),IF(ISERROR(VLOOKUP(A68,'END-AAA'!$C$51:$C$100,1,FALSE)),IF(ISERROR(VLOOKUP(A68,'DB-AA'!$C$51:$C$100,1,FALSE)),IF(ISERROR(VLOOKUP(A68,'UTR-A'!$C$51:$C$100,1,FALSE)),IF(ISERROR(VLOOKUP(A68,'FAI-S A'!$C$51:$C$100,1,FALSE)),"","S A"),"A"),"AA"),"AAA"),"ML")</f>
        <v/>
      </c>
      <c r="C68" s="242"/>
      <c r="D68" s="242" t="str">
        <f t="shared" si="22"/>
        <v>K</v>
      </c>
      <c r="E68" s="20" t="s">
        <v>87</v>
      </c>
      <c r="F68" s="20" t="s">
        <v>417</v>
      </c>
      <c r="G68" s="20" t="s">
        <v>401</v>
      </c>
      <c r="H68" s="20" t="s">
        <v>802</v>
      </c>
      <c r="I68" s="20" t="s">
        <v>277</v>
      </c>
      <c r="J68" s="20">
        <v>22</v>
      </c>
      <c r="K68" s="20" t="s">
        <v>83</v>
      </c>
      <c r="L68" s="21" t="s">
        <v>83</v>
      </c>
      <c r="M68" s="20" t="s">
        <v>816</v>
      </c>
      <c r="N68" s="20" t="s">
        <v>816</v>
      </c>
      <c r="O68" s="20" t="s">
        <v>200</v>
      </c>
      <c r="P68" s="21" t="s">
        <v>199</v>
      </c>
      <c r="Q68" s="20">
        <v>5</v>
      </c>
      <c r="R68" s="20">
        <v>1</v>
      </c>
      <c r="S68" s="21">
        <v>2</v>
      </c>
      <c r="T68" s="20">
        <v>5</v>
      </c>
      <c r="U68" s="20">
        <v>1</v>
      </c>
      <c r="V68" s="21">
        <v>2</v>
      </c>
      <c r="W68" s="20">
        <v>6</v>
      </c>
      <c r="X68" s="20">
        <v>6</v>
      </c>
      <c r="Y68" s="20">
        <v>1</v>
      </c>
      <c r="Z68" s="20">
        <v>4</v>
      </c>
      <c r="AA68" s="20">
        <v>5</v>
      </c>
      <c r="AB68" s="20">
        <v>5</v>
      </c>
      <c r="AC68" s="20" t="s">
        <v>32</v>
      </c>
      <c r="AD68" s="20" t="s">
        <v>32</v>
      </c>
      <c r="AE68" s="20" t="s">
        <v>32</v>
      </c>
      <c r="AF68" s="20" t="s">
        <v>32</v>
      </c>
      <c r="AG68" s="20" t="s">
        <v>32</v>
      </c>
      <c r="AH68" s="20" t="s">
        <v>32</v>
      </c>
      <c r="AI68" s="20">
        <v>5</v>
      </c>
      <c r="AJ68" s="20">
        <v>5</v>
      </c>
      <c r="AK68" s="20">
        <v>5</v>
      </c>
      <c r="AL68" s="20">
        <v>5</v>
      </c>
      <c r="AM68" s="20" t="s">
        <v>32</v>
      </c>
      <c r="AN68" s="20" t="s">
        <v>32</v>
      </c>
      <c r="AO68" s="20" t="s">
        <v>32</v>
      </c>
      <c r="AP68" s="20" t="s">
        <v>32</v>
      </c>
      <c r="AQ68" s="20" t="s">
        <v>32</v>
      </c>
      <c r="AR68" s="20" t="s">
        <v>32</v>
      </c>
      <c r="AS68" s="20" t="s">
        <v>32</v>
      </c>
      <c r="AT68" s="21" t="s">
        <v>32</v>
      </c>
      <c r="AU68" s="20" t="s">
        <v>333</v>
      </c>
      <c r="AV68" s="20">
        <v>8</v>
      </c>
      <c r="AW68" s="75" t="s">
        <v>40</v>
      </c>
      <c r="AX68" s="79" t="s">
        <v>32</v>
      </c>
      <c r="AY68" s="21">
        <v>0</v>
      </c>
      <c r="AZ68" s="65" t="s">
        <v>779</v>
      </c>
      <c r="BA68" s="301">
        <f t="shared" si="23"/>
        <v>3.6666666666666665</v>
      </c>
      <c r="BB68" s="302" t="str">
        <f t="shared" si="24"/>
        <v>Minors</v>
      </c>
      <c r="BC68" s="302">
        <f t="shared" si="25"/>
        <v>3.6666666666666665</v>
      </c>
      <c r="BD68" s="302" t="str">
        <f t="shared" si="26"/>
        <v>Minors</v>
      </c>
      <c r="BE68" s="302">
        <f t="shared" si="27"/>
        <v>3.6666666666666665</v>
      </c>
      <c r="BF68" s="302" t="str">
        <f t="shared" si="28"/>
        <v>Minors</v>
      </c>
      <c r="BG68" s="303">
        <f t="shared" si="29"/>
        <v>5</v>
      </c>
      <c r="BH68" s="304">
        <f t="shared" si="30"/>
        <v>1</v>
      </c>
      <c r="BI68" s="241" t="str">
        <f t="shared" si="31"/>
        <v/>
      </c>
      <c r="BJ68" s="241" t="str">
        <f t="shared" si="32"/>
        <v>Unlikely</v>
      </c>
      <c r="BK68" s="242" t="str">
        <f t="shared" si="33"/>
        <v>SS-A</v>
      </c>
      <c r="BL68" s="242">
        <f t="shared" si="34"/>
        <v>8</v>
      </c>
      <c r="BM68" s="242">
        <f t="shared" si="35"/>
        <v>8</v>
      </c>
      <c r="BN68" s="242">
        <f t="shared" si="36"/>
        <v>0</v>
      </c>
      <c r="BO68" s="242">
        <f t="shared" si="37"/>
        <v>0</v>
      </c>
      <c r="BP68" s="242">
        <f t="shared" si="38"/>
        <v>0</v>
      </c>
      <c r="BQ68" s="242">
        <f t="shared" si="39"/>
        <v>0</v>
      </c>
    </row>
    <row r="69" spans="1:69" s="305" customFormat="1" x14ac:dyDescent="0.25">
      <c r="A69" s="248" t="str">
        <f t="shared" si="21"/>
        <v>Roy Elliott</v>
      </c>
      <c r="B69" s="248" t="str">
        <f>IF(ISERROR(VLOOKUP(A69,AMA!$C$53:$C$100,1,FALSE)),IF(ISERROR(VLOOKUP(A69,'END-AAA'!$C$51:$C$100,1,FALSE)),IF(ISERROR(VLOOKUP(A69,'DB-AA'!$C$51:$C$100,1,FALSE)),IF(ISERROR(VLOOKUP(A69,'UTR-A'!$C$51:$C$100,1,FALSE)),IF(ISERROR(VLOOKUP(A69,'FAI-S A'!$C$51:$C$100,1,FALSE)),"","S A"),"A"),"AA"),"AAA"),"ML")</f>
        <v/>
      </c>
      <c r="C69" s="242"/>
      <c r="D69" s="242" t="str">
        <f t="shared" si="22"/>
        <v>T</v>
      </c>
      <c r="E69" s="241" t="s">
        <v>11</v>
      </c>
      <c r="F69" s="241" t="s">
        <v>969</v>
      </c>
      <c r="G69" s="241" t="s">
        <v>970</v>
      </c>
      <c r="H69" s="241" t="s">
        <v>814</v>
      </c>
      <c r="I69" s="241" t="s">
        <v>187</v>
      </c>
      <c r="J69" s="241">
        <v>22</v>
      </c>
      <c r="K69" s="241" t="s">
        <v>83</v>
      </c>
      <c r="L69" s="298" t="s">
        <v>82</v>
      </c>
      <c r="M69" s="241" t="s">
        <v>816</v>
      </c>
      <c r="N69" s="241" t="s">
        <v>773</v>
      </c>
      <c r="O69" s="241" t="s">
        <v>200</v>
      </c>
      <c r="P69" s="298" t="s">
        <v>200</v>
      </c>
      <c r="Q69" s="241">
        <v>5</v>
      </c>
      <c r="R69" s="241">
        <v>2</v>
      </c>
      <c r="S69" s="298">
        <v>2</v>
      </c>
      <c r="T69" s="241">
        <v>10</v>
      </c>
      <c r="U69" s="241">
        <v>4</v>
      </c>
      <c r="V69" s="298">
        <v>2</v>
      </c>
      <c r="W69" s="241">
        <v>8</v>
      </c>
      <c r="X69" s="241">
        <v>10</v>
      </c>
      <c r="Y69" s="241" t="s">
        <v>32</v>
      </c>
      <c r="Z69" s="241" t="s">
        <v>32</v>
      </c>
      <c r="AA69" s="241" t="s">
        <v>32</v>
      </c>
      <c r="AB69" s="241" t="s">
        <v>32</v>
      </c>
      <c r="AC69" s="241">
        <v>5</v>
      </c>
      <c r="AD69" s="241">
        <v>10</v>
      </c>
      <c r="AE69" s="241" t="s">
        <v>32</v>
      </c>
      <c r="AF69" s="241" t="s">
        <v>32</v>
      </c>
      <c r="AG69" s="241" t="s">
        <v>32</v>
      </c>
      <c r="AH69" s="241" t="s">
        <v>32</v>
      </c>
      <c r="AI69" s="241" t="s">
        <v>32</v>
      </c>
      <c r="AJ69" s="241" t="s">
        <v>32</v>
      </c>
      <c r="AK69" s="241" t="s">
        <v>32</v>
      </c>
      <c r="AL69" s="241" t="s">
        <v>32</v>
      </c>
      <c r="AM69" s="241" t="s">
        <v>32</v>
      </c>
      <c r="AN69" s="241" t="s">
        <v>32</v>
      </c>
      <c r="AO69" s="241" t="s">
        <v>32</v>
      </c>
      <c r="AP69" s="241" t="s">
        <v>32</v>
      </c>
      <c r="AQ69" s="241" t="s">
        <v>32</v>
      </c>
      <c r="AR69" s="241" t="s">
        <v>32</v>
      </c>
      <c r="AS69" s="241" t="s">
        <v>32</v>
      </c>
      <c r="AT69" s="298" t="s">
        <v>32</v>
      </c>
      <c r="AU69" s="241" t="s">
        <v>4</v>
      </c>
      <c r="AV69" s="241">
        <v>1</v>
      </c>
      <c r="AW69" s="299" t="s">
        <v>393</v>
      </c>
      <c r="AX69" s="300" t="s">
        <v>32</v>
      </c>
      <c r="AY69" s="298" t="s">
        <v>33</v>
      </c>
      <c r="AZ69" s="240" t="s">
        <v>199</v>
      </c>
      <c r="BA69" s="301">
        <f t="shared" si="23"/>
        <v>3.5</v>
      </c>
      <c r="BB69" s="302" t="str">
        <f t="shared" si="24"/>
        <v>Minors</v>
      </c>
      <c r="BC69" s="302">
        <f t="shared" si="25"/>
        <v>5.833333333333333</v>
      </c>
      <c r="BD69" s="302" t="str">
        <f t="shared" si="26"/>
        <v>Reg</v>
      </c>
      <c r="BE69" s="302">
        <f t="shared" si="27"/>
        <v>5.833333333333333</v>
      </c>
      <c r="BF69" s="302" t="str">
        <f t="shared" si="28"/>
        <v>Reg</v>
      </c>
      <c r="BG69" s="303">
        <f t="shared" si="29"/>
        <v>2</v>
      </c>
      <c r="BH69" s="304">
        <f t="shared" si="30"/>
        <v>1.5</v>
      </c>
      <c r="BI69" s="241" t="str">
        <f t="shared" si="31"/>
        <v/>
      </c>
      <c r="BJ69" s="241" t="str">
        <f t="shared" si="32"/>
        <v>Possible</v>
      </c>
      <c r="BK69" s="242" t="str">
        <f t="shared" si="33"/>
        <v>SS-A</v>
      </c>
      <c r="BL69" s="242">
        <f t="shared" si="34"/>
        <v>9</v>
      </c>
      <c r="BM69" s="242">
        <f t="shared" si="35"/>
        <v>16</v>
      </c>
      <c r="BN69" s="242">
        <f t="shared" si="36"/>
        <v>-5</v>
      </c>
      <c r="BO69" s="242">
        <f t="shared" si="37"/>
        <v>-2</v>
      </c>
      <c r="BP69" s="242">
        <f t="shared" si="38"/>
        <v>0</v>
      </c>
      <c r="BQ69" s="242">
        <f t="shared" si="39"/>
        <v>-7</v>
      </c>
    </row>
    <row r="70" spans="1:69" s="305" customFormat="1" x14ac:dyDescent="0.25">
      <c r="A70" s="248" t="str">
        <f t="shared" si="21"/>
        <v>Manuel González</v>
      </c>
      <c r="B70" s="248" t="str">
        <f>IF(ISERROR(VLOOKUP(A70,AMA!$C$53:$C$100,1,FALSE)),IF(ISERROR(VLOOKUP(A70,'END-AAA'!$C$51:$C$100,1,FALSE)),IF(ISERROR(VLOOKUP(A70,'DB-AA'!$C$51:$C$100,1,FALSE)),IF(ISERROR(VLOOKUP(A70,'UTR-A'!$C$51:$C$100,1,FALSE)),IF(ISERROR(VLOOKUP(A70,'FAI-S A'!$C$51:$C$100,1,FALSE)),"","S A"),"A"),"AA"),"AAA"),"ML")</f>
        <v/>
      </c>
      <c r="C70" s="242"/>
      <c r="D70" s="242" t="str">
        <f t="shared" si="22"/>
        <v>K</v>
      </c>
      <c r="E70" s="241" t="s">
        <v>87</v>
      </c>
      <c r="F70" s="241" t="s">
        <v>429</v>
      </c>
      <c r="G70" s="241" t="s">
        <v>725</v>
      </c>
      <c r="H70" s="241" t="s">
        <v>810</v>
      </c>
      <c r="I70" s="241" t="s">
        <v>83</v>
      </c>
      <c r="J70" s="241">
        <v>20</v>
      </c>
      <c r="K70" s="241" t="s">
        <v>83</v>
      </c>
      <c r="L70" s="298" t="s">
        <v>83</v>
      </c>
      <c r="M70" s="241" t="s">
        <v>816</v>
      </c>
      <c r="N70" s="241" t="s">
        <v>808</v>
      </c>
      <c r="O70" s="241" t="s">
        <v>200</v>
      </c>
      <c r="P70" s="298" t="s">
        <v>199</v>
      </c>
      <c r="Q70" s="241">
        <v>3</v>
      </c>
      <c r="R70" s="241">
        <v>2</v>
      </c>
      <c r="S70" s="298">
        <v>4</v>
      </c>
      <c r="T70" s="241">
        <v>4</v>
      </c>
      <c r="U70" s="241">
        <v>2</v>
      </c>
      <c r="V70" s="298">
        <v>4</v>
      </c>
      <c r="W70" s="241">
        <v>5</v>
      </c>
      <c r="X70" s="241">
        <v>6</v>
      </c>
      <c r="Y70" s="241">
        <v>2</v>
      </c>
      <c r="Z70" s="241">
        <v>2</v>
      </c>
      <c r="AA70" s="241">
        <v>4</v>
      </c>
      <c r="AB70" s="241">
        <v>6</v>
      </c>
      <c r="AC70" s="241">
        <v>3</v>
      </c>
      <c r="AD70" s="241">
        <v>6</v>
      </c>
      <c r="AE70" s="241" t="s">
        <v>32</v>
      </c>
      <c r="AF70" s="241" t="s">
        <v>32</v>
      </c>
      <c r="AG70" s="241" t="s">
        <v>32</v>
      </c>
      <c r="AH70" s="241" t="s">
        <v>32</v>
      </c>
      <c r="AI70" s="241" t="s">
        <v>32</v>
      </c>
      <c r="AJ70" s="241" t="s">
        <v>32</v>
      </c>
      <c r="AK70" s="241" t="s">
        <v>32</v>
      </c>
      <c r="AL70" s="241" t="s">
        <v>32</v>
      </c>
      <c r="AM70" s="241" t="s">
        <v>32</v>
      </c>
      <c r="AN70" s="241" t="s">
        <v>32</v>
      </c>
      <c r="AO70" s="241" t="s">
        <v>32</v>
      </c>
      <c r="AP70" s="241" t="s">
        <v>32</v>
      </c>
      <c r="AQ70" s="241" t="s">
        <v>32</v>
      </c>
      <c r="AR70" s="241" t="s">
        <v>32</v>
      </c>
      <c r="AS70" s="241" t="s">
        <v>32</v>
      </c>
      <c r="AT70" s="298" t="s">
        <v>32</v>
      </c>
      <c r="AU70" s="241" t="s">
        <v>5</v>
      </c>
      <c r="AV70" s="241">
        <v>7</v>
      </c>
      <c r="AW70" s="299" t="s">
        <v>40</v>
      </c>
      <c r="AX70" s="300" t="s">
        <v>32</v>
      </c>
      <c r="AY70" s="298" t="s">
        <v>33</v>
      </c>
      <c r="AZ70" s="240" t="s">
        <v>199</v>
      </c>
      <c r="BA70" s="301">
        <f t="shared" si="23"/>
        <v>3.5</v>
      </c>
      <c r="BB70" s="302" t="str">
        <f t="shared" si="24"/>
        <v>Minors</v>
      </c>
      <c r="BC70" s="302">
        <f t="shared" si="25"/>
        <v>4.0833333333333339</v>
      </c>
      <c r="BD70" s="302" t="str">
        <f t="shared" si="26"/>
        <v>Bench</v>
      </c>
      <c r="BE70" s="302">
        <f t="shared" si="27"/>
        <v>4.0833333333333339</v>
      </c>
      <c r="BF70" s="302" t="str">
        <f t="shared" si="28"/>
        <v>Bench</v>
      </c>
      <c r="BG70" s="303">
        <f t="shared" si="29"/>
        <v>4</v>
      </c>
      <c r="BH70" s="304">
        <f t="shared" si="30"/>
        <v>1.5</v>
      </c>
      <c r="BI70" s="241" t="str">
        <f t="shared" si="31"/>
        <v/>
      </c>
      <c r="BJ70" s="241" t="str">
        <f t="shared" si="32"/>
        <v>Unlikely</v>
      </c>
      <c r="BK70" s="242" t="str">
        <f t="shared" si="33"/>
        <v>SS-A</v>
      </c>
      <c r="BL70" s="242">
        <f t="shared" si="34"/>
        <v>9</v>
      </c>
      <c r="BM70" s="242">
        <f t="shared" si="35"/>
        <v>10</v>
      </c>
      <c r="BN70" s="242">
        <f t="shared" si="36"/>
        <v>-1</v>
      </c>
      <c r="BO70" s="242">
        <f t="shared" si="37"/>
        <v>0</v>
      </c>
      <c r="BP70" s="242">
        <f t="shared" si="38"/>
        <v>0</v>
      </c>
      <c r="BQ70" s="242">
        <f t="shared" si="39"/>
        <v>-1</v>
      </c>
    </row>
    <row r="71" spans="1:69" s="305" customFormat="1" x14ac:dyDescent="0.25">
      <c r="A71" s="248" t="str">
        <f t="shared" si="21"/>
        <v>Ramón Maldonado</v>
      </c>
      <c r="B71" s="248" t="str">
        <f>IF(ISERROR(VLOOKUP(A71,AMA!$C$53:$C$100,1,FALSE)),IF(ISERROR(VLOOKUP(A71,'END-AAA'!$C$51:$C$100,1,FALSE)),IF(ISERROR(VLOOKUP(A71,'DB-AA'!$C$51:$C$100,1,FALSE)),IF(ISERROR(VLOOKUP(A71,'UTR-A'!$C$51:$C$100,1,FALSE)),IF(ISERROR(VLOOKUP(A71,'FAI-S A'!$C$51:$C$100,1,FALSE)),"","S A"),"A"),"AA"),"AAA"),"ML")</f>
        <v/>
      </c>
      <c r="C71" s="242"/>
      <c r="D71" s="242" t="str">
        <f t="shared" si="22"/>
        <v>T</v>
      </c>
      <c r="E71" s="241" t="s">
        <v>11</v>
      </c>
      <c r="F71" s="241" t="s">
        <v>497</v>
      </c>
      <c r="G71" s="241" t="s">
        <v>990</v>
      </c>
      <c r="H71" s="241" t="s">
        <v>802</v>
      </c>
      <c r="I71" s="241" t="s">
        <v>277</v>
      </c>
      <c r="J71" s="241">
        <v>21</v>
      </c>
      <c r="K71" s="241" t="s">
        <v>83</v>
      </c>
      <c r="L71" s="298" t="s">
        <v>83</v>
      </c>
      <c r="M71" s="241" t="s">
        <v>816</v>
      </c>
      <c r="N71" s="241" t="s">
        <v>816</v>
      </c>
      <c r="O71" s="241" t="s">
        <v>201</v>
      </c>
      <c r="P71" s="298" t="s">
        <v>200</v>
      </c>
      <c r="Q71" s="241">
        <v>5</v>
      </c>
      <c r="R71" s="241">
        <v>3</v>
      </c>
      <c r="S71" s="298">
        <v>1</v>
      </c>
      <c r="T71" s="241">
        <v>6</v>
      </c>
      <c r="U71" s="241">
        <v>3</v>
      </c>
      <c r="V71" s="298">
        <v>1</v>
      </c>
      <c r="W71" s="241">
        <v>8</v>
      </c>
      <c r="X71" s="241">
        <v>8</v>
      </c>
      <c r="Y71" s="241" t="s">
        <v>32</v>
      </c>
      <c r="Z71" s="241" t="s">
        <v>32</v>
      </c>
      <c r="AA71" s="241">
        <v>3</v>
      </c>
      <c r="AB71" s="241">
        <v>5</v>
      </c>
      <c r="AC71" s="241" t="s">
        <v>32</v>
      </c>
      <c r="AD71" s="241" t="s">
        <v>32</v>
      </c>
      <c r="AE71" s="241" t="s">
        <v>32</v>
      </c>
      <c r="AF71" s="241" t="s">
        <v>32</v>
      </c>
      <c r="AG71" s="241" t="s">
        <v>32</v>
      </c>
      <c r="AH71" s="241" t="s">
        <v>32</v>
      </c>
      <c r="AI71" s="241" t="s">
        <v>32</v>
      </c>
      <c r="AJ71" s="241" t="s">
        <v>32</v>
      </c>
      <c r="AK71" s="241" t="s">
        <v>32</v>
      </c>
      <c r="AL71" s="241" t="s">
        <v>32</v>
      </c>
      <c r="AM71" s="241" t="s">
        <v>32</v>
      </c>
      <c r="AN71" s="241" t="s">
        <v>32</v>
      </c>
      <c r="AO71" s="241" t="s">
        <v>32</v>
      </c>
      <c r="AP71" s="241" t="s">
        <v>32</v>
      </c>
      <c r="AQ71" s="241" t="s">
        <v>32</v>
      </c>
      <c r="AR71" s="241" t="s">
        <v>32</v>
      </c>
      <c r="AS71" s="241" t="s">
        <v>32</v>
      </c>
      <c r="AT71" s="298" t="s">
        <v>32</v>
      </c>
      <c r="AU71" s="241" t="s">
        <v>326</v>
      </c>
      <c r="AV71" s="241">
        <v>2</v>
      </c>
      <c r="AW71" s="299" t="s">
        <v>394</v>
      </c>
      <c r="AX71" s="300" t="s">
        <v>32</v>
      </c>
      <c r="AY71" s="298">
        <v>0</v>
      </c>
      <c r="AZ71" s="240" t="s">
        <v>199</v>
      </c>
      <c r="BA71" s="301">
        <f t="shared" si="23"/>
        <v>3.5</v>
      </c>
      <c r="BB71" s="302" t="str">
        <f t="shared" si="24"/>
        <v>Minors</v>
      </c>
      <c r="BC71" s="302">
        <f t="shared" si="25"/>
        <v>3.8333333333333335</v>
      </c>
      <c r="BD71" s="302" t="str">
        <f t="shared" si="26"/>
        <v>Minors</v>
      </c>
      <c r="BE71" s="302">
        <f t="shared" si="27"/>
        <v>3.8333333333333335</v>
      </c>
      <c r="BF71" s="302" t="str">
        <f t="shared" si="28"/>
        <v>Minors</v>
      </c>
      <c r="BG71" s="303">
        <f t="shared" si="29"/>
        <v>2</v>
      </c>
      <c r="BH71" s="304">
        <f t="shared" si="30"/>
        <v>1</v>
      </c>
      <c r="BI71" s="241" t="str">
        <f t="shared" si="31"/>
        <v/>
      </c>
      <c r="BJ71" s="241" t="str">
        <f t="shared" si="32"/>
        <v>Unlikely</v>
      </c>
      <c r="BK71" s="242" t="str">
        <f t="shared" si="33"/>
        <v>SS-A</v>
      </c>
      <c r="BL71" s="242">
        <f t="shared" si="34"/>
        <v>9</v>
      </c>
      <c r="BM71" s="242">
        <f t="shared" si="35"/>
        <v>10</v>
      </c>
      <c r="BN71" s="242">
        <f t="shared" si="36"/>
        <v>-1</v>
      </c>
      <c r="BO71" s="242">
        <f t="shared" si="37"/>
        <v>0</v>
      </c>
      <c r="BP71" s="242">
        <f t="shared" si="38"/>
        <v>0</v>
      </c>
      <c r="BQ71" s="242">
        <f t="shared" si="39"/>
        <v>-1</v>
      </c>
    </row>
    <row r="72" spans="1:69" s="305" customFormat="1" x14ac:dyDescent="0.25">
      <c r="A72" s="248" t="str">
        <f t="shared" si="21"/>
        <v>Qui-li Zhou</v>
      </c>
      <c r="B72" s="248" t="str">
        <f>IF(ISERROR(VLOOKUP(A72,AMA!$C$53:$C$100,1,FALSE)),IF(ISERROR(VLOOKUP(A72,'END-AAA'!$C$51:$C$100,1,FALSE)),IF(ISERROR(VLOOKUP(A72,'DB-AA'!$C$51:$C$100,1,FALSE)),IF(ISERROR(VLOOKUP(A72,'UTR-A'!$C$51:$C$100,1,FALSE)),IF(ISERROR(VLOOKUP(A72,'FAI-S A'!$C$51:$C$100,1,FALSE)),"","S A"),"A"),"AA"),"AAA"),"ML")</f>
        <v/>
      </c>
      <c r="C72" s="242"/>
      <c r="D72" s="242" t="str">
        <f t="shared" si="22"/>
        <v>T</v>
      </c>
      <c r="E72" s="241" t="s">
        <v>87</v>
      </c>
      <c r="F72" s="241" t="s">
        <v>1029</v>
      </c>
      <c r="G72" s="241" t="s">
        <v>909</v>
      </c>
      <c r="H72" s="241" t="s">
        <v>814</v>
      </c>
      <c r="I72" s="241" t="s">
        <v>187</v>
      </c>
      <c r="J72" s="241">
        <v>23</v>
      </c>
      <c r="K72" s="241" t="s">
        <v>82</v>
      </c>
      <c r="L72" s="298" t="s">
        <v>82</v>
      </c>
      <c r="M72" s="241" t="s">
        <v>816</v>
      </c>
      <c r="N72" s="241" t="s">
        <v>816</v>
      </c>
      <c r="O72" s="241" t="s">
        <v>201</v>
      </c>
      <c r="P72" s="298" t="s">
        <v>200</v>
      </c>
      <c r="Q72" s="241">
        <v>4</v>
      </c>
      <c r="R72" s="241">
        <v>3</v>
      </c>
      <c r="S72" s="298">
        <v>2</v>
      </c>
      <c r="T72" s="241">
        <v>5</v>
      </c>
      <c r="U72" s="241">
        <v>3</v>
      </c>
      <c r="V72" s="298">
        <v>2</v>
      </c>
      <c r="W72" s="241">
        <v>7</v>
      </c>
      <c r="X72" s="241">
        <v>7</v>
      </c>
      <c r="Y72" s="241">
        <v>3</v>
      </c>
      <c r="Z72" s="241">
        <v>5</v>
      </c>
      <c r="AA72" s="241">
        <v>6</v>
      </c>
      <c r="AB72" s="241">
        <v>7</v>
      </c>
      <c r="AC72" s="241" t="s">
        <v>32</v>
      </c>
      <c r="AD72" s="241" t="s">
        <v>32</v>
      </c>
      <c r="AE72" s="241" t="s">
        <v>32</v>
      </c>
      <c r="AF72" s="241" t="s">
        <v>32</v>
      </c>
      <c r="AG72" s="241" t="s">
        <v>32</v>
      </c>
      <c r="AH72" s="241" t="s">
        <v>32</v>
      </c>
      <c r="AI72" s="241" t="s">
        <v>32</v>
      </c>
      <c r="AJ72" s="241" t="s">
        <v>32</v>
      </c>
      <c r="AK72" s="241" t="s">
        <v>32</v>
      </c>
      <c r="AL72" s="241" t="s">
        <v>32</v>
      </c>
      <c r="AM72" s="241" t="s">
        <v>32</v>
      </c>
      <c r="AN72" s="241" t="s">
        <v>32</v>
      </c>
      <c r="AO72" s="241" t="s">
        <v>32</v>
      </c>
      <c r="AP72" s="241" t="s">
        <v>32</v>
      </c>
      <c r="AQ72" s="241" t="s">
        <v>32</v>
      </c>
      <c r="AR72" s="241" t="s">
        <v>32</v>
      </c>
      <c r="AS72" s="241" t="s">
        <v>32</v>
      </c>
      <c r="AT72" s="298" t="s">
        <v>32</v>
      </c>
      <c r="AU72" s="241" t="s">
        <v>2</v>
      </c>
      <c r="AV72" s="241">
        <v>7</v>
      </c>
      <c r="AW72" s="299" t="s">
        <v>395</v>
      </c>
      <c r="AX72" s="300" t="s">
        <v>32</v>
      </c>
      <c r="AY72" s="298">
        <v>0</v>
      </c>
      <c r="AZ72" s="240" t="s">
        <v>779</v>
      </c>
      <c r="BA72" s="301">
        <f t="shared" si="23"/>
        <v>3.5</v>
      </c>
      <c r="BB72" s="302" t="str">
        <f t="shared" si="24"/>
        <v>Minors</v>
      </c>
      <c r="BC72" s="302">
        <f t="shared" si="25"/>
        <v>3.8333333333333335</v>
      </c>
      <c r="BD72" s="302" t="str">
        <f t="shared" si="26"/>
        <v>Minors</v>
      </c>
      <c r="BE72" s="302">
        <f t="shared" si="27"/>
        <v>3.8333333333333335</v>
      </c>
      <c r="BF72" s="302" t="str">
        <f t="shared" si="28"/>
        <v>Minors</v>
      </c>
      <c r="BG72" s="303">
        <f t="shared" si="29"/>
        <v>3</v>
      </c>
      <c r="BH72" s="304">
        <f t="shared" si="30"/>
        <v>2</v>
      </c>
      <c r="BI72" s="241" t="str">
        <f t="shared" si="31"/>
        <v/>
      </c>
      <c r="BJ72" s="241" t="str">
        <f t="shared" si="32"/>
        <v>Unlikely</v>
      </c>
      <c r="BK72" s="242" t="str">
        <f t="shared" si="33"/>
        <v>SS-A</v>
      </c>
      <c r="BL72" s="242">
        <f t="shared" si="34"/>
        <v>9</v>
      </c>
      <c r="BM72" s="242">
        <f t="shared" si="35"/>
        <v>10</v>
      </c>
      <c r="BN72" s="242">
        <f t="shared" si="36"/>
        <v>-1</v>
      </c>
      <c r="BO72" s="242">
        <f t="shared" si="37"/>
        <v>0</v>
      </c>
      <c r="BP72" s="242">
        <f t="shared" si="38"/>
        <v>0</v>
      </c>
      <c r="BQ72" s="242">
        <f t="shared" si="39"/>
        <v>-1</v>
      </c>
    </row>
    <row r="73" spans="1:69" s="305" customFormat="1" x14ac:dyDescent="0.25">
      <c r="A73" s="248" t="str">
        <f t="shared" si="21"/>
        <v>Ryo Ota</v>
      </c>
      <c r="B73" s="248" t="str">
        <f>IF(ISERROR(VLOOKUP(A73,AMA!$C$53:$C$100,1,FALSE)),IF(ISERROR(VLOOKUP(A73,'END-AAA'!$C$51:$C$100,1,FALSE)),IF(ISERROR(VLOOKUP(A73,'DB-AA'!$C$51:$C$100,1,FALSE)),IF(ISERROR(VLOOKUP(A73,'UTR-A'!$C$51:$C$100,1,FALSE)),IF(ISERROR(VLOOKUP(A73,'FAI-S A'!$C$51:$C$100,1,FALSE)),"","S A"),"A"),"AA"),"AAA"),"ML")</f>
        <v/>
      </c>
      <c r="C73" s="242"/>
      <c r="D73" s="242" t="str">
        <f t="shared" si="22"/>
        <v>T</v>
      </c>
      <c r="E73" s="241" t="s">
        <v>87</v>
      </c>
      <c r="F73" s="241" t="s">
        <v>1001</v>
      </c>
      <c r="G73" s="241" t="s">
        <v>1002</v>
      </c>
      <c r="H73" s="241" t="s">
        <v>814</v>
      </c>
      <c r="I73" s="241" t="s">
        <v>187</v>
      </c>
      <c r="J73" s="241">
        <v>23</v>
      </c>
      <c r="K73" s="241" t="s">
        <v>82</v>
      </c>
      <c r="L73" s="298" t="s">
        <v>83</v>
      </c>
      <c r="M73" s="241" t="s">
        <v>816</v>
      </c>
      <c r="N73" s="241" t="s">
        <v>803</v>
      </c>
      <c r="O73" s="241" t="s">
        <v>200</v>
      </c>
      <c r="P73" s="298" t="s">
        <v>200</v>
      </c>
      <c r="Q73" s="241">
        <v>5</v>
      </c>
      <c r="R73" s="241">
        <v>2</v>
      </c>
      <c r="S73" s="298">
        <v>2</v>
      </c>
      <c r="T73" s="241">
        <v>5</v>
      </c>
      <c r="U73" s="241">
        <v>2</v>
      </c>
      <c r="V73" s="298">
        <v>3</v>
      </c>
      <c r="W73" s="241">
        <v>6</v>
      </c>
      <c r="X73" s="241">
        <v>7</v>
      </c>
      <c r="Y73" s="241">
        <v>7</v>
      </c>
      <c r="Z73" s="241">
        <v>8</v>
      </c>
      <c r="AA73" s="241">
        <v>6</v>
      </c>
      <c r="AB73" s="241">
        <v>7</v>
      </c>
      <c r="AC73" s="241" t="s">
        <v>32</v>
      </c>
      <c r="AD73" s="241" t="s">
        <v>32</v>
      </c>
      <c r="AE73" s="241" t="s">
        <v>32</v>
      </c>
      <c r="AF73" s="241" t="s">
        <v>32</v>
      </c>
      <c r="AG73" s="241" t="s">
        <v>32</v>
      </c>
      <c r="AH73" s="241" t="s">
        <v>32</v>
      </c>
      <c r="AI73" s="241" t="s">
        <v>32</v>
      </c>
      <c r="AJ73" s="241" t="s">
        <v>32</v>
      </c>
      <c r="AK73" s="241" t="s">
        <v>32</v>
      </c>
      <c r="AL73" s="241" t="s">
        <v>32</v>
      </c>
      <c r="AM73" s="241" t="s">
        <v>32</v>
      </c>
      <c r="AN73" s="241" t="s">
        <v>32</v>
      </c>
      <c r="AO73" s="241" t="s">
        <v>32</v>
      </c>
      <c r="AP73" s="241" t="s">
        <v>32</v>
      </c>
      <c r="AQ73" s="241" t="s">
        <v>32</v>
      </c>
      <c r="AR73" s="241" t="s">
        <v>32</v>
      </c>
      <c r="AS73" s="241" t="s">
        <v>32</v>
      </c>
      <c r="AT73" s="298" t="s">
        <v>32</v>
      </c>
      <c r="AU73" s="241" t="s">
        <v>2</v>
      </c>
      <c r="AV73" s="241">
        <v>8</v>
      </c>
      <c r="AW73" s="299" t="s">
        <v>395</v>
      </c>
      <c r="AX73" s="300" t="s">
        <v>32</v>
      </c>
      <c r="AY73" s="298" t="s">
        <v>33</v>
      </c>
      <c r="AZ73" s="240" t="s">
        <v>779</v>
      </c>
      <c r="BA73" s="301">
        <f t="shared" si="23"/>
        <v>3.5</v>
      </c>
      <c r="BB73" s="302" t="str">
        <f t="shared" si="24"/>
        <v>Minors</v>
      </c>
      <c r="BC73" s="302">
        <f t="shared" si="25"/>
        <v>3.8333333333333335</v>
      </c>
      <c r="BD73" s="302" t="str">
        <f t="shared" si="26"/>
        <v>Minors</v>
      </c>
      <c r="BE73" s="302">
        <f t="shared" si="27"/>
        <v>3.8333333333333335</v>
      </c>
      <c r="BF73" s="302" t="str">
        <f t="shared" si="28"/>
        <v>Minors</v>
      </c>
      <c r="BG73" s="303">
        <f t="shared" si="29"/>
        <v>3</v>
      </c>
      <c r="BH73" s="304">
        <f t="shared" si="30"/>
        <v>3</v>
      </c>
      <c r="BI73" s="241" t="str">
        <f t="shared" si="31"/>
        <v/>
      </c>
      <c r="BJ73" s="241" t="str">
        <f t="shared" si="32"/>
        <v>Unlikely</v>
      </c>
      <c r="BK73" s="242" t="str">
        <f t="shared" si="33"/>
        <v>SS-A</v>
      </c>
      <c r="BL73" s="242">
        <f t="shared" si="34"/>
        <v>9</v>
      </c>
      <c r="BM73" s="242">
        <f t="shared" si="35"/>
        <v>10</v>
      </c>
      <c r="BN73" s="242">
        <f t="shared" si="36"/>
        <v>0</v>
      </c>
      <c r="BO73" s="242">
        <f t="shared" si="37"/>
        <v>0</v>
      </c>
      <c r="BP73" s="242">
        <f t="shared" si="38"/>
        <v>-1</v>
      </c>
      <c r="BQ73" s="242">
        <f t="shared" si="39"/>
        <v>-1</v>
      </c>
    </row>
    <row r="74" spans="1:69" s="305" customFormat="1" x14ac:dyDescent="0.25">
      <c r="A74" s="248" t="str">
        <f t="shared" si="21"/>
        <v>Tadataka Matsushita</v>
      </c>
      <c r="B74" s="248" t="str">
        <f>IF(ISERROR(VLOOKUP(A74,AMA!$C$53:$C$100,1,FALSE)),IF(ISERROR(VLOOKUP(A74,'END-AAA'!$C$51:$C$100,1,FALSE)),IF(ISERROR(VLOOKUP(A74,'DB-AA'!$C$51:$C$100,1,FALSE)),IF(ISERROR(VLOOKUP(A74,'UTR-A'!$C$51:$C$100,1,FALSE)),IF(ISERROR(VLOOKUP(A74,'FAI-S A'!$C$51:$C$100,1,FALSE)),"","S A"),"A"),"AA"),"AAA"),"ML")</f>
        <v/>
      </c>
      <c r="C74" s="242"/>
      <c r="D74" s="242" t="str">
        <f t="shared" si="22"/>
        <v>K</v>
      </c>
      <c r="E74" s="241" t="s">
        <v>87</v>
      </c>
      <c r="F74" s="241" t="s">
        <v>991</v>
      </c>
      <c r="G74" s="241" t="s">
        <v>992</v>
      </c>
      <c r="H74" s="241" t="s">
        <v>814</v>
      </c>
      <c r="I74" s="241" t="s">
        <v>187</v>
      </c>
      <c r="J74" s="241">
        <v>24</v>
      </c>
      <c r="K74" s="241" t="s">
        <v>82</v>
      </c>
      <c r="L74" s="298" t="s">
        <v>82</v>
      </c>
      <c r="M74" s="241" t="s">
        <v>816</v>
      </c>
      <c r="N74" s="241" t="s">
        <v>816</v>
      </c>
      <c r="O74" s="241" t="s">
        <v>200</v>
      </c>
      <c r="P74" s="298" t="s">
        <v>199</v>
      </c>
      <c r="Q74" s="241">
        <v>4</v>
      </c>
      <c r="R74" s="241">
        <v>2</v>
      </c>
      <c r="S74" s="298">
        <v>3</v>
      </c>
      <c r="T74" s="241">
        <v>5</v>
      </c>
      <c r="U74" s="241">
        <v>2</v>
      </c>
      <c r="V74" s="298">
        <v>3</v>
      </c>
      <c r="W74" s="241">
        <v>6</v>
      </c>
      <c r="X74" s="241">
        <v>6</v>
      </c>
      <c r="Y74" s="241">
        <v>6</v>
      </c>
      <c r="Z74" s="241">
        <v>7</v>
      </c>
      <c r="AA74" s="241" t="s">
        <v>32</v>
      </c>
      <c r="AB74" s="241" t="s">
        <v>32</v>
      </c>
      <c r="AC74" s="241" t="s">
        <v>32</v>
      </c>
      <c r="AD74" s="241" t="s">
        <v>32</v>
      </c>
      <c r="AE74" s="241" t="s">
        <v>32</v>
      </c>
      <c r="AF74" s="241" t="s">
        <v>32</v>
      </c>
      <c r="AG74" s="241" t="s">
        <v>32</v>
      </c>
      <c r="AH74" s="241" t="s">
        <v>32</v>
      </c>
      <c r="AI74" s="241">
        <v>6</v>
      </c>
      <c r="AJ74" s="241">
        <v>6</v>
      </c>
      <c r="AK74" s="241" t="s">
        <v>32</v>
      </c>
      <c r="AL74" s="241" t="s">
        <v>32</v>
      </c>
      <c r="AM74" s="241" t="s">
        <v>32</v>
      </c>
      <c r="AN74" s="241" t="s">
        <v>32</v>
      </c>
      <c r="AO74" s="241" t="s">
        <v>32</v>
      </c>
      <c r="AP74" s="241" t="s">
        <v>32</v>
      </c>
      <c r="AQ74" s="241" t="s">
        <v>32</v>
      </c>
      <c r="AR74" s="241" t="s">
        <v>32</v>
      </c>
      <c r="AS74" s="241" t="s">
        <v>32</v>
      </c>
      <c r="AT74" s="298" t="s">
        <v>32</v>
      </c>
      <c r="AU74" s="241" t="s">
        <v>6</v>
      </c>
      <c r="AV74" s="241">
        <v>6</v>
      </c>
      <c r="AW74" s="299" t="s">
        <v>393</v>
      </c>
      <c r="AX74" s="300" t="s">
        <v>32</v>
      </c>
      <c r="AY74" s="298" t="s">
        <v>33</v>
      </c>
      <c r="AZ74" s="240" t="s">
        <v>779</v>
      </c>
      <c r="BA74" s="301">
        <f t="shared" si="23"/>
        <v>3.5</v>
      </c>
      <c r="BB74" s="302" t="str">
        <f t="shared" si="24"/>
        <v>Minors</v>
      </c>
      <c r="BC74" s="302">
        <f t="shared" si="25"/>
        <v>3.8333333333333335</v>
      </c>
      <c r="BD74" s="302" t="str">
        <f t="shared" si="26"/>
        <v>Minors</v>
      </c>
      <c r="BE74" s="302">
        <f t="shared" si="27"/>
        <v>3.8333333333333335</v>
      </c>
      <c r="BF74" s="302" t="str">
        <f t="shared" si="28"/>
        <v>Minors</v>
      </c>
      <c r="BG74" s="303">
        <f t="shared" si="29"/>
        <v>3</v>
      </c>
      <c r="BH74" s="304">
        <f t="shared" si="30"/>
        <v>3</v>
      </c>
      <c r="BI74" s="241" t="str">
        <f t="shared" si="31"/>
        <v/>
      </c>
      <c r="BJ74" s="241" t="str">
        <f t="shared" si="32"/>
        <v>Unlikely</v>
      </c>
      <c r="BK74" s="242" t="str">
        <f t="shared" si="33"/>
        <v>SS-A</v>
      </c>
      <c r="BL74" s="242">
        <f t="shared" si="34"/>
        <v>9</v>
      </c>
      <c r="BM74" s="242">
        <f t="shared" si="35"/>
        <v>10</v>
      </c>
      <c r="BN74" s="242">
        <f t="shared" si="36"/>
        <v>-1</v>
      </c>
      <c r="BO74" s="242">
        <f t="shared" si="37"/>
        <v>0</v>
      </c>
      <c r="BP74" s="242">
        <f t="shared" si="38"/>
        <v>0</v>
      </c>
      <c r="BQ74" s="242">
        <f t="shared" si="39"/>
        <v>-1</v>
      </c>
    </row>
    <row r="75" spans="1:69" s="305" customFormat="1" x14ac:dyDescent="0.25">
      <c r="A75" s="248" t="str">
        <f t="shared" ref="A75:A106" si="40">F75&amp;" "&amp;G75</f>
        <v>Jou Nishi</v>
      </c>
      <c r="B75" s="248" t="str">
        <f>IF(ISERROR(VLOOKUP(A75,AMA!$C$53:$C$100,1,FALSE)),IF(ISERROR(VLOOKUP(A75,'END-AAA'!$C$51:$C$100,1,FALSE)),IF(ISERROR(VLOOKUP(A75,'DB-AA'!$C$51:$C$100,1,FALSE)),IF(ISERROR(VLOOKUP(A75,'UTR-A'!$C$51:$C$100,1,FALSE)),IF(ISERROR(VLOOKUP(A75,'FAI-S A'!$C$51:$C$100,1,FALSE)),"","S A"),"A"),"AA"),"AAA"),"ML")</f>
        <v/>
      </c>
      <c r="C75" s="242"/>
      <c r="D75" s="242" t="str">
        <f t="shared" ref="D75:D106" si="41">IF(OR(OR(O75="Very High",O75="High"),AND(OR(O75="Very High",O75="High",O75="Normal"),OR(P75="Very High",P75="High"))),"K","T")</f>
        <v>K</v>
      </c>
      <c r="E75" s="241" t="s">
        <v>87</v>
      </c>
      <c r="F75" s="241" t="s">
        <v>473</v>
      </c>
      <c r="G75" s="241" t="s">
        <v>474</v>
      </c>
      <c r="H75" s="241" t="s">
        <v>769</v>
      </c>
      <c r="I75" s="241" t="s">
        <v>186</v>
      </c>
      <c r="J75" s="241">
        <v>27</v>
      </c>
      <c r="K75" s="241" t="s">
        <v>82</v>
      </c>
      <c r="L75" s="298" t="s">
        <v>83</v>
      </c>
      <c r="M75" s="241" t="s">
        <v>816</v>
      </c>
      <c r="N75" s="241" t="s">
        <v>816</v>
      </c>
      <c r="O75" s="241" t="s">
        <v>199</v>
      </c>
      <c r="P75" s="298" t="s">
        <v>199</v>
      </c>
      <c r="Q75" s="241">
        <v>5</v>
      </c>
      <c r="R75" s="241">
        <v>2</v>
      </c>
      <c r="S75" s="298">
        <v>2</v>
      </c>
      <c r="T75" s="241">
        <v>5</v>
      </c>
      <c r="U75" s="241">
        <v>2</v>
      </c>
      <c r="V75" s="298">
        <v>2</v>
      </c>
      <c r="W75" s="241">
        <v>6</v>
      </c>
      <c r="X75" s="241">
        <v>6</v>
      </c>
      <c r="Y75" s="241">
        <v>7</v>
      </c>
      <c r="Z75" s="241">
        <v>8</v>
      </c>
      <c r="AA75" s="241" t="s">
        <v>32</v>
      </c>
      <c r="AB75" s="241" t="s">
        <v>32</v>
      </c>
      <c r="AC75" s="241">
        <v>7</v>
      </c>
      <c r="AD75" s="241">
        <v>7</v>
      </c>
      <c r="AE75" s="241" t="s">
        <v>32</v>
      </c>
      <c r="AF75" s="241" t="s">
        <v>32</v>
      </c>
      <c r="AG75" s="241" t="s">
        <v>32</v>
      </c>
      <c r="AH75" s="241" t="s">
        <v>32</v>
      </c>
      <c r="AI75" s="241" t="s">
        <v>32</v>
      </c>
      <c r="AJ75" s="241" t="s">
        <v>32</v>
      </c>
      <c r="AK75" s="241" t="s">
        <v>32</v>
      </c>
      <c r="AL75" s="241" t="s">
        <v>32</v>
      </c>
      <c r="AM75" s="241" t="s">
        <v>32</v>
      </c>
      <c r="AN75" s="241" t="s">
        <v>32</v>
      </c>
      <c r="AO75" s="241" t="s">
        <v>32</v>
      </c>
      <c r="AP75" s="241" t="s">
        <v>32</v>
      </c>
      <c r="AQ75" s="241" t="s">
        <v>32</v>
      </c>
      <c r="AR75" s="241" t="s">
        <v>32</v>
      </c>
      <c r="AS75" s="241" t="s">
        <v>32</v>
      </c>
      <c r="AT75" s="298" t="s">
        <v>32</v>
      </c>
      <c r="AU75" s="241" t="s">
        <v>397</v>
      </c>
      <c r="AV75" s="241">
        <v>7</v>
      </c>
      <c r="AW75" s="299" t="s">
        <v>393</v>
      </c>
      <c r="AX75" s="300" t="s">
        <v>32</v>
      </c>
      <c r="AY75" s="298">
        <v>0</v>
      </c>
      <c r="AZ75" s="240" t="s">
        <v>779</v>
      </c>
      <c r="BA75" s="301">
        <f t="shared" ref="BA75:BA106" si="42">AVERAGE(Q75:S75)+0.25*MAX(0,(COUNT(W75,Y75,AA75,AC75,AE75,AG75,AI75,AK75,AM75,AO75,AQ75,AS75)-3))+IF(AW75&gt;0.55,0.25,0)+IF(MAX(W75,Y75,AA75,AC75,AE75,AG75,AI75,AK75,AM75,AO75,AQ75,AS75)&gt;5,0.25,0)</f>
        <v>3.5</v>
      </c>
      <c r="BB75" s="302" t="str">
        <f t="shared" ref="BB75:BB106" si="43">IF(BA75&gt;9,"SuperStar",IF(BA75&gt;8,"Star",IF(BA75&gt;6.5,"GoodReg",IF(BA75&gt;5,"Reg",IF(BA75&gt;4,"Bench","Minors")))))</f>
        <v>Minors</v>
      </c>
      <c r="BC75" s="302">
        <f t="shared" ref="BC75:BC106" si="44">AVERAGE(T75:V75)+0.25*MAX(0,(COUNT(X75,Z75,AB75,AD75,AF75,AH75,AJ75,AL75,AN75,AP75,AR75,AT75)-3))+IF(AW75&gt;0.55,0.25,0)+IF(MAX(X75,Z75,AB75,AD75,AF75,AH75,AJ75,AL75,AN75,AP75,AR75,AT75)&gt;5,0.25,0)</f>
        <v>3.5</v>
      </c>
      <c r="BD75" s="302" t="str">
        <f t="shared" ref="BD75:BD106" si="45">IF(BC75&gt;9,"SuperStar",IF(BC75&gt;8,"Star",IF(BC75&gt;6.5,"GoodReg",IF(BC75&gt;5,"Reg",IF(BC75&gt;4,"Bench","Minors")))))</f>
        <v>Minors</v>
      </c>
      <c r="BE75" s="302">
        <f t="shared" ref="BE75:BE106" si="46">MIN(BA75+(MAX(0,25-U75))^1.5,BC75)</f>
        <v>3.5</v>
      </c>
      <c r="BF75" s="302" t="str">
        <f t="shared" ref="BF75:BF106" si="47">IF(BE75&gt;9,"SuperStar",IF(BE75&gt;8,"Star",IF(BE75&gt;6.5,"GoodReg",IF(BE75&gt;5,"Reg",IF(BE75&gt;4,"Bench","Minors")))))</f>
        <v>Minors</v>
      </c>
      <c r="BG75" s="303">
        <f t="shared" ref="BG75:BG106" si="48">COUNT(W75:AT75)/2</f>
        <v>3</v>
      </c>
      <c r="BH75" s="304">
        <f t="shared" ref="BH75:BH106" si="49">COUNTIF(W75:AT75,"&gt;5")/2</f>
        <v>3</v>
      </c>
      <c r="BI75" s="241" t="str">
        <f t="shared" ref="BI75:BI106" si="50">IF(AY75=1,"Yes","")</f>
        <v/>
      </c>
      <c r="BJ75" s="241" t="str">
        <f t="shared" ref="BJ75:BJ106" si="51">IF(B75="ML","There",IF(AVERAGE($T75:$V75)&gt;=6,"Likely",IF(AVERAGE($T75:$V75)&gt;=4,"Possible","Unlikely")))</f>
        <v>Unlikely</v>
      </c>
      <c r="BK75" s="242" t="str">
        <f t="shared" ref="BK75:BK106" si="52">IF(AVERAGE(Q75:S75)&gt;=5.5,"ML",IF(AVERAGE(Q75:S75)&gt;=4.5,"AAA",IF(AVERAGE(Q75:S75)&gt;=4,"AA",IF(AVERAGE(Q75:S75)&gt;=3.5,"A","SS-A"))))</f>
        <v>SS-A</v>
      </c>
      <c r="BL75" s="242">
        <f t="shared" ref="BL75:BL106" si="53">SUM(Q75:S75)</f>
        <v>9</v>
      </c>
      <c r="BM75" s="242">
        <f t="shared" ref="BM75:BM106" si="54">SUM(T75:V75)</f>
        <v>9</v>
      </c>
      <c r="BN75" s="242">
        <f t="shared" ref="BN75:BN106" si="55">Q75-T75</f>
        <v>0</v>
      </c>
      <c r="BO75" s="242">
        <f t="shared" ref="BO75:BO106" si="56">R75-U75</f>
        <v>0</v>
      </c>
      <c r="BP75" s="242">
        <f t="shared" ref="BP75:BP106" si="57">S75-V75</f>
        <v>0</v>
      </c>
      <c r="BQ75" s="242">
        <f t="shared" ref="BQ75:BQ106" si="58">SUM(BN75:BP75)</f>
        <v>0</v>
      </c>
    </row>
    <row r="76" spans="1:69" s="305" customFormat="1" x14ac:dyDescent="0.25">
      <c r="A76" s="248" t="str">
        <f t="shared" si="40"/>
        <v>Ernesto García</v>
      </c>
      <c r="B76" s="248" t="str">
        <f>IF(ISERROR(VLOOKUP(A76,AMA!$C$53:$C$100,1,FALSE)),IF(ISERROR(VLOOKUP(A76,'END-AAA'!$C$51:$C$100,1,FALSE)),IF(ISERROR(VLOOKUP(A76,'DB-AA'!$C$51:$C$100,1,FALSE)),IF(ISERROR(VLOOKUP(A76,'UTR-A'!$C$51:$C$100,1,FALSE)),IF(ISERROR(VLOOKUP(A76,'FAI-S A'!$C$51:$C$100,1,FALSE)),"","S A"),"A"),"AA"),"AAA"),"ML")</f>
        <v/>
      </c>
      <c r="C76" s="242"/>
      <c r="D76" s="242" t="str">
        <f t="shared" si="41"/>
        <v>T</v>
      </c>
      <c r="E76" s="241" t="s">
        <v>87</v>
      </c>
      <c r="F76" s="241" t="s">
        <v>723</v>
      </c>
      <c r="G76" s="241" t="s">
        <v>467</v>
      </c>
      <c r="H76" s="241" t="s">
        <v>783</v>
      </c>
      <c r="I76" s="241" t="s">
        <v>185</v>
      </c>
      <c r="J76" s="241">
        <v>25</v>
      </c>
      <c r="K76" s="241" t="s">
        <v>83</v>
      </c>
      <c r="L76" s="298" t="s">
        <v>82</v>
      </c>
      <c r="M76" s="241" t="s">
        <v>816</v>
      </c>
      <c r="N76" s="241" t="s">
        <v>816</v>
      </c>
      <c r="O76" s="241" t="s">
        <v>200</v>
      </c>
      <c r="P76" s="298" t="s">
        <v>200</v>
      </c>
      <c r="Q76" s="241">
        <v>4</v>
      </c>
      <c r="R76" s="241">
        <v>3</v>
      </c>
      <c r="S76" s="298">
        <v>2</v>
      </c>
      <c r="T76" s="241">
        <v>4</v>
      </c>
      <c r="U76" s="241">
        <v>3</v>
      </c>
      <c r="V76" s="298">
        <v>2</v>
      </c>
      <c r="W76" s="241">
        <v>7</v>
      </c>
      <c r="X76" s="241">
        <v>8</v>
      </c>
      <c r="Y76" s="241">
        <v>1</v>
      </c>
      <c r="Z76" s="241">
        <v>1</v>
      </c>
      <c r="AA76" s="241" t="s">
        <v>32</v>
      </c>
      <c r="AB76" s="241" t="s">
        <v>32</v>
      </c>
      <c r="AC76" s="241">
        <v>6</v>
      </c>
      <c r="AD76" s="241">
        <v>7</v>
      </c>
      <c r="AE76" s="241" t="s">
        <v>32</v>
      </c>
      <c r="AF76" s="241" t="s">
        <v>32</v>
      </c>
      <c r="AG76" s="241" t="s">
        <v>32</v>
      </c>
      <c r="AH76" s="241" t="s">
        <v>32</v>
      </c>
      <c r="AI76" s="241" t="s">
        <v>32</v>
      </c>
      <c r="AJ76" s="241" t="s">
        <v>32</v>
      </c>
      <c r="AK76" s="241" t="s">
        <v>32</v>
      </c>
      <c r="AL76" s="241" t="s">
        <v>32</v>
      </c>
      <c r="AM76" s="241" t="s">
        <v>32</v>
      </c>
      <c r="AN76" s="241" t="s">
        <v>32</v>
      </c>
      <c r="AO76" s="241" t="s">
        <v>32</v>
      </c>
      <c r="AP76" s="241" t="s">
        <v>32</v>
      </c>
      <c r="AQ76" s="241" t="s">
        <v>32</v>
      </c>
      <c r="AR76" s="241" t="s">
        <v>32</v>
      </c>
      <c r="AS76" s="241" t="s">
        <v>32</v>
      </c>
      <c r="AT76" s="298" t="s">
        <v>32</v>
      </c>
      <c r="AU76" s="241" t="s">
        <v>2</v>
      </c>
      <c r="AV76" s="241">
        <v>7</v>
      </c>
      <c r="AW76" s="299" t="s">
        <v>393</v>
      </c>
      <c r="AX76" s="300" t="s">
        <v>32</v>
      </c>
      <c r="AY76" s="298" t="s">
        <v>33</v>
      </c>
      <c r="AZ76" s="240" t="s">
        <v>199</v>
      </c>
      <c r="BA76" s="301">
        <f t="shared" si="42"/>
        <v>3.5</v>
      </c>
      <c r="BB76" s="302" t="str">
        <f t="shared" si="43"/>
        <v>Minors</v>
      </c>
      <c r="BC76" s="302">
        <f t="shared" si="44"/>
        <v>3.5</v>
      </c>
      <c r="BD76" s="302" t="str">
        <f t="shared" si="45"/>
        <v>Minors</v>
      </c>
      <c r="BE76" s="302">
        <f t="shared" si="46"/>
        <v>3.5</v>
      </c>
      <c r="BF76" s="302" t="str">
        <f t="shared" si="47"/>
        <v>Minors</v>
      </c>
      <c r="BG76" s="303">
        <f t="shared" si="48"/>
        <v>3</v>
      </c>
      <c r="BH76" s="304">
        <f t="shared" si="49"/>
        <v>2</v>
      </c>
      <c r="BI76" s="241" t="str">
        <f t="shared" si="50"/>
        <v/>
      </c>
      <c r="BJ76" s="241" t="str">
        <f t="shared" si="51"/>
        <v>Unlikely</v>
      </c>
      <c r="BK76" s="242" t="str">
        <f t="shared" si="52"/>
        <v>SS-A</v>
      </c>
      <c r="BL76" s="242">
        <f t="shared" si="53"/>
        <v>9</v>
      </c>
      <c r="BM76" s="242">
        <f t="shared" si="54"/>
        <v>9</v>
      </c>
      <c r="BN76" s="242">
        <f t="shared" si="55"/>
        <v>0</v>
      </c>
      <c r="BO76" s="242">
        <f t="shared" si="56"/>
        <v>0</v>
      </c>
      <c r="BP76" s="242">
        <f t="shared" si="57"/>
        <v>0</v>
      </c>
      <c r="BQ76" s="242">
        <f t="shared" si="58"/>
        <v>0</v>
      </c>
    </row>
    <row r="77" spans="1:69" s="305" customFormat="1" x14ac:dyDescent="0.25">
      <c r="A77" s="248" t="str">
        <f t="shared" si="40"/>
        <v>Domingo Moreno</v>
      </c>
      <c r="B77" s="248" t="str">
        <f>IF(ISERROR(VLOOKUP(A77,AMA!$C$53:$C$100,1,FALSE)),IF(ISERROR(VLOOKUP(A77,'END-AAA'!$C$51:$C$100,1,FALSE)),IF(ISERROR(VLOOKUP(A77,'DB-AA'!$C$51:$C$100,1,FALSE)),IF(ISERROR(VLOOKUP(A77,'UTR-A'!$C$51:$C$100,1,FALSE)),IF(ISERROR(VLOOKUP(A77,'FAI-S A'!$C$51:$C$100,1,FALSE)),"","S A"),"A"),"AA"),"AAA"),"ML")</f>
        <v/>
      </c>
      <c r="C77" s="242"/>
      <c r="D77" s="242" t="str">
        <f t="shared" si="41"/>
        <v>T</v>
      </c>
      <c r="E77" s="241" t="s">
        <v>87</v>
      </c>
      <c r="F77" s="241" t="s">
        <v>463</v>
      </c>
      <c r="G77" s="241" t="s">
        <v>466</v>
      </c>
      <c r="H77" s="241" t="s">
        <v>810</v>
      </c>
      <c r="I77" s="241" t="s">
        <v>83</v>
      </c>
      <c r="J77" s="241">
        <v>18</v>
      </c>
      <c r="K77" s="241" t="s">
        <v>83</v>
      </c>
      <c r="L77" s="298" t="s">
        <v>83</v>
      </c>
      <c r="M77" s="241" t="s">
        <v>816</v>
      </c>
      <c r="N77" s="241" t="s">
        <v>773</v>
      </c>
      <c r="O77" s="241" t="s">
        <v>200</v>
      </c>
      <c r="P77" s="298" t="s">
        <v>200</v>
      </c>
      <c r="Q77" s="241">
        <v>4</v>
      </c>
      <c r="R77" s="241">
        <v>3</v>
      </c>
      <c r="S77" s="298">
        <v>1</v>
      </c>
      <c r="T77" s="241">
        <v>7</v>
      </c>
      <c r="U77" s="241">
        <v>6</v>
      </c>
      <c r="V77" s="298">
        <v>2</v>
      </c>
      <c r="W77" s="241">
        <v>6</v>
      </c>
      <c r="X77" s="241">
        <v>9</v>
      </c>
      <c r="Y77" s="241">
        <v>1</v>
      </c>
      <c r="Z77" s="241">
        <v>4</v>
      </c>
      <c r="AA77" s="241">
        <v>4</v>
      </c>
      <c r="AB77" s="241">
        <v>8</v>
      </c>
      <c r="AC77" s="241" t="s">
        <v>32</v>
      </c>
      <c r="AD77" s="241" t="s">
        <v>32</v>
      </c>
      <c r="AE77" s="241" t="s">
        <v>32</v>
      </c>
      <c r="AF77" s="241" t="s">
        <v>32</v>
      </c>
      <c r="AG77" s="241" t="s">
        <v>32</v>
      </c>
      <c r="AH77" s="241" t="s">
        <v>32</v>
      </c>
      <c r="AI77" s="241" t="s">
        <v>32</v>
      </c>
      <c r="AJ77" s="241" t="s">
        <v>32</v>
      </c>
      <c r="AK77" s="241">
        <v>5</v>
      </c>
      <c r="AL77" s="241">
        <v>6</v>
      </c>
      <c r="AM77" s="241" t="s">
        <v>32</v>
      </c>
      <c r="AN77" s="241" t="s">
        <v>32</v>
      </c>
      <c r="AO77" s="241" t="s">
        <v>32</v>
      </c>
      <c r="AP77" s="241" t="s">
        <v>32</v>
      </c>
      <c r="AQ77" s="241" t="s">
        <v>32</v>
      </c>
      <c r="AR77" s="241" t="s">
        <v>32</v>
      </c>
      <c r="AS77" s="241" t="s">
        <v>32</v>
      </c>
      <c r="AT77" s="298" t="s">
        <v>32</v>
      </c>
      <c r="AU77" s="241" t="s">
        <v>326</v>
      </c>
      <c r="AV77" s="241">
        <v>4</v>
      </c>
      <c r="AW77" s="299" t="s">
        <v>394</v>
      </c>
      <c r="AX77" s="300" t="s">
        <v>32</v>
      </c>
      <c r="AY77" s="298" t="s">
        <v>33</v>
      </c>
      <c r="AZ77" s="240" t="s">
        <v>779</v>
      </c>
      <c r="BA77" s="301">
        <f t="shared" si="42"/>
        <v>3.4166666666666665</v>
      </c>
      <c r="BB77" s="302" t="str">
        <f t="shared" si="43"/>
        <v>Minors</v>
      </c>
      <c r="BC77" s="302">
        <f t="shared" si="44"/>
        <v>5.75</v>
      </c>
      <c r="BD77" s="302" t="str">
        <f t="shared" si="45"/>
        <v>Reg</v>
      </c>
      <c r="BE77" s="302">
        <f t="shared" si="46"/>
        <v>5.75</v>
      </c>
      <c r="BF77" s="302" t="str">
        <f t="shared" si="47"/>
        <v>Reg</v>
      </c>
      <c r="BG77" s="303">
        <f t="shared" si="48"/>
        <v>4</v>
      </c>
      <c r="BH77" s="304">
        <f t="shared" si="49"/>
        <v>2</v>
      </c>
      <c r="BI77" s="241" t="str">
        <f t="shared" si="50"/>
        <v/>
      </c>
      <c r="BJ77" s="241" t="str">
        <f t="shared" si="51"/>
        <v>Possible</v>
      </c>
      <c r="BK77" s="242" t="str">
        <f t="shared" si="52"/>
        <v>SS-A</v>
      </c>
      <c r="BL77" s="242">
        <f t="shared" si="53"/>
        <v>8</v>
      </c>
      <c r="BM77" s="242">
        <f t="shared" si="54"/>
        <v>15</v>
      </c>
      <c r="BN77" s="242">
        <f t="shared" si="55"/>
        <v>-3</v>
      </c>
      <c r="BO77" s="242">
        <f t="shared" si="56"/>
        <v>-3</v>
      </c>
      <c r="BP77" s="242">
        <f t="shared" si="57"/>
        <v>-1</v>
      </c>
      <c r="BQ77" s="242">
        <f t="shared" si="58"/>
        <v>-7</v>
      </c>
    </row>
    <row r="78" spans="1:69" s="305" customFormat="1" x14ac:dyDescent="0.25">
      <c r="A78" s="248" t="str">
        <f t="shared" si="40"/>
        <v>BOB QUINN</v>
      </c>
      <c r="B78" s="248" t="str">
        <f>IF(ISERROR(VLOOKUP(A78,AMA!$C$53:$C$100,1,FALSE)),IF(ISERROR(VLOOKUP(A78,'END-AAA'!$C$51:$C$100,1,FALSE)),IF(ISERROR(VLOOKUP(A78,'DB-AA'!$C$51:$C$100,1,FALSE)),IF(ISERROR(VLOOKUP(A78,'UTR-A'!$C$51:$C$100,1,FALSE)),IF(ISERROR(VLOOKUP(A78,'FAI-S A'!$C$51:$C$100,1,FALSE)),"","S A"),"A"),"AA"),"AAA"),"ML")</f>
        <v/>
      </c>
      <c r="C78" s="242"/>
      <c r="D78" s="242" t="str">
        <f t="shared" si="41"/>
        <v>K</v>
      </c>
      <c r="E78" s="241" t="s">
        <v>11</v>
      </c>
      <c r="F78" s="241" t="s">
        <v>1153</v>
      </c>
      <c r="G78" s="241" t="s">
        <v>1154</v>
      </c>
      <c r="H78" s="241" t="s">
        <v>810</v>
      </c>
      <c r="I78" s="241" t="s">
        <v>83</v>
      </c>
      <c r="J78" s="241">
        <v>20</v>
      </c>
      <c r="K78" s="241" t="s">
        <v>85</v>
      </c>
      <c r="L78" s="298" t="s">
        <v>83</v>
      </c>
      <c r="M78" s="241" t="s">
        <v>816</v>
      </c>
      <c r="N78" s="241" t="s">
        <v>816</v>
      </c>
      <c r="O78" s="241" t="s">
        <v>200</v>
      </c>
      <c r="P78" s="298" t="s">
        <v>199</v>
      </c>
      <c r="Q78" s="241">
        <v>4</v>
      </c>
      <c r="R78" s="241">
        <v>3</v>
      </c>
      <c r="S78" s="298">
        <v>2</v>
      </c>
      <c r="T78" s="241">
        <v>4</v>
      </c>
      <c r="U78" s="241">
        <v>4</v>
      </c>
      <c r="V78" s="298">
        <v>2</v>
      </c>
      <c r="W78" s="241">
        <v>5</v>
      </c>
      <c r="X78" s="241">
        <v>6</v>
      </c>
      <c r="Y78" s="241" t="s">
        <v>32</v>
      </c>
      <c r="Z78" s="241" t="s">
        <v>32</v>
      </c>
      <c r="AA78" s="241" t="s">
        <v>32</v>
      </c>
      <c r="AB78" s="241" t="s">
        <v>32</v>
      </c>
      <c r="AC78" s="241" t="s">
        <v>32</v>
      </c>
      <c r="AD78" s="241" t="s">
        <v>32</v>
      </c>
      <c r="AE78" s="241" t="s">
        <v>32</v>
      </c>
      <c r="AF78" s="241" t="s">
        <v>32</v>
      </c>
      <c r="AG78" s="241">
        <v>5</v>
      </c>
      <c r="AH78" s="241">
        <v>5</v>
      </c>
      <c r="AI78" s="241" t="s">
        <v>32</v>
      </c>
      <c r="AJ78" s="241" t="s">
        <v>32</v>
      </c>
      <c r="AK78" s="241" t="s">
        <v>32</v>
      </c>
      <c r="AL78" s="241" t="s">
        <v>32</v>
      </c>
      <c r="AM78" s="241">
        <v>2</v>
      </c>
      <c r="AN78" s="241">
        <v>5</v>
      </c>
      <c r="AO78" s="241" t="s">
        <v>32</v>
      </c>
      <c r="AP78" s="241" t="s">
        <v>32</v>
      </c>
      <c r="AQ78" s="241" t="s">
        <v>32</v>
      </c>
      <c r="AR78" s="241" t="s">
        <v>32</v>
      </c>
      <c r="AS78" s="241" t="s">
        <v>32</v>
      </c>
      <c r="AT78" s="298" t="s">
        <v>32</v>
      </c>
      <c r="AU78" s="241" t="s">
        <v>4</v>
      </c>
      <c r="AV78" s="241">
        <v>4</v>
      </c>
      <c r="AW78" s="299" t="s">
        <v>393</v>
      </c>
      <c r="AX78" s="300" t="s">
        <v>32</v>
      </c>
      <c r="AY78" s="298" t="s">
        <v>33</v>
      </c>
      <c r="AZ78" s="240" t="s">
        <v>201</v>
      </c>
      <c r="BA78" s="301">
        <f t="shared" si="42"/>
        <v>3.25</v>
      </c>
      <c r="BB78" s="302" t="str">
        <f t="shared" si="43"/>
        <v>Minors</v>
      </c>
      <c r="BC78" s="302">
        <f t="shared" si="44"/>
        <v>3.8333333333333335</v>
      </c>
      <c r="BD78" s="302" t="str">
        <f t="shared" si="45"/>
        <v>Minors</v>
      </c>
      <c r="BE78" s="302">
        <f t="shared" si="46"/>
        <v>3.8333333333333335</v>
      </c>
      <c r="BF78" s="302" t="str">
        <f t="shared" si="47"/>
        <v>Minors</v>
      </c>
      <c r="BG78" s="303">
        <f t="shared" si="48"/>
        <v>3</v>
      </c>
      <c r="BH78" s="304">
        <f t="shared" si="49"/>
        <v>0.5</v>
      </c>
      <c r="BI78" s="241" t="str">
        <f t="shared" si="50"/>
        <v/>
      </c>
      <c r="BJ78" s="241" t="str">
        <f t="shared" si="51"/>
        <v>Unlikely</v>
      </c>
      <c r="BK78" s="242" t="str">
        <f t="shared" si="52"/>
        <v>SS-A</v>
      </c>
      <c r="BL78" s="242">
        <f t="shared" si="53"/>
        <v>9</v>
      </c>
      <c r="BM78" s="242">
        <f t="shared" si="54"/>
        <v>10</v>
      </c>
      <c r="BN78" s="242">
        <f t="shared" si="55"/>
        <v>0</v>
      </c>
      <c r="BO78" s="242">
        <f t="shared" si="56"/>
        <v>-1</v>
      </c>
      <c r="BP78" s="242">
        <f t="shared" si="57"/>
        <v>0</v>
      </c>
      <c r="BQ78" s="242">
        <f t="shared" si="58"/>
        <v>-1</v>
      </c>
    </row>
    <row r="79" spans="1:69" s="305" customFormat="1" x14ac:dyDescent="0.25">
      <c r="A79" s="248" t="str">
        <f t="shared" si="40"/>
        <v>Javier Fuentes</v>
      </c>
      <c r="B79" s="248" t="str">
        <f>IF(ISERROR(VLOOKUP(A79,AMA!$C$53:$C$100,1,FALSE)),IF(ISERROR(VLOOKUP(A79,'END-AAA'!$C$51:$C$100,1,FALSE)),IF(ISERROR(VLOOKUP(A79,'DB-AA'!$C$51:$C$100,1,FALSE)),IF(ISERROR(VLOOKUP(A79,'UTR-A'!$C$51:$C$100,1,FALSE)),IF(ISERROR(VLOOKUP(A79,'FAI-S A'!$C$51:$C$100,1,FALSE)),"","S A"),"A"),"AA"),"AAA"),"ML")</f>
        <v/>
      </c>
      <c r="C79" s="242"/>
      <c r="D79" s="242" t="str">
        <f t="shared" si="41"/>
        <v>T</v>
      </c>
      <c r="E79" s="241" t="s">
        <v>11</v>
      </c>
      <c r="F79" s="241" t="s">
        <v>957</v>
      </c>
      <c r="G79" s="241" t="s">
        <v>974</v>
      </c>
      <c r="H79" s="241" t="s">
        <v>802</v>
      </c>
      <c r="I79" s="241" t="s">
        <v>277</v>
      </c>
      <c r="J79" s="241">
        <v>22</v>
      </c>
      <c r="K79" s="241" t="s">
        <v>83</v>
      </c>
      <c r="L79" s="298" t="s">
        <v>83</v>
      </c>
      <c r="M79" s="241" t="s">
        <v>816</v>
      </c>
      <c r="N79" s="241" t="s">
        <v>816</v>
      </c>
      <c r="O79" s="241" t="s">
        <v>200</v>
      </c>
      <c r="P79" s="298" t="s">
        <v>201</v>
      </c>
      <c r="Q79" s="241">
        <v>4</v>
      </c>
      <c r="R79" s="241">
        <v>3</v>
      </c>
      <c r="S79" s="298">
        <v>1</v>
      </c>
      <c r="T79" s="241">
        <v>5</v>
      </c>
      <c r="U79" s="241">
        <v>4</v>
      </c>
      <c r="V79" s="298">
        <v>1</v>
      </c>
      <c r="W79" s="241">
        <v>6</v>
      </c>
      <c r="X79" s="241">
        <v>6</v>
      </c>
      <c r="Y79" s="241">
        <v>6</v>
      </c>
      <c r="Z79" s="241">
        <v>7</v>
      </c>
      <c r="AA79" s="241">
        <v>4</v>
      </c>
      <c r="AB79" s="241">
        <v>6</v>
      </c>
      <c r="AC79" s="241" t="s">
        <v>32</v>
      </c>
      <c r="AD79" s="241" t="s">
        <v>32</v>
      </c>
      <c r="AE79" s="241" t="s">
        <v>32</v>
      </c>
      <c r="AF79" s="241" t="s">
        <v>32</v>
      </c>
      <c r="AG79" s="241" t="s">
        <v>32</v>
      </c>
      <c r="AH79" s="241" t="s">
        <v>32</v>
      </c>
      <c r="AI79" s="241" t="s">
        <v>32</v>
      </c>
      <c r="AJ79" s="241" t="s">
        <v>32</v>
      </c>
      <c r="AK79" s="241" t="s">
        <v>32</v>
      </c>
      <c r="AL79" s="241" t="s">
        <v>32</v>
      </c>
      <c r="AM79" s="241" t="s">
        <v>32</v>
      </c>
      <c r="AN79" s="241" t="s">
        <v>32</v>
      </c>
      <c r="AO79" s="241" t="s">
        <v>32</v>
      </c>
      <c r="AP79" s="241" t="s">
        <v>32</v>
      </c>
      <c r="AQ79" s="241" t="s">
        <v>32</v>
      </c>
      <c r="AR79" s="241" t="s">
        <v>32</v>
      </c>
      <c r="AS79" s="241" t="s">
        <v>32</v>
      </c>
      <c r="AT79" s="298" t="s">
        <v>32</v>
      </c>
      <c r="AU79" s="241" t="s">
        <v>8</v>
      </c>
      <c r="AV79" s="241">
        <v>8</v>
      </c>
      <c r="AW79" s="299" t="s">
        <v>393</v>
      </c>
      <c r="AX79" s="300" t="s">
        <v>32</v>
      </c>
      <c r="AY79" s="298" t="s">
        <v>33</v>
      </c>
      <c r="AZ79" s="240" t="s">
        <v>779</v>
      </c>
      <c r="BA79" s="301">
        <f t="shared" si="42"/>
        <v>3.1666666666666665</v>
      </c>
      <c r="BB79" s="302" t="str">
        <f t="shared" si="43"/>
        <v>Minors</v>
      </c>
      <c r="BC79" s="302">
        <f t="shared" si="44"/>
        <v>3.8333333333333335</v>
      </c>
      <c r="BD79" s="302" t="str">
        <f t="shared" si="45"/>
        <v>Minors</v>
      </c>
      <c r="BE79" s="302">
        <f t="shared" si="46"/>
        <v>3.8333333333333335</v>
      </c>
      <c r="BF79" s="302" t="str">
        <f t="shared" si="47"/>
        <v>Minors</v>
      </c>
      <c r="BG79" s="303">
        <f t="shared" si="48"/>
        <v>3</v>
      </c>
      <c r="BH79" s="304">
        <f t="shared" si="49"/>
        <v>2.5</v>
      </c>
      <c r="BI79" s="241" t="str">
        <f t="shared" si="50"/>
        <v/>
      </c>
      <c r="BJ79" s="241" t="str">
        <f t="shared" si="51"/>
        <v>Unlikely</v>
      </c>
      <c r="BK79" s="242" t="str">
        <f t="shared" si="52"/>
        <v>SS-A</v>
      </c>
      <c r="BL79" s="242">
        <f t="shared" si="53"/>
        <v>8</v>
      </c>
      <c r="BM79" s="242">
        <f t="shared" si="54"/>
        <v>10</v>
      </c>
      <c r="BN79" s="242">
        <f t="shared" si="55"/>
        <v>-1</v>
      </c>
      <c r="BO79" s="242">
        <f t="shared" si="56"/>
        <v>-1</v>
      </c>
      <c r="BP79" s="242">
        <f t="shared" si="57"/>
        <v>0</v>
      </c>
      <c r="BQ79" s="242">
        <f t="shared" si="58"/>
        <v>-2</v>
      </c>
    </row>
    <row r="80" spans="1:69" s="305" customFormat="1" x14ac:dyDescent="0.25">
      <c r="A80" s="248" t="str">
        <f t="shared" si="40"/>
        <v>Whit Scott</v>
      </c>
      <c r="B80" s="248" t="str">
        <f>IF(ISERROR(VLOOKUP(A80,AMA!$C$53:$C$100,1,FALSE)),IF(ISERROR(VLOOKUP(A80,'END-AAA'!$C$51:$C$100,1,FALSE)),IF(ISERROR(VLOOKUP(A80,'DB-AA'!$C$51:$C$100,1,FALSE)),IF(ISERROR(VLOOKUP(A80,'UTR-A'!$C$51:$C$100,1,FALSE)),IF(ISERROR(VLOOKUP(A80,'FAI-S A'!$C$51:$C$100,1,FALSE)),"","S A"),"A"),"AA"),"AAA"),"ML")</f>
        <v/>
      </c>
      <c r="C80" s="242"/>
      <c r="D80" s="242" t="str">
        <f t="shared" si="41"/>
        <v>K</v>
      </c>
      <c r="E80" s="241" t="s">
        <v>87</v>
      </c>
      <c r="F80" s="241" t="s">
        <v>1012</v>
      </c>
      <c r="G80" s="241" t="s">
        <v>1013</v>
      </c>
      <c r="H80" s="241" t="s">
        <v>802</v>
      </c>
      <c r="I80" s="241" t="s">
        <v>277</v>
      </c>
      <c r="J80" s="241">
        <v>21</v>
      </c>
      <c r="K80" s="241" t="s">
        <v>83</v>
      </c>
      <c r="L80" s="298" t="s">
        <v>83</v>
      </c>
      <c r="M80" s="241" t="s">
        <v>816</v>
      </c>
      <c r="N80" s="241" t="s">
        <v>816</v>
      </c>
      <c r="O80" s="241" t="s">
        <v>200</v>
      </c>
      <c r="P80" s="298" t="s">
        <v>199</v>
      </c>
      <c r="Q80" s="241">
        <v>4</v>
      </c>
      <c r="R80" s="241">
        <v>2</v>
      </c>
      <c r="S80" s="298">
        <v>2</v>
      </c>
      <c r="T80" s="241">
        <v>5</v>
      </c>
      <c r="U80" s="241">
        <v>2</v>
      </c>
      <c r="V80" s="298">
        <v>2</v>
      </c>
      <c r="W80" s="241">
        <v>6</v>
      </c>
      <c r="X80" s="241">
        <v>6</v>
      </c>
      <c r="Y80" s="241" t="s">
        <v>32</v>
      </c>
      <c r="Z80" s="241" t="s">
        <v>32</v>
      </c>
      <c r="AA80" s="241" t="s">
        <v>32</v>
      </c>
      <c r="AB80" s="241" t="s">
        <v>32</v>
      </c>
      <c r="AC80" s="241">
        <v>4</v>
      </c>
      <c r="AD80" s="241">
        <v>5</v>
      </c>
      <c r="AE80" s="241">
        <v>4</v>
      </c>
      <c r="AF80" s="241">
        <v>6</v>
      </c>
      <c r="AG80" s="241" t="s">
        <v>32</v>
      </c>
      <c r="AH80" s="241" t="s">
        <v>32</v>
      </c>
      <c r="AI80" s="241" t="s">
        <v>32</v>
      </c>
      <c r="AJ80" s="241" t="s">
        <v>32</v>
      </c>
      <c r="AK80" s="241" t="s">
        <v>32</v>
      </c>
      <c r="AL80" s="241" t="s">
        <v>32</v>
      </c>
      <c r="AM80" s="241" t="s">
        <v>32</v>
      </c>
      <c r="AN80" s="241" t="s">
        <v>32</v>
      </c>
      <c r="AO80" s="241" t="s">
        <v>32</v>
      </c>
      <c r="AP80" s="241" t="s">
        <v>32</v>
      </c>
      <c r="AQ80" s="241" t="s">
        <v>32</v>
      </c>
      <c r="AR80" s="241" t="s">
        <v>32</v>
      </c>
      <c r="AS80" s="241" t="s">
        <v>32</v>
      </c>
      <c r="AT80" s="298" t="s">
        <v>32</v>
      </c>
      <c r="AU80" s="241" t="s">
        <v>209</v>
      </c>
      <c r="AV80" s="241">
        <v>6</v>
      </c>
      <c r="AW80" s="299" t="s">
        <v>393</v>
      </c>
      <c r="AX80" s="300" t="s">
        <v>32</v>
      </c>
      <c r="AY80" s="298" t="s">
        <v>33</v>
      </c>
      <c r="AZ80" s="240" t="s">
        <v>779</v>
      </c>
      <c r="BA80" s="301">
        <f t="shared" si="42"/>
        <v>3.1666666666666665</v>
      </c>
      <c r="BB80" s="302" t="str">
        <f t="shared" si="43"/>
        <v>Minors</v>
      </c>
      <c r="BC80" s="302">
        <f t="shared" si="44"/>
        <v>3.5</v>
      </c>
      <c r="BD80" s="302" t="str">
        <f t="shared" si="45"/>
        <v>Minors</v>
      </c>
      <c r="BE80" s="302">
        <f t="shared" si="46"/>
        <v>3.5</v>
      </c>
      <c r="BF80" s="302" t="str">
        <f t="shared" si="47"/>
        <v>Minors</v>
      </c>
      <c r="BG80" s="303">
        <f t="shared" si="48"/>
        <v>3</v>
      </c>
      <c r="BH80" s="304">
        <f t="shared" si="49"/>
        <v>1.5</v>
      </c>
      <c r="BI80" s="241" t="str">
        <f t="shared" si="50"/>
        <v/>
      </c>
      <c r="BJ80" s="241" t="str">
        <f t="shared" si="51"/>
        <v>Unlikely</v>
      </c>
      <c r="BK80" s="242" t="str">
        <f t="shared" si="52"/>
        <v>SS-A</v>
      </c>
      <c r="BL80" s="242">
        <f t="shared" si="53"/>
        <v>8</v>
      </c>
      <c r="BM80" s="242">
        <f t="shared" si="54"/>
        <v>9</v>
      </c>
      <c r="BN80" s="242">
        <f t="shared" si="55"/>
        <v>-1</v>
      </c>
      <c r="BO80" s="242">
        <f t="shared" si="56"/>
        <v>0</v>
      </c>
      <c r="BP80" s="242">
        <f t="shared" si="57"/>
        <v>0</v>
      </c>
      <c r="BQ80" s="242">
        <f t="shared" si="58"/>
        <v>-1</v>
      </c>
    </row>
    <row r="81" spans="1:69" s="305" customFormat="1" x14ac:dyDescent="0.25">
      <c r="A81" s="248" t="str">
        <f t="shared" si="40"/>
        <v>Kieran Robertson</v>
      </c>
      <c r="B81" s="248" t="str">
        <f>IF(ISERROR(VLOOKUP(A81,AMA!$C$53:$C$100,1,FALSE)),IF(ISERROR(VLOOKUP(A81,'END-AAA'!$C$51:$C$100,1,FALSE)),IF(ISERROR(VLOOKUP(A81,'DB-AA'!$C$51:$C$100,1,FALSE)),IF(ISERROR(VLOOKUP(A81,'UTR-A'!$C$51:$C$100,1,FALSE)),IF(ISERROR(VLOOKUP(A81,'FAI-S A'!$C$51:$C$100,1,FALSE)),"","S A"),"A"),"AA"),"AAA"),"ML")</f>
        <v/>
      </c>
      <c r="C81" s="242"/>
      <c r="D81" s="242" t="str">
        <f t="shared" si="41"/>
        <v>T</v>
      </c>
      <c r="E81" s="241" t="s">
        <v>11</v>
      </c>
      <c r="F81" s="241" t="s">
        <v>1155</v>
      </c>
      <c r="G81" s="241" t="s">
        <v>1156</v>
      </c>
      <c r="H81" s="241" t="s">
        <v>810</v>
      </c>
      <c r="I81" s="241" t="s">
        <v>83</v>
      </c>
      <c r="J81" s="241">
        <v>20</v>
      </c>
      <c r="K81" s="241" t="s">
        <v>83</v>
      </c>
      <c r="L81" s="298" t="s">
        <v>83</v>
      </c>
      <c r="M81" s="241" t="s">
        <v>816</v>
      </c>
      <c r="N81" s="241" t="s">
        <v>816</v>
      </c>
      <c r="O81" s="241" t="s">
        <v>200</v>
      </c>
      <c r="P81" s="298" t="s">
        <v>200</v>
      </c>
      <c r="Q81" s="241">
        <v>3</v>
      </c>
      <c r="R81" s="241">
        <v>2</v>
      </c>
      <c r="S81" s="298">
        <v>3</v>
      </c>
      <c r="T81" s="241">
        <v>4</v>
      </c>
      <c r="U81" s="241">
        <v>4</v>
      </c>
      <c r="V81" s="298">
        <v>5</v>
      </c>
      <c r="W81" s="241">
        <v>4</v>
      </c>
      <c r="X81" s="241">
        <v>5</v>
      </c>
      <c r="Y81" s="241">
        <v>1</v>
      </c>
      <c r="Z81" s="241">
        <v>4</v>
      </c>
      <c r="AA81" s="241" t="s">
        <v>32</v>
      </c>
      <c r="AB81" s="241" t="s">
        <v>32</v>
      </c>
      <c r="AC81" s="241" t="s">
        <v>32</v>
      </c>
      <c r="AD81" s="241" t="s">
        <v>32</v>
      </c>
      <c r="AE81" s="241">
        <v>4</v>
      </c>
      <c r="AF81" s="241">
        <v>5</v>
      </c>
      <c r="AG81" s="241" t="s">
        <v>32</v>
      </c>
      <c r="AH81" s="241" t="s">
        <v>32</v>
      </c>
      <c r="AI81" s="241" t="s">
        <v>32</v>
      </c>
      <c r="AJ81" s="241" t="s">
        <v>32</v>
      </c>
      <c r="AK81" s="241" t="s">
        <v>32</v>
      </c>
      <c r="AL81" s="241" t="s">
        <v>32</v>
      </c>
      <c r="AM81" s="241" t="s">
        <v>32</v>
      </c>
      <c r="AN81" s="241" t="s">
        <v>32</v>
      </c>
      <c r="AO81" s="241" t="s">
        <v>32</v>
      </c>
      <c r="AP81" s="241" t="s">
        <v>32</v>
      </c>
      <c r="AQ81" s="241" t="s">
        <v>32</v>
      </c>
      <c r="AR81" s="241" t="s">
        <v>32</v>
      </c>
      <c r="AS81" s="241" t="s">
        <v>32</v>
      </c>
      <c r="AT81" s="298" t="s">
        <v>32</v>
      </c>
      <c r="AU81" s="241" t="s">
        <v>0</v>
      </c>
      <c r="AV81" s="241">
        <v>8</v>
      </c>
      <c r="AW81" s="299" t="s">
        <v>393</v>
      </c>
      <c r="AX81" s="300" t="s">
        <v>32</v>
      </c>
      <c r="AY81" s="298" t="s">
        <v>33</v>
      </c>
      <c r="AZ81" s="240" t="s">
        <v>201</v>
      </c>
      <c r="BA81" s="301">
        <f t="shared" si="42"/>
        <v>2.9166666666666665</v>
      </c>
      <c r="BB81" s="302" t="str">
        <f t="shared" si="43"/>
        <v>Minors</v>
      </c>
      <c r="BC81" s="302">
        <f t="shared" si="44"/>
        <v>4.583333333333333</v>
      </c>
      <c r="BD81" s="302" t="str">
        <f t="shared" si="45"/>
        <v>Bench</v>
      </c>
      <c r="BE81" s="302">
        <f t="shared" si="46"/>
        <v>4.583333333333333</v>
      </c>
      <c r="BF81" s="302" t="str">
        <f t="shared" si="47"/>
        <v>Bench</v>
      </c>
      <c r="BG81" s="303">
        <f t="shared" si="48"/>
        <v>3</v>
      </c>
      <c r="BH81" s="304">
        <f t="shared" si="49"/>
        <v>0</v>
      </c>
      <c r="BI81" s="241" t="str">
        <f t="shared" si="50"/>
        <v/>
      </c>
      <c r="BJ81" s="241" t="str">
        <f t="shared" si="51"/>
        <v>Possible</v>
      </c>
      <c r="BK81" s="242" t="str">
        <f t="shared" si="52"/>
        <v>SS-A</v>
      </c>
      <c r="BL81" s="242">
        <f t="shared" si="53"/>
        <v>8</v>
      </c>
      <c r="BM81" s="242">
        <f t="shared" si="54"/>
        <v>13</v>
      </c>
      <c r="BN81" s="242">
        <f t="shared" si="55"/>
        <v>-1</v>
      </c>
      <c r="BO81" s="242">
        <f t="shared" si="56"/>
        <v>-2</v>
      </c>
      <c r="BP81" s="242">
        <f t="shared" si="57"/>
        <v>-2</v>
      </c>
      <c r="BQ81" s="242">
        <f t="shared" si="58"/>
        <v>-5</v>
      </c>
    </row>
    <row r="82" spans="1:69" s="305" customFormat="1" x14ac:dyDescent="0.25">
      <c r="A82" s="248" t="str">
        <f t="shared" si="40"/>
        <v>Foster Beatty</v>
      </c>
      <c r="B82" s="248" t="str">
        <f>IF(ISERROR(VLOOKUP(A82,AMA!$C$53:$C$100,1,FALSE)),IF(ISERROR(VLOOKUP(A82,'END-AAA'!$C$51:$C$100,1,FALSE)),IF(ISERROR(VLOOKUP(A82,'DB-AA'!$C$51:$C$100,1,FALSE)),IF(ISERROR(VLOOKUP(A82,'UTR-A'!$C$51:$C$100,1,FALSE)),IF(ISERROR(VLOOKUP(A82,'FAI-S A'!$C$51:$C$100,1,FALSE)),"","S A"),"A"),"AA"),"AAA"),"ML")</f>
        <v/>
      </c>
      <c r="C82" s="242"/>
      <c r="D82" s="242" t="str">
        <f t="shared" si="41"/>
        <v>T</v>
      </c>
      <c r="E82" s="241" t="s">
        <v>11</v>
      </c>
      <c r="F82" s="241" t="s">
        <v>1269</v>
      </c>
      <c r="G82" s="241" t="s">
        <v>1270</v>
      </c>
      <c r="H82" s="241" t="s">
        <v>802</v>
      </c>
      <c r="I82" s="241" t="s">
        <v>277</v>
      </c>
      <c r="J82" s="241">
        <v>23</v>
      </c>
      <c r="K82" s="241" t="s">
        <v>83</v>
      </c>
      <c r="L82" s="298" t="s">
        <v>82</v>
      </c>
      <c r="M82" s="241" t="s">
        <v>816</v>
      </c>
      <c r="N82" s="241" t="s">
        <v>816</v>
      </c>
      <c r="O82" s="241" t="s">
        <v>201</v>
      </c>
      <c r="P82" s="298" t="s">
        <v>200</v>
      </c>
      <c r="Q82" s="241">
        <v>4</v>
      </c>
      <c r="R82" s="241">
        <v>3</v>
      </c>
      <c r="S82" s="298">
        <v>1</v>
      </c>
      <c r="T82" s="241">
        <v>5</v>
      </c>
      <c r="U82" s="241">
        <v>3</v>
      </c>
      <c r="V82" s="298">
        <v>2</v>
      </c>
      <c r="W82" s="241">
        <v>4</v>
      </c>
      <c r="X82" s="241">
        <v>7</v>
      </c>
      <c r="Y82" s="241">
        <v>1</v>
      </c>
      <c r="Z82" s="241">
        <v>2</v>
      </c>
      <c r="AA82" s="241" t="s">
        <v>32</v>
      </c>
      <c r="AB82" s="241" t="s">
        <v>32</v>
      </c>
      <c r="AC82" s="241" t="s">
        <v>32</v>
      </c>
      <c r="AD82" s="241" t="s">
        <v>32</v>
      </c>
      <c r="AE82" s="241" t="s">
        <v>32</v>
      </c>
      <c r="AF82" s="241" t="s">
        <v>32</v>
      </c>
      <c r="AG82" s="241">
        <v>5</v>
      </c>
      <c r="AH82" s="241">
        <v>7</v>
      </c>
      <c r="AI82" s="241" t="s">
        <v>32</v>
      </c>
      <c r="AJ82" s="241" t="s">
        <v>32</v>
      </c>
      <c r="AK82" s="241" t="s">
        <v>32</v>
      </c>
      <c r="AL82" s="241" t="s">
        <v>32</v>
      </c>
      <c r="AM82" s="241" t="s">
        <v>32</v>
      </c>
      <c r="AN82" s="241" t="s">
        <v>32</v>
      </c>
      <c r="AO82" s="241" t="s">
        <v>32</v>
      </c>
      <c r="AP82" s="241" t="s">
        <v>32</v>
      </c>
      <c r="AQ82" s="241" t="s">
        <v>32</v>
      </c>
      <c r="AR82" s="241" t="s">
        <v>32</v>
      </c>
      <c r="AS82" s="241" t="s">
        <v>32</v>
      </c>
      <c r="AT82" s="298" t="s">
        <v>32</v>
      </c>
      <c r="AU82" s="241" t="s">
        <v>5</v>
      </c>
      <c r="AV82" s="241">
        <v>6</v>
      </c>
      <c r="AW82" s="299" t="s">
        <v>393</v>
      </c>
      <c r="AX82" s="300" t="s">
        <v>32</v>
      </c>
      <c r="AY82" s="298" t="s">
        <v>33</v>
      </c>
      <c r="AZ82" s="240" t="s">
        <v>779</v>
      </c>
      <c r="BA82" s="301">
        <f t="shared" si="42"/>
        <v>2.9166666666666665</v>
      </c>
      <c r="BB82" s="302" t="str">
        <f t="shared" si="43"/>
        <v>Minors</v>
      </c>
      <c r="BC82" s="302">
        <f t="shared" si="44"/>
        <v>3.8333333333333335</v>
      </c>
      <c r="BD82" s="302" t="str">
        <f t="shared" si="45"/>
        <v>Minors</v>
      </c>
      <c r="BE82" s="302">
        <f t="shared" si="46"/>
        <v>3.8333333333333335</v>
      </c>
      <c r="BF82" s="302" t="str">
        <f t="shared" si="47"/>
        <v>Minors</v>
      </c>
      <c r="BG82" s="303">
        <f t="shared" si="48"/>
        <v>3</v>
      </c>
      <c r="BH82" s="304">
        <f t="shared" si="49"/>
        <v>1</v>
      </c>
      <c r="BI82" s="241" t="str">
        <f t="shared" si="50"/>
        <v/>
      </c>
      <c r="BJ82" s="241" t="str">
        <f t="shared" si="51"/>
        <v>Unlikely</v>
      </c>
      <c r="BK82" s="242" t="str">
        <f t="shared" si="52"/>
        <v>SS-A</v>
      </c>
      <c r="BL82" s="242">
        <f t="shared" si="53"/>
        <v>8</v>
      </c>
      <c r="BM82" s="242">
        <f t="shared" si="54"/>
        <v>10</v>
      </c>
      <c r="BN82" s="242">
        <f t="shared" si="55"/>
        <v>-1</v>
      </c>
      <c r="BO82" s="242">
        <f t="shared" si="56"/>
        <v>0</v>
      </c>
      <c r="BP82" s="242">
        <f t="shared" si="57"/>
        <v>-1</v>
      </c>
      <c r="BQ82" s="242">
        <f t="shared" si="58"/>
        <v>-2</v>
      </c>
    </row>
    <row r="83" spans="1:69" s="305" customFormat="1" x14ac:dyDescent="0.25">
      <c r="A83" s="248" t="str">
        <f t="shared" si="40"/>
        <v>Kick Kools</v>
      </c>
      <c r="B83" s="248" t="str">
        <f>IF(ISERROR(VLOOKUP(A83,AMA!$C$53:$C$100,1,FALSE)),IF(ISERROR(VLOOKUP(A83,'END-AAA'!$C$51:$C$100,1,FALSE)),IF(ISERROR(VLOOKUP(A83,'DB-AA'!$C$51:$C$100,1,FALSE)),IF(ISERROR(VLOOKUP(A83,'UTR-A'!$C$51:$C$100,1,FALSE)),IF(ISERROR(VLOOKUP(A83,'FAI-S A'!$C$51:$C$100,1,FALSE)),"","S A"),"A"),"AA"),"AAA"),"ML")</f>
        <v/>
      </c>
      <c r="C83" s="242"/>
      <c r="D83" s="242" t="str">
        <f t="shared" si="41"/>
        <v>K</v>
      </c>
      <c r="E83" s="241" t="s">
        <v>87</v>
      </c>
      <c r="F83" s="241" t="s">
        <v>982</v>
      </c>
      <c r="G83" s="241" t="s">
        <v>983</v>
      </c>
      <c r="H83" s="241" t="s">
        <v>810</v>
      </c>
      <c r="I83" s="241" t="s">
        <v>83</v>
      </c>
      <c r="J83" s="241">
        <v>19</v>
      </c>
      <c r="K83" s="241" t="s">
        <v>83</v>
      </c>
      <c r="L83" s="298" t="s">
        <v>83</v>
      </c>
      <c r="M83" s="241" t="s">
        <v>816</v>
      </c>
      <c r="N83" s="241" t="s">
        <v>808</v>
      </c>
      <c r="O83" s="241" t="s">
        <v>199</v>
      </c>
      <c r="P83" s="298" t="s">
        <v>199</v>
      </c>
      <c r="Q83" s="241">
        <v>2</v>
      </c>
      <c r="R83" s="241">
        <v>3</v>
      </c>
      <c r="S83" s="298">
        <v>2</v>
      </c>
      <c r="T83" s="241">
        <v>5</v>
      </c>
      <c r="U83" s="241">
        <v>5</v>
      </c>
      <c r="V83" s="298">
        <v>4</v>
      </c>
      <c r="W83" s="241">
        <v>6</v>
      </c>
      <c r="X83" s="241">
        <v>9</v>
      </c>
      <c r="Y83" s="241" t="s">
        <v>32</v>
      </c>
      <c r="Z83" s="241" t="s">
        <v>32</v>
      </c>
      <c r="AA83" s="241">
        <v>2</v>
      </c>
      <c r="AB83" s="241">
        <v>7</v>
      </c>
      <c r="AC83" s="241" t="s">
        <v>32</v>
      </c>
      <c r="AD83" s="241" t="s">
        <v>32</v>
      </c>
      <c r="AE83" s="241" t="s">
        <v>32</v>
      </c>
      <c r="AF83" s="241" t="s">
        <v>32</v>
      </c>
      <c r="AG83" s="241" t="s">
        <v>32</v>
      </c>
      <c r="AH83" s="241" t="s">
        <v>32</v>
      </c>
      <c r="AI83" s="241" t="s">
        <v>32</v>
      </c>
      <c r="AJ83" s="241" t="s">
        <v>32</v>
      </c>
      <c r="AK83" s="241" t="s">
        <v>32</v>
      </c>
      <c r="AL83" s="241" t="s">
        <v>32</v>
      </c>
      <c r="AM83" s="241" t="s">
        <v>32</v>
      </c>
      <c r="AN83" s="241" t="s">
        <v>32</v>
      </c>
      <c r="AO83" s="241" t="s">
        <v>32</v>
      </c>
      <c r="AP83" s="241" t="s">
        <v>32</v>
      </c>
      <c r="AQ83" s="241" t="s">
        <v>32</v>
      </c>
      <c r="AR83" s="241" t="s">
        <v>32</v>
      </c>
      <c r="AS83" s="241" t="s">
        <v>32</v>
      </c>
      <c r="AT83" s="298" t="s">
        <v>32</v>
      </c>
      <c r="AU83" s="241" t="s">
        <v>209</v>
      </c>
      <c r="AV83" s="241">
        <v>6</v>
      </c>
      <c r="AW83" s="299" t="s">
        <v>393</v>
      </c>
      <c r="AX83" s="300" t="s">
        <v>32</v>
      </c>
      <c r="AY83" s="298" t="s">
        <v>33</v>
      </c>
      <c r="AZ83" s="240" t="s">
        <v>779</v>
      </c>
      <c r="BA83" s="301">
        <f t="shared" si="42"/>
        <v>2.8333333333333335</v>
      </c>
      <c r="BB83" s="302" t="str">
        <f t="shared" si="43"/>
        <v>Minors</v>
      </c>
      <c r="BC83" s="302">
        <f t="shared" si="44"/>
        <v>5.166666666666667</v>
      </c>
      <c r="BD83" s="302" t="str">
        <f t="shared" si="45"/>
        <v>Reg</v>
      </c>
      <c r="BE83" s="302">
        <f t="shared" si="46"/>
        <v>5.166666666666667</v>
      </c>
      <c r="BF83" s="302" t="str">
        <f t="shared" si="47"/>
        <v>Reg</v>
      </c>
      <c r="BG83" s="303">
        <f t="shared" si="48"/>
        <v>2</v>
      </c>
      <c r="BH83" s="304">
        <f t="shared" si="49"/>
        <v>1.5</v>
      </c>
      <c r="BI83" s="241" t="str">
        <f t="shared" si="50"/>
        <v/>
      </c>
      <c r="BJ83" s="241" t="str">
        <f t="shared" si="51"/>
        <v>Possible</v>
      </c>
      <c r="BK83" s="242" t="str">
        <f t="shared" si="52"/>
        <v>SS-A</v>
      </c>
      <c r="BL83" s="242">
        <f t="shared" si="53"/>
        <v>7</v>
      </c>
      <c r="BM83" s="242">
        <f t="shared" si="54"/>
        <v>14</v>
      </c>
      <c r="BN83" s="242">
        <f t="shared" si="55"/>
        <v>-3</v>
      </c>
      <c r="BO83" s="242">
        <f t="shared" si="56"/>
        <v>-2</v>
      </c>
      <c r="BP83" s="242">
        <f t="shared" si="57"/>
        <v>-2</v>
      </c>
      <c r="BQ83" s="242">
        <f t="shared" si="58"/>
        <v>-7</v>
      </c>
    </row>
    <row r="84" spans="1:69" s="305" customFormat="1" x14ac:dyDescent="0.25">
      <c r="A84" s="248" t="str">
        <f t="shared" si="40"/>
        <v>Stephen Urbina</v>
      </c>
      <c r="B84" s="248" t="str">
        <f>IF(ISERROR(VLOOKUP(A84,AMA!$C$53:$C$100,1,FALSE)),IF(ISERROR(VLOOKUP(A84,'END-AAA'!$C$51:$C$100,1,FALSE)),IF(ISERROR(VLOOKUP(A84,'DB-AA'!$C$51:$C$100,1,FALSE)),IF(ISERROR(VLOOKUP(A84,'UTR-A'!$C$51:$C$100,1,FALSE)),IF(ISERROR(VLOOKUP(A84,'FAI-S A'!$C$51:$C$100,1,FALSE)),"","S A"),"A"),"AA"),"AAA"),"ML")</f>
        <v/>
      </c>
      <c r="C84" s="242"/>
      <c r="D84" s="242" t="str">
        <f t="shared" si="41"/>
        <v>T</v>
      </c>
      <c r="E84" s="241" t="s">
        <v>88</v>
      </c>
      <c r="F84" s="241" t="s">
        <v>1271</v>
      </c>
      <c r="G84" s="241" t="s">
        <v>1272</v>
      </c>
      <c r="H84" s="241" t="s">
        <v>802</v>
      </c>
      <c r="I84" s="241" t="s">
        <v>277</v>
      </c>
      <c r="J84" s="241">
        <v>22</v>
      </c>
      <c r="K84" s="241" t="s">
        <v>83</v>
      </c>
      <c r="L84" s="298" t="s">
        <v>83</v>
      </c>
      <c r="M84" s="241" t="s">
        <v>816</v>
      </c>
      <c r="N84" s="241" t="s">
        <v>816</v>
      </c>
      <c r="O84" s="241" t="s">
        <v>200</v>
      </c>
      <c r="P84" s="298" t="s">
        <v>200</v>
      </c>
      <c r="Q84" s="241">
        <v>4</v>
      </c>
      <c r="R84" s="241">
        <v>2</v>
      </c>
      <c r="S84" s="298">
        <v>1</v>
      </c>
      <c r="T84" s="241">
        <v>5</v>
      </c>
      <c r="U84" s="241">
        <v>2</v>
      </c>
      <c r="V84" s="298">
        <v>2</v>
      </c>
      <c r="W84" s="241">
        <v>7</v>
      </c>
      <c r="X84" s="241">
        <v>8</v>
      </c>
      <c r="Y84" s="241" t="s">
        <v>32</v>
      </c>
      <c r="Z84" s="241" t="s">
        <v>32</v>
      </c>
      <c r="AA84" s="241" t="s">
        <v>32</v>
      </c>
      <c r="AB84" s="241" t="s">
        <v>32</v>
      </c>
      <c r="AC84" s="241" t="s">
        <v>32</v>
      </c>
      <c r="AD84" s="241" t="s">
        <v>32</v>
      </c>
      <c r="AE84" s="241" t="s">
        <v>32</v>
      </c>
      <c r="AF84" s="241" t="s">
        <v>32</v>
      </c>
      <c r="AG84" s="241" t="s">
        <v>32</v>
      </c>
      <c r="AH84" s="241" t="s">
        <v>32</v>
      </c>
      <c r="AI84" s="241" t="s">
        <v>32</v>
      </c>
      <c r="AJ84" s="241" t="s">
        <v>32</v>
      </c>
      <c r="AK84" s="241" t="s">
        <v>32</v>
      </c>
      <c r="AL84" s="241" t="s">
        <v>32</v>
      </c>
      <c r="AM84" s="241">
        <v>2</v>
      </c>
      <c r="AN84" s="241">
        <v>3</v>
      </c>
      <c r="AO84" s="241" t="s">
        <v>32</v>
      </c>
      <c r="AP84" s="241" t="s">
        <v>32</v>
      </c>
      <c r="AQ84" s="241" t="s">
        <v>32</v>
      </c>
      <c r="AR84" s="241" t="s">
        <v>32</v>
      </c>
      <c r="AS84" s="241" t="s">
        <v>32</v>
      </c>
      <c r="AT84" s="298" t="s">
        <v>32</v>
      </c>
      <c r="AU84" s="241" t="s">
        <v>326</v>
      </c>
      <c r="AV84" s="241">
        <v>1</v>
      </c>
      <c r="AW84" s="299" t="s">
        <v>393</v>
      </c>
      <c r="AX84" s="300" t="s">
        <v>32</v>
      </c>
      <c r="AY84" s="298" t="s">
        <v>33</v>
      </c>
      <c r="AZ84" s="240" t="s">
        <v>779</v>
      </c>
      <c r="BA84" s="301">
        <f t="shared" si="42"/>
        <v>2.8333333333333335</v>
      </c>
      <c r="BB84" s="302" t="str">
        <f t="shared" si="43"/>
        <v>Minors</v>
      </c>
      <c r="BC84" s="302">
        <f t="shared" si="44"/>
        <v>3.5</v>
      </c>
      <c r="BD84" s="302" t="str">
        <f t="shared" si="45"/>
        <v>Minors</v>
      </c>
      <c r="BE84" s="302">
        <f t="shared" si="46"/>
        <v>3.5</v>
      </c>
      <c r="BF84" s="302" t="str">
        <f t="shared" si="47"/>
        <v>Minors</v>
      </c>
      <c r="BG84" s="303">
        <f t="shared" si="48"/>
        <v>2</v>
      </c>
      <c r="BH84" s="304">
        <f t="shared" si="49"/>
        <v>1</v>
      </c>
      <c r="BI84" s="241" t="str">
        <f t="shared" si="50"/>
        <v/>
      </c>
      <c r="BJ84" s="241" t="str">
        <f t="shared" si="51"/>
        <v>Unlikely</v>
      </c>
      <c r="BK84" s="242" t="str">
        <f t="shared" si="52"/>
        <v>SS-A</v>
      </c>
      <c r="BL84" s="242">
        <f t="shared" si="53"/>
        <v>7</v>
      </c>
      <c r="BM84" s="242">
        <f t="shared" si="54"/>
        <v>9</v>
      </c>
      <c r="BN84" s="242">
        <f t="shared" si="55"/>
        <v>-1</v>
      </c>
      <c r="BO84" s="242">
        <f t="shared" si="56"/>
        <v>0</v>
      </c>
      <c r="BP84" s="242">
        <f t="shared" si="57"/>
        <v>-1</v>
      </c>
      <c r="BQ84" s="242">
        <f t="shared" si="58"/>
        <v>-2</v>
      </c>
    </row>
    <row r="85" spans="1:69" s="305" customFormat="1" x14ac:dyDescent="0.25">
      <c r="A85" s="248" t="str">
        <f t="shared" si="40"/>
        <v>Marcos Montaño</v>
      </c>
      <c r="B85" s="248" t="str">
        <f>IF(ISERROR(VLOOKUP(A85,AMA!$C$53:$C$100,1,FALSE)),IF(ISERROR(VLOOKUP(A85,'END-AAA'!$C$51:$C$100,1,FALSE)),IF(ISERROR(VLOOKUP(A85,'DB-AA'!$C$51:$C$100,1,FALSE)),IF(ISERROR(VLOOKUP(A85,'UTR-A'!$C$51:$C$100,1,FALSE)),IF(ISERROR(VLOOKUP(A85,'FAI-S A'!$C$51:$C$100,1,FALSE)),"","S A"),"A"),"AA"),"AAA"),"ML")</f>
        <v/>
      </c>
      <c r="C85" s="242"/>
      <c r="D85" s="242" t="str">
        <f t="shared" si="41"/>
        <v>T</v>
      </c>
      <c r="E85" s="241" t="s">
        <v>87</v>
      </c>
      <c r="F85" s="241" t="s">
        <v>996</v>
      </c>
      <c r="G85" s="241" t="s">
        <v>997</v>
      </c>
      <c r="H85" s="241" t="s">
        <v>802</v>
      </c>
      <c r="I85" s="241" t="s">
        <v>277</v>
      </c>
      <c r="J85" s="241">
        <v>23</v>
      </c>
      <c r="K85" s="241" t="s">
        <v>82</v>
      </c>
      <c r="L85" s="298" t="s">
        <v>82</v>
      </c>
      <c r="M85" s="241" t="s">
        <v>816</v>
      </c>
      <c r="N85" s="241" t="s">
        <v>816</v>
      </c>
      <c r="O85" s="241" t="s">
        <v>201</v>
      </c>
      <c r="P85" s="298" t="s">
        <v>201</v>
      </c>
      <c r="Q85" s="241">
        <v>4</v>
      </c>
      <c r="R85" s="241">
        <v>2</v>
      </c>
      <c r="S85" s="298">
        <v>1</v>
      </c>
      <c r="T85" s="241">
        <v>5</v>
      </c>
      <c r="U85" s="241">
        <v>2</v>
      </c>
      <c r="V85" s="298">
        <v>1</v>
      </c>
      <c r="W85" s="241">
        <v>7</v>
      </c>
      <c r="X85" s="241">
        <v>8</v>
      </c>
      <c r="Y85" s="241" t="s">
        <v>32</v>
      </c>
      <c r="Z85" s="241" t="s">
        <v>32</v>
      </c>
      <c r="AA85" s="241" t="s">
        <v>32</v>
      </c>
      <c r="AB85" s="241" t="s">
        <v>32</v>
      </c>
      <c r="AC85" s="241">
        <v>4</v>
      </c>
      <c r="AD85" s="241">
        <v>7</v>
      </c>
      <c r="AE85" s="241" t="s">
        <v>32</v>
      </c>
      <c r="AF85" s="241" t="s">
        <v>32</v>
      </c>
      <c r="AG85" s="241" t="s">
        <v>32</v>
      </c>
      <c r="AH85" s="241" t="s">
        <v>32</v>
      </c>
      <c r="AI85" s="241" t="s">
        <v>32</v>
      </c>
      <c r="AJ85" s="241" t="s">
        <v>32</v>
      </c>
      <c r="AK85" s="241">
        <v>5</v>
      </c>
      <c r="AL85" s="241">
        <v>6</v>
      </c>
      <c r="AM85" s="241" t="s">
        <v>32</v>
      </c>
      <c r="AN85" s="241" t="s">
        <v>32</v>
      </c>
      <c r="AO85" s="241" t="s">
        <v>32</v>
      </c>
      <c r="AP85" s="241" t="s">
        <v>32</v>
      </c>
      <c r="AQ85" s="241" t="s">
        <v>32</v>
      </c>
      <c r="AR85" s="241" t="s">
        <v>32</v>
      </c>
      <c r="AS85" s="241" t="s">
        <v>32</v>
      </c>
      <c r="AT85" s="298" t="s">
        <v>32</v>
      </c>
      <c r="AU85" s="241" t="s">
        <v>8</v>
      </c>
      <c r="AV85" s="241">
        <v>8</v>
      </c>
      <c r="AW85" s="299" t="s">
        <v>393</v>
      </c>
      <c r="AX85" s="300" t="s">
        <v>32</v>
      </c>
      <c r="AY85" s="298">
        <v>0</v>
      </c>
      <c r="AZ85" s="240" t="s">
        <v>779</v>
      </c>
      <c r="BA85" s="301">
        <f t="shared" si="42"/>
        <v>2.8333333333333335</v>
      </c>
      <c r="BB85" s="302" t="str">
        <f t="shared" si="43"/>
        <v>Minors</v>
      </c>
      <c r="BC85" s="302">
        <f t="shared" si="44"/>
        <v>3.1666666666666665</v>
      </c>
      <c r="BD85" s="302" t="str">
        <f t="shared" si="45"/>
        <v>Minors</v>
      </c>
      <c r="BE85" s="302">
        <f t="shared" si="46"/>
        <v>3.1666666666666665</v>
      </c>
      <c r="BF85" s="302" t="str">
        <f t="shared" si="47"/>
        <v>Minors</v>
      </c>
      <c r="BG85" s="303">
        <f t="shared" si="48"/>
        <v>3</v>
      </c>
      <c r="BH85" s="304">
        <f t="shared" si="49"/>
        <v>2</v>
      </c>
      <c r="BI85" s="241" t="str">
        <f t="shared" si="50"/>
        <v/>
      </c>
      <c r="BJ85" s="241" t="str">
        <f t="shared" si="51"/>
        <v>Unlikely</v>
      </c>
      <c r="BK85" s="242" t="str">
        <f t="shared" si="52"/>
        <v>SS-A</v>
      </c>
      <c r="BL85" s="242">
        <f t="shared" si="53"/>
        <v>7</v>
      </c>
      <c r="BM85" s="242">
        <f t="shared" si="54"/>
        <v>8</v>
      </c>
      <c r="BN85" s="242">
        <f t="shared" si="55"/>
        <v>-1</v>
      </c>
      <c r="BO85" s="242">
        <f t="shared" si="56"/>
        <v>0</v>
      </c>
      <c r="BP85" s="242">
        <f t="shared" si="57"/>
        <v>0</v>
      </c>
      <c r="BQ85" s="242">
        <f t="shared" si="58"/>
        <v>-1</v>
      </c>
    </row>
    <row r="86" spans="1:69" s="305" customFormat="1" x14ac:dyDescent="0.25">
      <c r="A86" s="248" t="str">
        <f t="shared" si="40"/>
        <v>Ricardo Pérez</v>
      </c>
      <c r="B86" s="248" t="str">
        <f>IF(ISERROR(VLOOKUP(A86,AMA!$C$53:$C$100,1,FALSE)),IF(ISERROR(VLOOKUP(A86,'END-AAA'!$C$51:$C$100,1,FALSE)),IF(ISERROR(VLOOKUP(A86,'DB-AA'!$C$51:$C$100,1,FALSE)),IF(ISERROR(VLOOKUP(A86,'UTR-A'!$C$51:$C$100,1,FALSE)),IF(ISERROR(VLOOKUP(A86,'FAI-S A'!$C$51:$C$100,1,FALSE)),"","S A"),"A"),"AA"),"AAA"),"ML")</f>
        <v/>
      </c>
      <c r="C86" s="242"/>
      <c r="D86" s="242" t="str">
        <f t="shared" si="41"/>
        <v>T</v>
      </c>
      <c r="E86" s="241" t="s">
        <v>11</v>
      </c>
      <c r="F86" s="241" t="s">
        <v>444</v>
      </c>
      <c r="G86" s="241" t="s">
        <v>436</v>
      </c>
      <c r="H86" s="241" t="s">
        <v>802</v>
      </c>
      <c r="I86" s="241" t="s">
        <v>277</v>
      </c>
      <c r="J86" s="241">
        <v>22</v>
      </c>
      <c r="K86" s="241" t="s">
        <v>83</v>
      </c>
      <c r="L86" s="298" t="s">
        <v>83</v>
      </c>
      <c r="M86" s="241" t="s">
        <v>816</v>
      </c>
      <c r="N86" s="241" t="s">
        <v>816</v>
      </c>
      <c r="O86" s="241" t="s">
        <v>201</v>
      </c>
      <c r="P86" s="298" t="s">
        <v>200</v>
      </c>
      <c r="Q86" s="241">
        <v>4</v>
      </c>
      <c r="R86" s="241">
        <v>2</v>
      </c>
      <c r="S86" s="298">
        <v>1</v>
      </c>
      <c r="T86" s="241">
        <v>5</v>
      </c>
      <c r="U86" s="241">
        <v>2</v>
      </c>
      <c r="V86" s="298">
        <v>1</v>
      </c>
      <c r="W86" s="241">
        <v>6</v>
      </c>
      <c r="X86" s="241">
        <v>7</v>
      </c>
      <c r="Y86" s="241">
        <v>1</v>
      </c>
      <c r="Z86" s="241">
        <v>1</v>
      </c>
      <c r="AA86" s="241">
        <v>4</v>
      </c>
      <c r="AB86" s="241">
        <v>6</v>
      </c>
      <c r="AC86" s="241" t="s">
        <v>32</v>
      </c>
      <c r="AD86" s="241" t="s">
        <v>32</v>
      </c>
      <c r="AE86" s="241" t="s">
        <v>32</v>
      </c>
      <c r="AF86" s="241" t="s">
        <v>32</v>
      </c>
      <c r="AG86" s="241" t="s">
        <v>32</v>
      </c>
      <c r="AH86" s="241" t="s">
        <v>32</v>
      </c>
      <c r="AI86" s="241" t="s">
        <v>32</v>
      </c>
      <c r="AJ86" s="241" t="s">
        <v>32</v>
      </c>
      <c r="AK86" s="241" t="s">
        <v>32</v>
      </c>
      <c r="AL86" s="241" t="s">
        <v>32</v>
      </c>
      <c r="AM86" s="241" t="s">
        <v>32</v>
      </c>
      <c r="AN86" s="241" t="s">
        <v>32</v>
      </c>
      <c r="AO86" s="241" t="s">
        <v>32</v>
      </c>
      <c r="AP86" s="241" t="s">
        <v>32</v>
      </c>
      <c r="AQ86" s="241" t="s">
        <v>32</v>
      </c>
      <c r="AR86" s="241" t="s">
        <v>32</v>
      </c>
      <c r="AS86" s="241" t="s">
        <v>32</v>
      </c>
      <c r="AT86" s="298" t="s">
        <v>32</v>
      </c>
      <c r="AU86" s="241" t="s">
        <v>7</v>
      </c>
      <c r="AV86" s="241">
        <v>5</v>
      </c>
      <c r="AW86" s="299" t="s">
        <v>393</v>
      </c>
      <c r="AX86" s="300" t="s">
        <v>32</v>
      </c>
      <c r="AY86" s="298" t="s">
        <v>33</v>
      </c>
      <c r="AZ86" s="240" t="s">
        <v>199</v>
      </c>
      <c r="BA86" s="301">
        <f t="shared" si="42"/>
        <v>2.8333333333333335</v>
      </c>
      <c r="BB86" s="302" t="str">
        <f t="shared" si="43"/>
        <v>Minors</v>
      </c>
      <c r="BC86" s="302">
        <f t="shared" si="44"/>
        <v>3.1666666666666665</v>
      </c>
      <c r="BD86" s="302" t="str">
        <f t="shared" si="45"/>
        <v>Minors</v>
      </c>
      <c r="BE86" s="302">
        <f t="shared" si="46"/>
        <v>3.1666666666666665</v>
      </c>
      <c r="BF86" s="302" t="str">
        <f t="shared" si="47"/>
        <v>Minors</v>
      </c>
      <c r="BG86" s="303">
        <f t="shared" si="48"/>
        <v>3</v>
      </c>
      <c r="BH86" s="304">
        <f t="shared" si="49"/>
        <v>1.5</v>
      </c>
      <c r="BI86" s="241" t="str">
        <f t="shared" si="50"/>
        <v/>
      </c>
      <c r="BJ86" s="241" t="str">
        <f t="shared" si="51"/>
        <v>Unlikely</v>
      </c>
      <c r="BK86" s="242" t="str">
        <f t="shared" si="52"/>
        <v>SS-A</v>
      </c>
      <c r="BL86" s="242">
        <f t="shared" si="53"/>
        <v>7</v>
      </c>
      <c r="BM86" s="242">
        <f t="shared" si="54"/>
        <v>8</v>
      </c>
      <c r="BN86" s="242">
        <f t="shared" si="55"/>
        <v>-1</v>
      </c>
      <c r="BO86" s="242">
        <f t="shared" si="56"/>
        <v>0</v>
      </c>
      <c r="BP86" s="242">
        <f t="shared" si="57"/>
        <v>0</v>
      </c>
      <c r="BQ86" s="242">
        <f t="shared" si="58"/>
        <v>-1</v>
      </c>
    </row>
    <row r="87" spans="1:69" s="305" customFormat="1" x14ac:dyDescent="0.25">
      <c r="A87" s="248" t="str">
        <f t="shared" si="40"/>
        <v>Aaron Robinson</v>
      </c>
      <c r="B87" s="248" t="str">
        <f>IF(ISERROR(VLOOKUP(A87,AMA!$C$53:$C$100,1,FALSE)),IF(ISERROR(VLOOKUP(A87,'END-AAA'!$C$51:$C$100,1,FALSE)),IF(ISERROR(VLOOKUP(A87,'DB-AA'!$C$51:$C$100,1,FALSE)),IF(ISERROR(VLOOKUP(A87,'UTR-A'!$C$51:$C$100,1,FALSE)),IF(ISERROR(VLOOKUP(A87,'FAI-S A'!$C$51:$C$100,1,FALSE)),"","S A"),"A"),"AA"),"AAA"),"ML")</f>
        <v/>
      </c>
      <c r="C87" s="242"/>
      <c r="D87" s="242" t="str">
        <f t="shared" si="41"/>
        <v>K</v>
      </c>
      <c r="E87" s="241" t="s">
        <v>11</v>
      </c>
      <c r="F87" s="241" t="s">
        <v>503</v>
      </c>
      <c r="G87" s="241" t="s">
        <v>470</v>
      </c>
      <c r="H87" s="241" t="s">
        <v>814</v>
      </c>
      <c r="I87" s="241" t="s">
        <v>187</v>
      </c>
      <c r="J87" s="241">
        <v>24</v>
      </c>
      <c r="K87" s="241" t="s">
        <v>83</v>
      </c>
      <c r="L87" s="298" t="s">
        <v>83</v>
      </c>
      <c r="M87" s="241" t="s">
        <v>816</v>
      </c>
      <c r="N87" s="241" t="s">
        <v>816</v>
      </c>
      <c r="O87" s="241" t="s">
        <v>200</v>
      </c>
      <c r="P87" s="298" t="s">
        <v>199</v>
      </c>
      <c r="Q87" s="241">
        <v>4</v>
      </c>
      <c r="R87" s="241">
        <v>2</v>
      </c>
      <c r="S87" s="298">
        <v>1</v>
      </c>
      <c r="T87" s="241">
        <v>5</v>
      </c>
      <c r="U87" s="241">
        <v>2</v>
      </c>
      <c r="V87" s="298">
        <v>1</v>
      </c>
      <c r="W87" s="241">
        <v>6</v>
      </c>
      <c r="X87" s="241">
        <v>7</v>
      </c>
      <c r="Y87" s="241">
        <v>4</v>
      </c>
      <c r="Z87" s="241">
        <v>5</v>
      </c>
      <c r="AA87" s="241" t="s">
        <v>32</v>
      </c>
      <c r="AB87" s="241" t="s">
        <v>32</v>
      </c>
      <c r="AC87" s="241">
        <v>3</v>
      </c>
      <c r="AD87" s="241">
        <v>3</v>
      </c>
      <c r="AE87" s="241" t="s">
        <v>32</v>
      </c>
      <c r="AF87" s="241" t="s">
        <v>32</v>
      </c>
      <c r="AG87" s="241" t="s">
        <v>32</v>
      </c>
      <c r="AH87" s="241" t="s">
        <v>32</v>
      </c>
      <c r="AI87" s="241" t="s">
        <v>32</v>
      </c>
      <c r="AJ87" s="241" t="s">
        <v>32</v>
      </c>
      <c r="AK87" s="241" t="s">
        <v>32</v>
      </c>
      <c r="AL87" s="241" t="s">
        <v>32</v>
      </c>
      <c r="AM87" s="241" t="s">
        <v>32</v>
      </c>
      <c r="AN87" s="241" t="s">
        <v>32</v>
      </c>
      <c r="AO87" s="241" t="s">
        <v>32</v>
      </c>
      <c r="AP87" s="241" t="s">
        <v>32</v>
      </c>
      <c r="AQ87" s="241" t="s">
        <v>32</v>
      </c>
      <c r="AR87" s="241" t="s">
        <v>32</v>
      </c>
      <c r="AS87" s="241" t="s">
        <v>32</v>
      </c>
      <c r="AT87" s="298" t="s">
        <v>32</v>
      </c>
      <c r="AU87" s="241" t="s">
        <v>4</v>
      </c>
      <c r="AV87" s="241">
        <v>4</v>
      </c>
      <c r="AW87" s="299" t="s">
        <v>393</v>
      </c>
      <c r="AX87" s="300" t="s">
        <v>32</v>
      </c>
      <c r="AY87" s="298">
        <v>0</v>
      </c>
      <c r="AZ87" s="240" t="s">
        <v>199</v>
      </c>
      <c r="BA87" s="301">
        <f t="shared" si="42"/>
        <v>2.8333333333333335</v>
      </c>
      <c r="BB87" s="302" t="str">
        <f t="shared" si="43"/>
        <v>Minors</v>
      </c>
      <c r="BC87" s="302">
        <f t="shared" si="44"/>
        <v>3.1666666666666665</v>
      </c>
      <c r="BD87" s="302" t="str">
        <f t="shared" si="45"/>
        <v>Minors</v>
      </c>
      <c r="BE87" s="302">
        <f t="shared" si="46"/>
        <v>3.1666666666666665</v>
      </c>
      <c r="BF87" s="302" t="str">
        <f t="shared" si="47"/>
        <v>Minors</v>
      </c>
      <c r="BG87" s="303">
        <f t="shared" si="48"/>
        <v>3</v>
      </c>
      <c r="BH87" s="304">
        <f t="shared" si="49"/>
        <v>1</v>
      </c>
      <c r="BI87" s="241" t="str">
        <f t="shared" si="50"/>
        <v/>
      </c>
      <c r="BJ87" s="241" t="str">
        <f t="shared" si="51"/>
        <v>Unlikely</v>
      </c>
      <c r="BK87" s="242" t="str">
        <f t="shared" si="52"/>
        <v>SS-A</v>
      </c>
      <c r="BL87" s="242">
        <f t="shared" si="53"/>
        <v>7</v>
      </c>
      <c r="BM87" s="242">
        <f t="shared" si="54"/>
        <v>8</v>
      </c>
      <c r="BN87" s="242">
        <f t="shared" si="55"/>
        <v>-1</v>
      </c>
      <c r="BO87" s="242">
        <f t="shared" si="56"/>
        <v>0</v>
      </c>
      <c r="BP87" s="242">
        <f t="shared" si="57"/>
        <v>0</v>
      </c>
      <c r="BQ87" s="242">
        <f t="shared" si="58"/>
        <v>-1</v>
      </c>
    </row>
    <row r="88" spans="1:69" s="305" customFormat="1" x14ac:dyDescent="0.25">
      <c r="A88" s="248" t="str">
        <f t="shared" si="40"/>
        <v>Celio Miguis</v>
      </c>
      <c r="B88" s="248" t="str">
        <f>IF(ISERROR(VLOOKUP(A88,AMA!$C$53:$C$100,1,FALSE)),IF(ISERROR(VLOOKUP(A88,'END-AAA'!$C$51:$C$100,1,FALSE)),IF(ISERROR(VLOOKUP(A88,'DB-AA'!$C$51:$C$100,1,FALSE)),IF(ISERROR(VLOOKUP(A88,'UTR-A'!$C$51:$C$100,1,FALSE)),IF(ISERROR(VLOOKUP(A88,'FAI-S A'!$C$51:$C$100,1,FALSE)),"","S A"),"A"),"AA"),"AAA"),"ML")</f>
        <v/>
      </c>
      <c r="C88" s="242"/>
      <c r="D88" s="242" t="str">
        <f t="shared" si="41"/>
        <v>T</v>
      </c>
      <c r="E88" s="241" t="s">
        <v>11</v>
      </c>
      <c r="F88" s="241" t="s">
        <v>994</v>
      </c>
      <c r="G88" s="241" t="s">
        <v>995</v>
      </c>
      <c r="H88" s="241" t="s">
        <v>810</v>
      </c>
      <c r="I88" s="241" t="s">
        <v>83</v>
      </c>
      <c r="J88" s="241">
        <v>19</v>
      </c>
      <c r="K88" s="241" t="s">
        <v>83</v>
      </c>
      <c r="L88" s="298" t="s">
        <v>83</v>
      </c>
      <c r="M88" s="241" t="s">
        <v>816</v>
      </c>
      <c r="N88" s="241" t="s">
        <v>816</v>
      </c>
      <c r="O88" s="241" t="s">
        <v>200</v>
      </c>
      <c r="P88" s="298" t="s">
        <v>200</v>
      </c>
      <c r="Q88" s="241">
        <v>3</v>
      </c>
      <c r="R88" s="241">
        <v>2</v>
      </c>
      <c r="S88" s="298">
        <v>2</v>
      </c>
      <c r="T88" s="241">
        <v>5</v>
      </c>
      <c r="U88" s="241">
        <v>3</v>
      </c>
      <c r="V88" s="298">
        <v>4</v>
      </c>
      <c r="W88" s="241">
        <v>5</v>
      </c>
      <c r="X88" s="241">
        <v>6</v>
      </c>
      <c r="Y88" s="241">
        <v>2</v>
      </c>
      <c r="Z88" s="241">
        <v>5</v>
      </c>
      <c r="AA88" s="241">
        <v>4</v>
      </c>
      <c r="AB88" s="241">
        <v>6</v>
      </c>
      <c r="AC88" s="241" t="s">
        <v>32</v>
      </c>
      <c r="AD88" s="241" t="s">
        <v>32</v>
      </c>
      <c r="AE88" s="241" t="s">
        <v>32</v>
      </c>
      <c r="AF88" s="241" t="s">
        <v>32</v>
      </c>
      <c r="AG88" s="241" t="s">
        <v>32</v>
      </c>
      <c r="AH88" s="241" t="s">
        <v>32</v>
      </c>
      <c r="AI88" s="241" t="s">
        <v>32</v>
      </c>
      <c r="AJ88" s="241" t="s">
        <v>32</v>
      </c>
      <c r="AK88" s="241" t="s">
        <v>32</v>
      </c>
      <c r="AL88" s="241" t="s">
        <v>32</v>
      </c>
      <c r="AM88" s="241" t="s">
        <v>32</v>
      </c>
      <c r="AN88" s="241" t="s">
        <v>32</v>
      </c>
      <c r="AO88" s="241" t="s">
        <v>32</v>
      </c>
      <c r="AP88" s="241" t="s">
        <v>32</v>
      </c>
      <c r="AQ88" s="241" t="s">
        <v>32</v>
      </c>
      <c r="AR88" s="241" t="s">
        <v>32</v>
      </c>
      <c r="AS88" s="241" t="s">
        <v>32</v>
      </c>
      <c r="AT88" s="298" t="s">
        <v>32</v>
      </c>
      <c r="AU88" s="241" t="s">
        <v>5</v>
      </c>
      <c r="AV88" s="241">
        <v>9</v>
      </c>
      <c r="AW88" s="299" t="s">
        <v>40</v>
      </c>
      <c r="AX88" s="300" t="s">
        <v>32</v>
      </c>
      <c r="AY88" s="298" t="s">
        <v>33</v>
      </c>
      <c r="AZ88" s="240" t="s">
        <v>779</v>
      </c>
      <c r="BA88" s="301">
        <f t="shared" si="42"/>
        <v>2.5833333333333335</v>
      </c>
      <c r="BB88" s="302" t="str">
        <f t="shared" si="43"/>
        <v>Minors</v>
      </c>
      <c r="BC88" s="302">
        <f t="shared" si="44"/>
        <v>4.5</v>
      </c>
      <c r="BD88" s="302" t="str">
        <f t="shared" si="45"/>
        <v>Bench</v>
      </c>
      <c r="BE88" s="302">
        <f t="shared" si="46"/>
        <v>4.5</v>
      </c>
      <c r="BF88" s="302" t="str">
        <f t="shared" si="47"/>
        <v>Bench</v>
      </c>
      <c r="BG88" s="303">
        <f t="shared" si="48"/>
        <v>3</v>
      </c>
      <c r="BH88" s="304">
        <f t="shared" si="49"/>
        <v>1</v>
      </c>
      <c r="BI88" s="241" t="str">
        <f t="shared" si="50"/>
        <v/>
      </c>
      <c r="BJ88" s="241" t="str">
        <f t="shared" si="51"/>
        <v>Possible</v>
      </c>
      <c r="BK88" s="242" t="str">
        <f t="shared" si="52"/>
        <v>SS-A</v>
      </c>
      <c r="BL88" s="242">
        <f t="shared" si="53"/>
        <v>7</v>
      </c>
      <c r="BM88" s="242">
        <f t="shared" si="54"/>
        <v>12</v>
      </c>
      <c r="BN88" s="242">
        <f t="shared" si="55"/>
        <v>-2</v>
      </c>
      <c r="BO88" s="242">
        <f t="shared" si="56"/>
        <v>-1</v>
      </c>
      <c r="BP88" s="242">
        <f t="shared" si="57"/>
        <v>-2</v>
      </c>
      <c r="BQ88" s="242">
        <f t="shared" si="58"/>
        <v>-5</v>
      </c>
    </row>
    <row r="89" spans="1:69" s="305" customFormat="1" x14ac:dyDescent="0.25">
      <c r="A89" s="248" t="str">
        <f t="shared" si="40"/>
        <v>Tekle-Mariam Louahla</v>
      </c>
      <c r="B89" s="248" t="str">
        <f>IF(ISERROR(VLOOKUP(A89,AMA!$C$53:$C$100,1,FALSE)),IF(ISERROR(VLOOKUP(A89,'END-AAA'!$C$51:$C$100,1,FALSE)),IF(ISERROR(VLOOKUP(A89,'DB-AA'!$C$51:$C$100,1,FALSE)),IF(ISERROR(VLOOKUP(A89,'UTR-A'!$C$51:$C$100,1,FALSE)),IF(ISERROR(VLOOKUP(A89,'FAI-S A'!$C$51:$C$100,1,FALSE)),"","S A"),"A"),"AA"),"AAA"),"ML")</f>
        <v/>
      </c>
      <c r="C89" s="242"/>
      <c r="D89" s="242" t="str">
        <f t="shared" si="41"/>
        <v>T</v>
      </c>
      <c r="E89" s="241" t="s">
        <v>87</v>
      </c>
      <c r="F89" s="241" t="s">
        <v>988</v>
      </c>
      <c r="G89" s="241" t="s">
        <v>989</v>
      </c>
      <c r="H89" s="241" t="s">
        <v>810</v>
      </c>
      <c r="I89" s="241" t="s">
        <v>83</v>
      </c>
      <c r="J89" s="241">
        <v>20</v>
      </c>
      <c r="K89" s="241" t="s">
        <v>82</v>
      </c>
      <c r="L89" s="298" t="s">
        <v>83</v>
      </c>
      <c r="M89" s="241" t="s">
        <v>816</v>
      </c>
      <c r="N89" s="241" t="s">
        <v>808</v>
      </c>
      <c r="O89" s="241" t="s">
        <v>200</v>
      </c>
      <c r="P89" s="298" t="s">
        <v>200</v>
      </c>
      <c r="Q89" s="241">
        <v>2</v>
      </c>
      <c r="R89" s="241">
        <v>3</v>
      </c>
      <c r="S89" s="298">
        <v>1</v>
      </c>
      <c r="T89" s="241">
        <v>6</v>
      </c>
      <c r="U89" s="241">
        <v>4</v>
      </c>
      <c r="V89" s="298">
        <v>5</v>
      </c>
      <c r="W89" s="241">
        <v>6</v>
      </c>
      <c r="X89" s="241">
        <v>9</v>
      </c>
      <c r="Y89" s="241">
        <v>1</v>
      </c>
      <c r="Z89" s="241">
        <v>2</v>
      </c>
      <c r="AA89" s="241" t="s">
        <v>32</v>
      </c>
      <c r="AB89" s="241" t="s">
        <v>32</v>
      </c>
      <c r="AC89" s="241" t="s">
        <v>32</v>
      </c>
      <c r="AD89" s="241" t="s">
        <v>32</v>
      </c>
      <c r="AE89" s="241" t="s">
        <v>32</v>
      </c>
      <c r="AF89" s="241" t="s">
        <v>32</v>
      </c>
      <c r="AG89" s="241">
        <v>4</v>
      </c>
      <c r="AH89" s="241">
        <v>7</v>
      </c>
      <c r="AI89" s="241" t="s">
        <v>32</v>
      </c>
      <c r="AJ89" s="241" t="s">
        <v>32</v>
      </c>
      <c r="AK89" s="241" t="s">
        <v>32</v>
      </c>
      <c r="AL89" s="241" t="s">
        <v>32</v>
      </c>
      <c r="AM89" s="241" t="s">
        <v>32</v>
      </c>
      <c r="AN89" s="241" t="s">
        <v>32</v>
      </c>
      <c r="AO89" s="241" t="s">
        <v>32</v>
      </c>
      <c r="AP89" s="241" t="s">
        <v>32</v>
      </c>
      <c r="AQ89" s="241" t="s">
        <v>32</v>
      </c>
      <c r="AR89" s="241" t="s">
        <v>32</v>
      </c>
      <c r="AS89" s="241" t="s">
        <v>32</v>
      </c>
      <c r="AT89" s="298" t="s">
        <v>32</v>
      </c>
      <c r="AU89" s="241" t="s">
        <v>6</v>
      </c>
      <c r="AV89" s="241">
        <v>8</v>
      </c>
      <c r="AW89" s="299" t="s">
        <v>393</v>
      </c>
      <c r="AX89" s="300" t="s">
        <v>32</v>
      </c>
      <c r="AY89" s="298">
        <v>0</v>
      </c>
      <c r="AZ89" s="240" t="s">
        <v>779</v>
      </c>
      <c r="BA89" s="301">
        <f t="shared" si="42"/>
        <v>2.5</v>
      </c>
      <c r="BB89" s="302" t="str">
        <f t="shared" si="43"/>
        <v>Minors</v>
      </c>
      <c r="BC89" s="302">
        <f t="shared" si="44"/>
        <v>5.5</v>
      </c>
      <c r="BD89" s="302" t="str">
        <f t="shared" si="45"/>
        <v>Reg</v>
      </c>
      <c r="BE89" s="302">
        <f t="shared" si="46"/>
        <v>5.5</v>
      </c>
      <c r="BF89" s="302" t="str">
        <f t="shared" si="47"/>
        <v>Reg</v>
      </c>
      <c r="BG89" s="303">
        <f t="shared" si="48"/>
        <v>3</v>
      </c>
      <c r="BH89" s="304">
        <f t="shared" si="49"/>
        <v>1.5</v>
      </c>
      <c r="BI89" s="241" t="str">
        <f t="shared" si="50"/>
        <v/>
      </c>
      <c r="BJ89" s="241" t="str">
        <f t="shared" si="51"/>
        <v>Possible</v>
      </c>
      <c r="BK89" s="242" t="str">
        <f t="shared" si="52"/>
        <v>SS-A</v>
      </c>
      <c r="BL89" s="242">
        <f t="shared" si="53"/>
        <v>6</v>
      </c>
      <c r="BM89" s="242">
        <f t="shared" si="54"/>
        <v>15</v>
      </c>
      <c r="BN89" s="242">
        <f t="shared" si="55"/>
        <v>-4</v>
      </c>
      <c r="BO89" s="242">
        <f t="shared" si="56"/>
        <v>-1</v>
      </c>
      <c r="BP89" s="242">
        <f t="shared" si="57"/>
        <v>-4</v>
      </c>
      <c r="BQ89" s="242">
        <f t="shared" si="58"/>
        <v>-9</v>
      </c>
    </row>
    <row r="90" spans="1:69" s="305" customFormat="1" x14ac:dyDescent="0.25">
      <c r="A90" s="248" t="str">
        <f t="shared" si="40"/>
        <v>Jon Bunch</v>
      </c>
      <c r="B90" s="248" t="str">
        <f>IF(ISERROR(VLOOKUP(A90,AMA!$C$53:$C$100,1,FALSE)),IF(ISERROR(VLOOKUP(A90,'END-AAA'!$C$51:$C$100,1,FALSE)),IF(ISERROR(VLOOKUP(A90,'DB-AA'!$C$51:$C$100,1,FALSE)),IF(ISERROR(VLOOKUP(A90,'UTR-A'!$C$51:$C$100,1,FALSE)),IF(ISERROR(VLOOKUP(A90,'FAI-S A'!$C$51:$C$100,1,FALSE)),"","S A"),"A"),"AA"),"AAA"),"ML")</f>
        <v/>
      </c>
      <c r="C90" s="242"/>
      <c r="D90" s="242" t="str">
        <f t="shared" si="41"/>
        <v>K</v>
      </c>
      <c r="E90" s="241" t="s">
        <v>87</v>
      </c>
      <c r="F90" s="241" t="s">
        <v>955</v>
      </c>
      <c r="G90" s="241" t="s">
        <v>956</v>
      </c>
      <c r="H90" s="241" t="s">
        <v>810</v>
      </c>
      <c r="I90" s="241" t="s">
        <v>83</v>
      </c>
      <c r="J90" s="241">
        <v>20</v>
      </c>
      <c r="K90" s="241" t="s">
        <v>82</v>
      </c>
      <c r="L90" s="298" t="s">
        <v>83</v>
      </c>
      <c r="M90" s="241" t="s">
        <v>816</v>
      </c>
      <c r="N90" s="241" t="s">
        <v>816</v>
      </c>
      <c r="O90" s="241" t="s">
        <v>199</v>
      </c>
      <c r="P90" s="298" t="s">
        <v>200</v>
      </c>
      <c r="Q90" s="241">
        <v>2</v>
      </c>
      <c r="R90" s="241">
        <v>2</v>
      </c>
      <c r="S90" s="298">
        <v>2</v>
      </c>
      <c r="T90" s="241">
        <v>5</v>
      </c>
      <c r="U90" s="241">
        <v>2</v>
      </c>
      <c r="V90" s="298">
        <v>3</v>
      </c>
      <c r="W90" s="241">
        <v>4</v>
      </c>
      <c r="X90" s="241">
        <v>7</v>
      </c>
      <c r="Y90" s="241">
        <v>1</v>
      </c>
      <c r="Z90" s="241">
        <v>8</v>
      </c>
      <c r="AA90" s="241" t="s">
        <v>32</v>
      </c>
      <c r="AB90" s="241" t="s">
        <v>32</v>
      </c>
      <c r="AC90" s="241">
        <v>3</v>
      </c>
      <c r="AD90" s="241">
        <v>7</v>
      </c>
      <c r="AE90" s="241" t="s">
        <v>32</v>
      </c>
      <c r="AF90" s="241" t="s">
        <v>32</v>
      </c>
      <c r="AG90" s="241" t="s">
        <v>32</v>
      </c>
      <c r="AH90" s="241" t="s">
        <v>32</v>
      </c>
      <c r="AI90" s="241" t="s">
        <v>32</v>
      </c>
      <c r="AJ90" s="241" t="s">
        <v>32</v>
      </c>
      <c r="AK90" s="241" t="s">
        <v>32</v>
      </c>
      <c r="AL90" s="241" t="s">
        <v>32</v>
      </c>
      <c r="AM90" s="241" t="s">
        <v>32</v>
      </c>
      <c r="AN90" s="241" t="s">
        <v>32</v>
      </c>
      <c r="AO90" s="241" t="s">
        <v>32</v>
      </c>
      <c r="AP90" s="241" t="s">
        <v>32</v>
      </c>
      <c r="AQ90" s="241" t="s">
        <v>32</v>
      </c>
      <c r="AR90" s="241" t="s">
        <v>32</v>
      </c>
      <c r="AS90" s="241" t="s">
        <v>32</v>
      </c>
      <c r="AT90" s="298" t="s">
        <v>32</v>
      </c>
      <c r="AU90" s="241" t="s">
        <v>2</v>
      </c>
      <c r="AV90" s="241">
        <v>8</v>
      </c>
      <c r="AW90" s="299" t="s">
        <v>40</v>
      </c>
      <c r="AX90" s="300" t="s">
        <v>32</v>
      </c>
      <c r="AY90" s="298" t="s">
        <v>33</v>
      </c>
      <c r="AZ90" s="240" t="s">
        <v>199</v>
      </c>
      <c r="BA90" s="301">
        <f t="shared" si="42"/>
        <v>2.25</v>
      </c>
      <c r="BB90" s="302" t="str">
        <f t="shared" si="43"/>
        <v>Minors</v>
      </c>
      <c r="BC90" s="302">
        <f t="shared" si="44"/>
        <v>3.8333333333333335</v>
      </c>
      <c r="BD90" s="302" t="str">
        <f t="shared" si="45"/>
        <v>Minors</v>
      </c>
      <c r="BE90" s="302">
        <f t="shared" si="46"/>
        <v>3.8333333333333335</v>
      </c>
      <c r="BF90" s="302" t="str">
        <f t="shared" si="47"/>
        <v>Minors</v>
      </c>
      <c r="BG90" s="303">
        <f t="shared" si="48"/>
        <v>3</v>
      </c>
      <c r="BH90" s="304">
        <f t="shared" si="49"/>
        <v>1.5</v>
      </c>
      <c r="BI90" s="241" t="str">
        <f t="shared" si="50"/>
        <v/>
      </c>
      <c r="BJ90" s="241" t="str">
        <f t="shared" si="51"/>
        <v>Unlikely</v>
      </c>
      <c r="BK90" s="242" t="str">
        <f t="shared" si="52"/>
        <v>SS-A</v>
      </c>
      <c r="BL90" s="242">
        <f t="shared" si="53"/>
        <v>6</v>
      </c>
      <c r="BM90" s="242">
        <f t="shared" si="54"/>
        <v>10</v>
      </c>
      <c r="BN90" s="242">
        <f t="shared" si="55"/>
        <v>-3</v>
      </c>
      <c r="BO90" s="242">
        <f t="shared" si="56"/>
        <v>0</v>
      </c>
      <c r="BP90" s="242">
        <f t="shared" si="57"/>
        <v>-1</v>
      </c>
      <c r="BQ90" s="242">
        <f t="shared" si="58"/>
        <v>-4</v>
      </c>
    </row>
    <row r="91" spans="1:69" s="305" customFormat="1" x14ac:dyDescent="0.25">
      <c r="A91" s="248" t="str">
        <f t="shared" si="40"/>
        <v>Shohei Sato</v>
      </c>
      <c r="B91" s="248" t="str">
        <f>IF(ISERROR(VLOOKUP(A91,AMA!$C$53:$C$100,1,FALSE)),IF(ISERROR(VLOOKUP(A91,'END-AAA'!$C$51:$C$100,1,FALSE)),IF(ISERROR(VLOOKUP(A91,'DB-AA'!$C$51:$C$100,1,FALSE)),IF(ISERROR(VLOOKUP(A91,'UTR-A'!$C$51:$C$100,1,FALSE)),IF(ISERROR(VLOOKUP(A91,'FAI-S A'!$C$51:$C$100,1,FALSE)),"","S A"),"A"),"AA"),"AAA"),"ML")</f>
        <v/>
      </c>
      <c r="C91" s="242"/>
      <c r="D91" s="242" t="str">
        <f t="shared" si="41"/>
        <v>K</v>
      </c>
      <c r="E91" s="241" t="s">
        <v>11</v>
      </c>
      <c r="F91" s="241" t="s">
        <v>1011</v>
      </c>
      <c r="G91" s="241" t="s">
        <v>439</v>
      </c>
      <c r="H91" s="241" t="s">
        <v>810</v>
      </c>
      <c r="I91" s="241" t="s">
        <v>83</v>
      </c>
      <c r="J91" s="241">
        <v>19</v>
      </c>
      <c r="K91" s="241" t="s">
        <v>83</v>
      </c>
      <c r="L91" s="298" t="s">
        <v>83</v>
      </c>
      <c r="M91" s="241" t="s">
        <v>816</v>
      </c>
      <c r="N91" s="241" t="s">
        <v>816</v>
      </c>
      <c r="O91" s="241" t="s">
        <v>199</v>
      </c>
      <c r="P91" s="298" t="s">
        <v>199</v>
      </c>
      <c r="Q91" s="241">
        <v>2</v>
      </c>
      <c r="R91" s="241">
        <v>2</v>
      </c>
      <c r="S91" s="298">
        <v>2</v>
      </c>
      <c r="T91" s="241">
        <v>4</v>
      </c>
      <c r="U91" s="241">
        <v>2</v>
      </c>
      <c r="V91" s="298">
        <v>3</v>
      </c>
      <c r="W91" s="241">
        <v>4</v>
      </c>
      <c r="X91" s="241">
        <v>5</v>
      </c>
      <c r="Y91" s="241" t="s">
        <v>32</v>
      </c>
      <c r="Z91" s="241" t="s">
        <v>32</v>
      </c>
      <c r="AA91" s="241" t="s">
        <v>32</v>
      </c>
      <c r="AB91" s="241" t="s">
        <v>32</v>
      </c>
      <c r="AC91" s="241">
        <v>3</v>
      </c>
      <c r="AD91" s="241">
        <v>5</v>
      </c>
      <c r="AE91" s="241" t="s">
        <v>32</v>
      </c>
      <c r="AF91" s="241" t="s">
        <v>32</v>
      </c>
      <c r="AG91" s="241" t="s">
        <v>32</v>
      </c>
      <c r="AH91" s="241" t="s">
        <v>32</v>
      </c>
      <c r="AI91" s="241" t="s">
        <v>32</v>
      </c>
      <c r="AJ91" s="241" t="s">
        <v>32</v>
      </c>
      <c r="AK91" s="241" t="s">
        <v>32</v>
      </c>
      <c r="AL91" s="241" t="s">
        <v>32</v>
      </c>
      <c r="AM91" s="241">
        <v>1</v>
      </c>
      <c r="AN91" s="241">
        <v>6</v>
      </c>
      <c r="AO91" s="241" t="s">
        <v>32</v>
      </c>
      <c r="AP91" s="241" t="s">
        <v>32</v>
      </c>
      <c r="AQ91" s="241" t="s">
        <v>32</v>
      </c>
      <c r="AR91" s="241" t="s">
        <v>32</v>
      </c>
      <c r="AS91" s="241" t="s">
        <v>32</v>
      </c>
      <c r="AT91" s="298" t="s">
        <v>32</v>
      </c>
      <c r="AU91" s="241" t="s">
        <v>397</v>
      </c>
      <c r="AV91" s="241">
        <v>9</v>
      </c>
      <c r="AW91" s="299" t="s">
        <v>393</v>
      </c>
      <c r="AX91" s="300" t="s">
        <v>32</v>
      </c>
      <c r="AY91" s="298" t="s">
        <v>33</v>
      </c>
      <c r="AZ91" s="240" t="s">
        <v>779</v>
      </c>
      <c r="BA91" s="301">
        <f t="shared" si="42"/>
        <v>2.25</v>
      </c>
      <c r="BB91" s="302" t="str">
        <f t="shared" si="43"/>
        <v>Minors</v>
      </c>
      <c r="BC91" s="302">
        <f t="shared" si="44"/>
        <v>3.5</v>
      </c>
      <c r="BD91" s="302" t="str">
        <f t="shared" si="45"/>
        <v>Minors</v>
      </c>
      <c r="BE91" s="302">
        <f t="shared" si="46"/>
        <v>3.5</v>
      </c>
      <c r="BF91" s="302" t="str">
        <f t="shared" si="47"/>
        <v>Minors</v>
      </c>
      <c r="BG91" s="303">
        <f t="shared" si="48"/>
        <v>3</v>
      </c>
      <c r="BH91" s="304">
        <f t="shared" si="49"/>
        <v>0.5</v>
      </c>
      <c r="BI91" s="241" t="str">
        <f t="shared" si="50"/>
        <v/>
      </c>
      <c r="BJ91" s="241" t="str">
        <f t="shared" si="51"/>
        <v>Unlikely</v>
      </c>
      <c r="BK91" s="242" t="str">
        <f t="shared" si="52"/>
        <v>SS-A</v>
      </c>
      <c r="BL91" s="242">
        <f t="shared" si="53"/>
        <v>6</v>
      </c>
      <c r="BM91" s="242">
        <f t="shared" si="54"/>
        <v>9</v>
      </c>
      <c r="BN91" s="242">
        <f t="shared" si="55"/>
        <v>-2</v>
      </c>
      <c r="BO91" s="242">
        <f t="shared" si="56"/>
        <v>0</v>
      </c>
      <c r="BP91" s="242">
        <f t="shared" si="57"/>
        <v>-1</v>
      </c>
      <c r="BQ91" s="242">
        <f t="shared" si="58"/>
        <v>-3</v>
      </c>
    </row>
    <row r="92" spans="1:69" s="305" customFormat="1" x14ac:dyDescent="0.25">
      <c r="A92" s="248" t="str">
        <f t="shared" si="40"/>
        <v>Ricardo Durango</v>
      </c>
      <c r="B92" s="248" t="str">
        <f>IF(ISERROR(VLOOKUP(A92,AMA!$C$53:$C$100,1,FALSE)),IF(ISERROR(VLOOKUP(A92,'END-AAA'!$C$51:$C$100,1,FALSE)),IF(ISERROR(VLOOKUP(A92,'DB-AA'!$C$51:$C$100,1,FALSE)),IF(ISERROR(VLOOKUP(A92,'UTR-A'!$C$51:$C$100,1,FALSE)),IF(ISERROR(VLOOKUP(A92,'FAI-S A'!$C$51:$C$100,1,FALSE)),"","S A"),"A"),"AA"),"AAA"),"ML")</f>
        <v/>
      </c>
      <c r="C92" s="242"/>
      <c r="D92" s="242" t="str">
        <f t="shared" si="41"/>
        <v>T</v>
      </c>
      <c r="E92" s="241" t="s">
        <v>87</v>
      </c>
      <c r="F92" s="241" t="s">
        <v>444</v>
      </c>
      <c r="G92" s="241" t="s">
        <v>965</v>
      </c>
      <c r="H92" s="241" t="s">
        <v>810</v>
      </c>
      <c r="I92" s="241" t="s">
        <v>83</v>
      </c>
      <c r="J92" s="241">
        <v>20</v>
      </c>
      <c r="K92" s="241" t="s">
        <v>83</v>
      </c>
      <c r="L92" s="298" t="s">
        <v>83</v>
      </c>
      <c r="M92" s="241" t="s">
        <v>816</v>
      </c>
      <c r="N92" s="241" t="s">
        <v>816</v>
      </c>
      <c r="O92" s="241" t="s">
        <v>201</v>
      </c>
      <c r="P92" s="298" t="s">
        <v>201</v>
      </c>
      <c r="Q92" s="241">
        <v>3</v>
      </c>
      <c r="R92" s="241">
        <v>2</v>
      </c>
      <c r="S92" s="298">
        <v>1</v>
      </c>
      <c r="T92" s="241">
        <v>4</v>
      </c>
      <c r="U92" s="241">
        <v>2</v>
      </c>
      <c r="V92" s="298">
        <v>2</v>
      </c>
      <c r="W92" s="241">
        <v>4</v>
      </c>
      <c r="X92" s="241">
        <v>5</v>
      </c>
      <c r="Y92" s="241">
        <v>5</v>
      </c>
      <c r="Z92" s="241">
        <v>6</v>
      </c>
      <c r="AA92" s="241" t="s">
        <v>32</v>
      </c>
      <c r="AB92" s="241" t="s">
        <v>32</v>
      </c>
      <c r="AC92" s="241">
        <v>3</v>
      </c>
      <c r="AD92" s="241">
        <v>5</v>
      </c>
      <c r="AE92" s="241" t="s">
        <v>32</v>
      </c>
      <c r="AF92" s="241" t="s">
        <v>32</v>
      </c>
      <c r="AG92" s="241" t="s">
        <v>32</v>
      </c>
      <c r="AH92" s="241" t="s">
        <v>32</v>
      </c>
      <c r="AI92" s="241" t="s">
        <v>32</v>
      </c>
      <c r="AJ92" s="241" t="s">
        <v>32</v>
      </c>
      <c r="AK92" s="241" t="s">
        <v>32</v>
      </c>
      <c r="AL92" s="241" t="s">
        <v>32</v>
      </c>
      <c r="AM92" s="241" t="s">
        <v>32</v>
      </c>
      <c r="AN92" s="241" t="s">
        <v>32</v>
      </c>
      <c r="AO92" s="241" t="s">
        <v>32</v>
      </c>
      <c r="AP92" s="241" t="s">
        <v>32</v>
      </c>
      <c r="AQ92" s="241" t="s">
        <v>32</v>
      </c>
      <c r="AR92" s="241" t="s">
        <v>32</v>
      </c>
      <c r="AS92" s="241" t="s">
        <v>32</v>
      </c>
      <c r="AT92" s="298" t="s">
        <v>32</v>
      </c>
      <c r="AU92" s="241" t="s">
        <v>1</v>
      </c>
      <c r="AV92" s="241">
        <v>6</v>
      </c>
      <c r="AW92" s="299" t="s">
        <v>393</v>
      </c>
      <c r="AX92" s="300" t="s">
        <v>32</v>
      </c>
      <c r="AY92" s="298">
        <v>0</v>
      </c>
      <c r="AZ92" s="240" t="s">
        <v>199</v>
      </c>
      <c r="BA92" s="301">
        <f t="shared" si="42"/>
        <v>2.25</v>
      </c>
      <c r="BB92" s="302" t="str">
        <f t="shared" si="43"/>
        <v>Minors</v>
      </c>
      <c r="BC92" s="302">
        <f t="shared" si="44"/>
        <v>3.1666666666666665</v>
      </c>
      <c r="BD92" s="302" t="str">
        <f t="shared" si="45"/>
        <v>Minors</v>
      </c>
      <c r="BE92" s="302">
        <f t="shared" si="46"/>
        <v>3.1666666666666665</v>
      </c>
      <c r="BF92" s="302" t="str">
        <f t="shared" si="47"/>
        <v>Minors</v>
      </c>
      <c r="BG92" s="303">
        <f t="shared" si="48"/>
        <v>3</v>
      </c>
      <c r="BH92" s="304">
        <f t="shared" si="49"/>
        <v>0.5</v>
      </c>
      <c r="BI92" s="241" t="str">
        <f t="shared" si="50"/>
        <v/>
      </c>
      <c r="BJ92" s="241" t="str">
        <f t="shared" si="51"/>
        <v>Unlikely</v>
      </c>
      <c r="BK92" s="242" t="str">
        <f t="shared" si="52"/>
        <v>SS-A</v>
      </c>
      <c r="BL92" s="242">
        <f t="shared" si="53"/>
        <v>6</v>
      </c>
      <c r="BM92" s="242">
        <f t="shared" si="54"/>
        <v>8</v>
      </c>
      <c r="BN92" s="242">
        <f t="shared" si="55"/>
        <v>-1</v>
      </c>
      <c r="BO92" s="242">
        <f t="shared" si="56"/>
        <v>0</v>
      </c>
      <c r="BP92" s="242">
        <f t="shared" si="57"/>
        <v>-1</v>
      </c>
      <c r="BQ92" s="242">
        <f t="shared" si="58"/>
        <v>-2</v>
      </c>
    </row>
    <row r="93" spans="1:69" s="305" customFormat="1" x14ac:dyDescent="0.25">
      <c r="A93" s="248" t="str">
        <f t="shared" si="40"/>
        <v>Fernando Botinho</v>
      </c>
      <c r="B93" s="248" t="str">
        <f>IF(ISERROR(VLOOKUP(A93,AMA!$C$53:$C$100,1,FALSE)),IF(ISERROR(VLOOKUP(A93,'END-AAA'!$C$51:$C$100,1,FALSE)),IF(ISERROR(VLOOKUP(A93,'DB-AA'!$C$51:$C$100,1,FALSE)),IF(ISERROR(VLOOKUP(A93,'UTR-A'!$C$51:$C$100,1,FALSE)),IF(ISERROR(VLOOKUP(A93,'FAI-S A'!$C$51:$C$100,1,FALSE)),"","S A"),"A"),"AA"),"AAA"),"ML")</f>
        <v/>
      </c>
      <c r="C93" s="242"/>
      <c r="D93" s="242" t="str">
        <f t="shared" si="41"/>
        <v>K</v>
      </c>
      <c r="E93" s="241" t="s">
        <v>11</v>
      </c>
      <c r="F93" s="241" t="s">
        <v>1175</v>
      </c>
      <c r="G93" s="241" t="s">
        <v>1176</v>
      </c>
      <c r="H93" s="241" t="s">
        <v>810</v>
      </c>
      <c r="I93" s="241" t="s">
        <v>83</v>
      </c>
      <c r="J93" s="241">
        <v>19</v>
      </c>
      <c r="K93" s="241" t="s">
        <v>83</v>
      </c>
      <c r="L93" s="298" t="s">
        <v>83</v>
      </c>
      <c r="M93" s="241" t="s">
        <v>816</v>
      </c>
      <c r="N93" s="241" t="s">
        <v>816</v>
      </c>
      <c r="O93" s="241" t="s">
        <v>199</v>
      </c>
      <c r="P93" s="298" t="s">
        <v>200</v>
      </c>
      <c r="Q93" s="241">
        <v>3</v>
      </c>
      <c r="R93" s="241">
        <v>1</v>
      </c>
      <c r="S93" s="298">
        <v>2</v>
      </c>
      <c r="T93" s="241">
        <v>4</v>
      </c>
      <c r="U93" s="241">
        <v>1</v>
      </c>
      <c r="V93" s="298">
        <v>3</v>
      </c>
      <c r="W93" s="241">
        <v>5</v>
      </c>
      <c r="X93" s="241">
        <v>5</v>
      </c>
      <c r="Y93" s="241" t="s">
        <v>32</v>
      </c>
      <c r="Z93" s="241" t="s">
        <v>32</v>
      </c>
      <c r="AA93" s="241">
        <v>3</v>
      </c>
      <c r="AB93" s="241">
        <v>4</v>
      </c>
      <c r="AC93" s="241" t="s">
        <v>32</v>
      </c>
      <c r="AD93" s="241" t="s">
        <v>32</v>
      </c>
      <c r="AE93" s="241" t="s">
        <v>32</v>
      </c>
      <c r="AF93" s="241" t="s">
        <v>32</v>
      </c>
      <c r="AG93" s="241" t="s">
        <v>32</v>
      </c>
      <c r="AH93" s="241" t="s">
        <v>32</v>
      </c>
      <c r="AI93" s="241" t="s">
        <v>32</v>
      </c>
      <c r="AJ93" s="241" t="s">
        <v>32</v>
      </c>
      <c r="AK93" s="241" t="s">
        <v>32</v>
      </c>
      <c r="AL93" s="241" t="s">
        <v>32</v>
      </c>
      <c r="AM93" s="241">
        <v>1</v>
      </c>
      <c r="AN93" s="241">
        <v>4</v>
      </c>
      <c r="AO93" s="241" t="s">
        <v>32</v>
      </c>
      <c r="AP93" s="241" t="s">
        <v>32</v>
      </c>
      <c r="AQ93" s="241" t="s">
        <v>32</v>
      </c>
      <c r="AR93" s="241" t="s">
        <v>32</v>
      </c>
      <c r="AS93" s="241" t="s">
        <v>32</v>
      </c>
      <c r="AT93" s="298" t="s">
        <v>32</v>
      </c>
      <c r="AU93" s="241" t="s">
        <v>5</v>
      </c>
      <c r="AV93" s="241">
        <v>6</v>
      </c>
      <c r="AW93" s="299" t="s">
        <v>40</v>
      </c>
      <c r="AX93" s="300" t="s">
        <v>32</v>
      </c>
      <c r="AY93" s="298" t="s">
        <v>33</v>
      </c>
      <c r="AZ93" s="240" t="s">
        <v>199</v>
      </c>
      <c r="BA93" s="301">
        <f t="shared" si="42"/>
        <v>2.25</v>
      </c>
      <c r="BB93" s="302" t="str">
        <f t="shared" si="43"/>
        <v>Minors</v>
      </c>
      <c r="BC93" s="302">
        <f t="shared" si="44"/>
        <v>2.9166666666666665</v>
      </c>
      <c r="BD93" s="302" t="str">
        <f t="shared" si="45"/>
        <v>Minors</v>
      </c>
      <c r="BE93" s="302">
        <f t="shared" si="46"/>
        <v>2.9166666666666665</v>
      </c>
      <c r="BF93" s="302" t="str">
        <f t="shared" si="47"/>
        <v>Minors</v>
      </c>
      <c r="BG93" s="303">
        <f t="shared" si="48"/>
        <v>3</v>
      </c>
      <c r="BH93" s="304">
        <f t="shared" si="49"/>
        <v>0</v>
      </c>
      <c r="BI93" s="241" t="str">
        <f t="shared" si="50"/>
        <v/>
      </c>
      <c r="BJ93" s="241" t="str">
        <f t="shared" si="51"/>
        <v>Unlikely</v>
      </c>
      <c r="BK93" s="242" t="str">
        <f t="shared" si="52"/>
        <v>SS-A</v>
      </c>
      <c r="BL93" s="242">
        <f t="shared" si="53"/>
        <v>6</v>
      </c>
      <c r="BM93" s="242">
        <f t="shared" si="54"/>
        <v>8</v>
      </c>
      <c r="BN93" s="242">
        <f t="shared" si="55"/>
        <v>-1</v>
      </c>
      <c r="BO93" s="242">
        <f t="shared" si="56"/>
        <v>0</v>
      </c>
      <c r="BP93" s="242">
        <f t="shared" si="57"/>
        <v>-1</v>
      </c>
      <c r="BQ93" s="242">
        <f t="shared" si="58"/>
        <v>-2</v>
      </c>
    </row>
    <row r="94" spans="1:69" s="305" customFormat="1" x14ac:dyDescent="0.25">
      <c r="A94" s="248" t="str">
        <f t="shared" si="40"/>
        <v>José Montaño</v>
      </c>
      <c r="B94" s="248" t="str">
        <f>IF(ISERROR(VLOOKUP(A94,AMA!$C$53:$C$100,1,FALSE)),IF(ISERROR(VLOOKUP(A94,'END-AAA'!$C$51:$C$100,1,FALSE)),IF(ISERROR(VLOOKUP(A94,'DB-AA'!$C$51:$C$100,1,FALSE)),IF(ISERROR(VLOOKUP(A94,'UTR-A'!$C$51:$C$100,1,FALSE)),IF(ISERROR(VLOOKUP(A94,'FAI-S A'!$C$51:$C$100,1,FALSE)),"","S A"),"A"),"AA"),"AAA"),"ML")</f>
        <v/>
      </c>
      <c r="C94" s="242"/>
      <c r="D94" s="242" t="str">
        <f t="shared" si="41"/>
        <v>T</v>
      </c>
      <c r="E94" s="241" t="s">
        <v>87</v>
      </c>
      <c r="F94" s="241" t="s">
        <v>412</v>
      </c>
      <c r="G94" s="241" t="s">
        <v>997</v>
      </c>
      <c r="H94" s="241" t="s">
        <v>810</v>
      </c>
      <c r="I94" s="241" t="s">
        <v>83</v>
      </c>
      <c r="J94" s="241">
        <v>18</v>
      </c>
      <c r="K94" s="241" t="s">
        <v>82</v>
      </c>
      <c r="L94" s="298" t="s">
        <v>82</v>
      </c>
      <c r="M94" s="241" t="s">
        <v>816</v>
      </c>
      <c r="N94" s="241" t="s">
        <v>808</v>
      </c>
      <c r="O94" s="241" t="s">
        <v>200</v>
      </c>
      <c r="P94" s="298" t="s">
        <v>200</v>
      </c>
      <c r="Q94" s="241">
        <v>1</v>
      </c>
      <c r="R94" s="241">
        <v>2</v>
      </c>
      <c r="S94" s="298">
        <v>2</v>
      </c>
      <c r="T94" s="241">
        <v>4</v>
      </c>
      <c r="U94" s="241">
        <v>5</v>
      </c>
      <c r="V94" s="298">
        <v>6</v>
      </c>
      <c r="W94" s="241" t="s">
        <v>32</v>
      </c>
      <c r="X94" s="241" t="s">
        <v>32</v>
      </c>
      <c r="Y94" s="241">
        <v>1</v>
      </c>
      <c r="Z94" s="241">
        <v>2</v>
      </c>
      <c r="AA94" s="241" t="s">
        <v>32</v>
      </c>
      <c r="AB94" s="241" t="s">
        <v>32</v>
      </c>
      <c r="AC94" s="241">
        <v>2</v>
      </c>
      <c r="AD94" s="241">
        <v>8</v>
      </c>
      <c r="AE94" s="241" t="s">
        <v>32</v>
      </c>
      <c r="AF94" s="241" t="s">
        <v>32</v>
      </c>
      <c r="AG94" s="241" t="s">
        <v>32</v>
      </c>
      <c r="AH94" s="241" t="s">
        <v>32</v>
      </c>
      <c r="AI94" s="241">
        <v>3</v>
      </c>
      <c r="AJ94" s="241">
        <v>6</v>
      </c>
      <c r="AK94" s="241" t="s">
        <v>32</v>
      </c>
      <c r="AL94" s="241" t="s">
        <v>32</v>
      </c>
      <c r="AM94" s="241" t="s">
        <v>32</v>
      </c>
      <c r="AN94" s="241" t="s">
        <v>32</v>
      </c>
      <c r="AO94" s="241" t="s">
        <v>32</v>
      </c>
      <c r="AP94" s="241" t="s">
        <v>32</v>
      </c>
      <c r="AQ94" s="241" t="s">
        <v>32</v>
      </c>
      <c r="AR94" s="241" t="s">
        <v>32</v>
      </c>
      <c r="AS94" s="241" t="s">
        <v>32</v>
      </c>
      <c r="AT94" s="298" t="s">
        <v>32</v>
      </c>
      <c r="AU94" s="241" t="s">
        <v>5</v>
      </c>
      <c r="AV94" s="241">
        <v>4</v>
      </c>
      <c r="AW94" s="299" t="s">
        <v>393</v>
      </c>
      <c r="AX94" s="300" t="s">
        <v>32</v>
      </c>
      <c r="AY94" s="298" t="s">
        <v>33</v>
      </c>
      <c r="AZ94" s="240" t="s">
        <v>779</v>
      </c>
      <c r="BA94" s="301">
        <f t="shared" si="42"/>
        <v>1.9166666666666667</v>
      </c>
      <c r="BB94" s="302" t="str">
        <f t="shared" si="43"/>
        <v>Minors</v>
      </c>
      <c r="BC94" s="302">
        <f t="shared" si="44"/>
        <v>5.5</v>
      </c>
      <c r="BD94" s="302" t="str">
        <f t="shared" si="45"/>
        <v>Reg</v>
      </c>
      <c r="BE94" s="302">
        <f t="shared" si="46"/>
        <v>5.5</v>
      </c>
      <c r="BF94" s="302" t="str">
        <f t="shared" si="47"/>
        <v>Reg</v>
      </c>
      <c r="BG94" s="303">
        <f t="shared" si="48"/>
        <v>3</v>
      </c>
      <c r="BH94" s="304">
        <f t="shared" si="49"/>
        <v>1</v>
      </c>
      <c r="BI94" s="241" t="str">
        <f t="shared" si="50"/>
        <v/>
      </c>
      <c r="BJ94" s="241" t="str">
        <f t="shared" si="51"/>
        <v>Possible</v>
      </c>
      <c r="BK94" s="242" t="str">
        <f t="shared" si="52"/>
        <v>SS-A</v>
      </c>
      <c r="BL94" s="242">
        <f t="shared" si="53"/>
        <v>5</v>
      </c>
      <c r="BM94" s="242">
        <f t="shared" si="54"/>
        <v>15</v>
      </c>
      <c r="BN94" s="242">
        <f t="shared" si="55"/>
        <v>-3</v>
      </c>
      <c r="BO94" s="242">
        <f t="shared" si="56"/>
        <v>-3</v>
      </c>
      <c r="BP94" s="242">
        <f t="shared" si="57"/>
        <v>-4</v>
      </c>
      <c r="BQ94" s="242">
        <f t="shared" si="58"/>
        <v>-10</v>
      </c>
    </row>
    <row r="95" spans="1:69" s="305" customFormat="1" x14ac:dyDescent="0.25">
      <c r="A95" s="248" t="str">
        <f t="shared" si="40"/>
        <v>Paul Nelson</v>
      </c>
      <c r="B95" s="248" t="str">
        <f>IF(ISERROR(VLOOKUP(A95,AMA!$C$53:$C$100,1,FALSE)),IF(ISERROR(VLOOKUP(A95,'END-AAA'!$C$51:$C$100,1,FALSE)),IF(ISERROR(VLOOKUP(A95,'DB-AA'!$C$51:$C$100,1,FALSE)),IF(ISERROR(VLOOKUP(A95,'UTR-A'!$C$51:$C$100,1,FALSE)),IF(ISERROR(VLOOKUP(A95,'FAI-S A'!$C$51:$C$100,1,FALSE)),"","S A"),"A"),"AA"),"AAA"),"ML")</f>
        <v/>
      </c>
      <c r="C95" s="242"/>
      <c r="D95" s="242" t="str">
        <f t="shared" si="41"/>
        <v>K</v>
      </c>
      <c r="E95" s="241" t="s">
        <v>11</v>
      </c>
      <c r="F95" s="241" t="s">
        <v>425</v>
      </c>
      <c r="G95" s="241" t="s">
        <v>461</v>
      </c>
      <c r="H95" s="241" t="s">
        <v>810</v>
      </c>
      <c r="I95" s="241" t="s">
        <v>83</v>
      </c>
      <c r="J95" s="241">
        <v>20</v>
      </c>
      <c r="K95" s="241" t="s">
        <v>83</v>
      </c>
      <c r="L95" s="298" t="s">
        <v>83</v>
      </c>
      <c r="M95" s="241" t="s">
        <v>816</v>
      </c>
      <c r="N95" s="241" t="s">
        <v>816</v>
      </c>
      <c r="O95" s="241" t="s">
        <v>200</v>
      </c>
      <c r="P95" s="298" t="s">
        <v>199</v>
      </c>
      <c r="Q95" s="241">
        <v>2</v>
      </c>
      <c r="R95" s="241">
        <v>1</v>
      </c>
      <c r="S95" s="298">
        <v>2</v>
      </c>
      <c r="T95" s="241">
        <v>5</v>
      </c>
      <c r="U95" s="241">
        <v>2</v>
      </c>
      <c r="V95" s="298">
        <v>3</v>
      </c>
      <c r="W95" s="241">
        <v>4</v>
      </c>
      <c r="X95" s="241">
        <v>5</v>
      </c>
      <c r="Y95" s="241">
        <v>2</v>
      </c>
      <c r="Z95" s="241">
        <v>7</v>
      </c>
      <c r="AA95" s="241" t="s">
        <v>32</v>
      </c>
      <c r="AB95" s="241" t="s">
        <v>32</v>
      </c>
      <c r="AC95" s="241">
        <v>3</v>
      </c>
      <c r="AD95" s="241">
        <v>6</v>
      </c>
      <c r="AE95" s="241" t="s">
        <v>32</v>
      </c>
      <c r="AF95" s="241" t="s">
        <v>32</v>
      </c>
      <c r="AG95" s="241" t="s">
        <v>32</v>
      </c>
      <c r="AH95" s="241" t="s">
        <v>32</v>
      </c>
      <c r="AI95" s="241" t="s">
        <v>32</v>
      </c>
      <c r="AJ95" s="241" t="s">
        <v>32</v>
      </c>
      <c r="AK95" s="241" t="s">
        <v>32</v>
      </c>
      <c r="AL95" s="241" t="s">
        <v>32</v>
      </c>
      <c r="AM95" s="241" t="s">
        <v>32</v>
      </c>
      <c r="AN95" s="241" t="s">
        <v>32</v>
      </c>
      <c r="AO95" s="241" t="s">
        <v>32</v>
      </c>
      <c r="AP95" s="241" t="s">
        <v>32</v>
      </c>
      <c r="AQ95" s="241" t="s">
        <v>32</v>
      </c>
      <c r="AR95" s="241" t="s">
        <v>32</v>
      </c>
      <c r="AS95" s="241" t="s">
        <v>32</v>
      </c>
      <c r="AT95" s="298" t="s">
        <v>32</v>
      </c>
      <c r="AU95" s="241" t="s">
        <v>396</v>
      </c>
      <c r="AV95" s="241">
        <v>8</v>
      </c>
      <c r="AW95" s="299" t="s">
        <v>40</v>
      </c>
      <c r="AX95" s="300" t="s">
        <v>32</v>
      </c>
      <c r="AY95" s="298" t="s">
        <v>33</v>
      </c>
      <c r="AZ95" s="240" t="s">
        <v>199</v>
      </c>
      <c r="BA95" s="301">
        <f t="shared" si="42"/>
        <v>1.9166666666666667</v>
      </c>
      <c r="BB95" s="302" t="str">
        <f t="shared" si="43"/>
        <v>Minors</v>
      </c>
      <c r="BC95" s="302">
        <f t="shared" si="44"/>
        <v>3.8333333333333335</v>
      </c>
      <c r="BD95" s="302" t="str">
        <f t="shared" si="45"/>
        <v>Minors</v>
      </c>
      <c r="BE95" s="302">
        <f t="shared" si="46"/>
        <v>3.8333333333333335</v>
      </c>
      <c r="BF95" s="302" t="str">
        <f t="shared" si="47"/>
        <v>Minors</v>
      </c>
      <c r="BG95" s="303">
        <f t="shared" si="48"/>
        <v>3</v>
      </c>
      <c r="BH95" s="304">
        <f t="shared" si="49"/>
        <v>1</v>
      </c>
      <c r="BI95" s="241" t="str">
        <f t="shared" si="50"/>
        <v/>
      </c>
      <c r="BJ95" s="241" t="str">
        <f t="shared" si="51"/>
        <v>Unlikely</v>
      </c>
      <c r="BK95" s="242" t="str">
        <f t="shared" si="52"/>
        <v>SS-A</v>
      </c>
      <c r="BL95" s="242">
        <f t="shared" si="53"/>
        <v>5</v>
      </c>
      <c r="BM95" s="242">
        <f t="shared" si="54"/>
        <v>10</v>
      </c>
      <c r="BN95" s="242">
        <f t="shared" si="55"/>
        <v>-3</v>
      </c>
      <c r="BO95" s="242">
        <f t="shared" si="56"/>
        <v>-1</v>
      </c>
      <c r="BP95" s="242">
        <f t="shared" si="57"/>
        <v>-1</v>
      </c>
      <c r="BQ95" s="242">
        <f t="shared" si="58"/>
        <v>-5</v>
      </c>
    </row>
    <row r="96" spans="1:69" s="305" customFormat="1" x14ac:dyDescent="0.25">
      <c r="A96" s="248" t="str">
        <f t="shared" si="40"/>
        <v>Román Galván</v>
      </c>
      <c r="B96" s="248" t="str">
        <f>IF(ISERROR(VLOOKUP(A96,AMA!$C$53:$C$100,1,FALSE)),IF(ISERROR(VLOOKUP(A96,'END-AAA'!$C$51:$C$100,1,FALSE)),IF(ISERROR(VLOOKUP(A96,'DB-AA'!$C$51:$C$100,1,FALSE)),IF(ISERROR(VLOOKUP(A96,'UTR-A'!$C$51:$C$100,1,FALSE)),IF(ISERROR(VLOOKUP(A96,'FAI-S A'!$C$51:$C$100,1,FALSE)),"","S A"),"A"),"AA"),"AAA"),"ML")</f>
        <v/>
      </c>
      <c r="C96" s="242"/>
      <c r="D96" s="242" t="str">
        <f t="shared" si="41"/>
        <v>T</v>
      </c>
      <c r="E96" s="241" t="s">
        <v>11</v>
      </c>
      <c r="F96" s="241" t="s">
        <v>719</v>
      </c>
      <c r="G96" s="241" t="s">
        <v>720</v>
      </c>
      <c r="H96" s="241" t="s">
        <v>810</v>
      </c>
      <c r="I96" s="241" t="s">
        <v>83</v>
      </c>
      <c r="J96" s="241">
        <v>19</v>
      </c>
      <c r="K96" s="241" t="s">
        <v>82</v>
      </c>
      <c r="L96" s="298" t="s">
        <v>82</v>
      </c>
      <c r="M96" s="241" t="s">
        <v>816</v>
      </c>
      <c r="N96" s="241" t="s">
        <v>816</v>
      </c>
      <c r="O96" s="241" t="s">
        <v>200</v>
      </c>
      <c r="P96" s="298" t="s">
        <v>200</v>
      </c>
      <c r="Q96" s="241">
        <v>2</v>
      </c>
      <c r="R96" s="241">
        <v>1</v>
      </c>
      <c r="S96" s="298">
        <v>1</v>
      </c>
      <c r="T96" s="241">
        <v>4</v>
      </c>
      <c r="U96" s="241">
        <v>1</v>
      </c>
      <c r="V96" s="298">
        <v>5</v>
      </c>
      <c r="W96" s="241">
        <v>3</v>
      </c>
      <c r="X96" s="241">
        <v>4</v>
      </c>
      <c r="Y96" s="241">
        <v>1</v>
      </c>
      <c r="Z96" s="241">
        <v>1</v>
      </c>
      <c r="AA96" s="241">
        <v>2</v>
      </c>
      <c r="AB96" s="241">
        <v>6</v>
      </c>
      <c r="AC96" s="241" t="s">
        <v>32</v>
      </c>
      <c r="AD96" s="241" t="s">
        <v>32</v>
      </c>
      <c r="AE96" s="241" t="s">
        <v>32</v>
      </c>
      <c r="AF96" s="241" t="s">
        <v>32</v>
      </c>
      <c r="AG96" s="241" t="s">
        <v>32</v>
      </c>
      <c r="AH96" s="241" t="s">
        <v>32</v>
      </c>
      <c r="AI96" s="241" t="s">
        <v>32</v>
      </c>
      <c r="AJ96" s="241" t="s">
        <v>32</v>
      </c>
      <c r="AK96" s="241" t="s">
        <v>32</v>
      </c>
      <c r="AL96" s="241" t="s">
        <v>32</v>
      </c>
      <c r="AM96" s="241" t="s">
        <v>32</v>
      </c>
      <c r="AN96" s="241" t="s">
        <v>32</v>
      </c>
      <c r="AO96" s="241" t="s">
        <v>32</v>
      </c>
      <c r="AP96" s="241" t="s">
        <v>32</v>
      </c>
      <c r="AQ96" s="241" t="s">
        <v>32</v>
      </c>
      <c r="AR96" s="241" t="s">
        <v>32</v>
      </c>
      <c r="AS96" s="241" t="s">
        <v>32</v>
      </c>
      <c r="AT96" s="298" t="s">
        <v>32</v>
      </c>
      <c r="AU96" s="241" t="s">
        <v>396</v>
      </c>
      <c r="AV96" s="241">
        <v>8</v>
      </c>
      <c r="AW96" s="299" t="s">
        <v>395</v>
      </c>
      <c r="AX96" s="300" t="s">
        <v>32</v>
      </c>
      <c r="AY96" s="298" t="s">
        <v>33</v>
      </c>
      <c r="AZ96" s="240" t="s">
        <v>779</v>
      </c>
      <c r="BA96" s="301">
        <f t="shared" si="42"/>
        <v>1.5833333333333333</v>
      </c>
      <c r="BB96" s="302" t="str">
        <f t="shared" si="43"/>
        <v>Minors</v>
      </c>
      <c r="BC96" s="302">
        <f t="shared" si="44"/>
        <v>3.8333333333333335</v>
      </c>
      <c r="BD96" s="302" t="str">
        <f t="shared" si="45"/>
        <v>Minors</v>
      </c>
      <c r="BE96" s="302">
        <f t="shared" si="46"/>
        <v>3.8333333333333335</v>
      </c>
      <c r="BF96" s="302" t="str">
        <f t="shared" si="47"/>
        <v>Minors</v>
      </c>
      <c r="BG96" s="303">
        <f t="shared" si="48"/>
        <v>3</v>
      </c>
      <c r="BH96" s="304">
        <f t="shared" si="49"/>
        <v>0.5</v>
      </c>
      <c r="BI96" s="241" t="str">
        <f t="shared" si="50"/>
        <v/>
      </c>
      <c r="BJ96" s="241" t="str">
        <f t="shared" si="51"/>
        <v>Unlikely</v>
      </c>
      <c r="BK96" s="242" t="str">
        <f t="shared" si="52"/>
        <v>SS-A</v>
      </c>
      <c r="BL96" s="242">
        <f t="shared" si="53"/>
        <v>4</v>
      </c>
      <c r="BM96" s="242">
        <f t="shared" si="54"/>
        <v>10</v>
      </c>
      <c r="BN96" s="242">
        <f t="shared" si="55"/>
        <v>-2</v>
      </c>
      <c r="BO96" s="242">
        <f t="shared" si="56"/>
        <v>0</v>
      </c>
      <c r="BP96" s="242">
        <f t="shared" si="57"/>
        <v>-4</v>
      </c>
      <c r="BQ96" s="242">
        <f t="shared" si="58"/>
        <v>-6</v>
      </c>
    </row>
    <row r="97" spans="1:69" s="305" customFormat="1" x14ac:dyDescent="0.25">
      <c r="A97" s="248"/>
      <c r="B97" s="248"/>
      <c r="C97" s="242"/>
      <c r="D97" s="242"/>
      <c r="E97" s="241"/>
      <c r="F97" s="241"/>
      <c r="G97" s="241"/>
      <c r="H97" s="241"/>
      <c r="I97" s="241"/>
      <c r="J97" s="241"/>
      <c r="K97" s="241"/>
      <c r="L97" s="298"/>
      <c r="M97" s="241"/>
      <c r="N97" s="241"/>
      <c r="O97" s="241"/>
      <c r="P97" s="298"/>
      <c r="Q97" s="241"/>
      <c r="R97" s="241"/>
      <c r="S97" s="298"/>
      <c r="T97" s="241"/>
      <c r="U97" s="241"/>
      <c r="V97" s="298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98"/>
      <c r="AU97" s="241"/>
      <c r="AV97" s="241"/>
      <c r="AW97" s="299"/>
      <c r="AX97" s="300"/>
      <c r="AY97" s="298"/>
      <c r="AZ97" s="240"/>
      <c r="BA97" s="301"/>
      <c r="BB97" s="302"/>
      <c r="BC97" s="302"/>
      <c r="BD97" s="302"/>
      <c r="BE97" s="302"/>
      <c r="BF97" s="302"/>
      <c r="BG97" s="303"/>
      <c r="BH97" s="304"/>
      <c r="BI97" s="241"/>
      <c r="BJ97" s="241"/>
      <c r="BK97" s="242"/>
      <c r="BL97" s="242"/>
      <c r="BM97" s="242"/>
      <c r="BN97" s="242"/>
      <c r="BO97" s="242"/>
      <c r="BP97" s="242"/>
      <c r="BQ97" s="242"/>
    </row>
    <row r="98" spans="1:69" s="305" customFormat="1" x14ac:dyDescent="0.25">
      <c r="A98" s="248"/>
      <c r="B98" s="248"/>
      <c r="C98" s="242"/>
      <c r="D98" s="242"/>
      <c r="E98" s="241"/>
      <c r="F98" s="241"/>
      <c r="G98" s="241"/>
      <c r="H98" s="241"/>
      <c r="I98" s="241"/>
      <c r="J98" s="241"/>
      <c r="K98" s="241"/>
      <c r="L98" s="298"/>
      <c r="M98" s="241"/>
      <c r="N98" s="241"/>
      <c r="O98" s="241"/>
      <c r="P98" s="298"/>
      <c r="Q98" s="241"/>
      <c r="R98" s="241"/>
      <c r="S98" s="298"/>
      <c r="T98" s="241"/>
      <c r="U98" s="241"/>
      <c r="V98" s="298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98"/>
      <c r="AU98" s="241"/>
      <c r="AV98" s="241"/>
      <c r="AW98" s="299"/>
      <c r="AX98" s="300"/>
      <c r="AY98" s="298"/>
      <c r="AZ98" s="240"/>
      <c r="BA98" s="301"/>
      <c r="BB98" s="302"/>
      <c r="BC98" s="302"/>
      <c r="BD98" s="302"/>
      <c r="BE98" s="302"/>
      <c r="BF98" s="302"/>
      <c r="BG98" s="303"/>
      <c r="BH98" s="304"/>
      <c r="BI98" s="241"/>
      <c r="BJ98" s="241"/>
      <c r="BK98" s="242"/>
      <c r="BL98" s="242"/>
      <c r="BM98" s="242"/>
      <c r="BN98" s="242"/>
      <c r="BO98" s="242"/>
      <c r="BP98" s="242"/>
      <c r="BQ98" s="242"/>
    </row>
    <row r="99" spans="1:69" s="305" customFormat="1" x14ac:dyDescent="0.25">
      <c r="A99" s="248"/>
      <c r="B99" s="248"/>
      <c r="C99" s="242"/>
      <c r="D99" s="242"/>
      <c r="E99" s="241"/>
      <c r="F99" s="241"/>
      <c r="G99" s="241"/>
      <c r="H99" s="241"/>
      <c r="I99" s="241"/>
      <c r="J99" s="241"/>
      <c r="K99" s="241"/>
      <c r="L99" s="298"/>
      <c r="M99" s="241"/>
      <c r="N99" s="241"/>
      <c r="O99" s="241"/>
      <c r="P99" s="298"/>
      <c r="Q99" s="241"/>
      <c r="R99" s="241"/>
      <c r="S99" s="298"/>
      <c r="T99" s="241"/>
      <c r="U99" s="241"/>
      <c r="V99" s="298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98"/>
      <c r="AU99" s="241"/>
      <c r="AV99" s="241"/>
      <c r="AW99" s="299"/>
      <c r="AX99" s="300"/>
      <c r="AY99" s="298"/>
      <c r="AZ99" s="240"/>
      <c r="BA99" s="301"/>
      <c r="BB99" s="302"/>
      <c r="BC99" s="302"/>
      <c r="BD99" s="302"/>
      <c r="BE99" s="302"/>
      <c r="BF99" s="302"/>
      <c r="BG99" s="303"/>
      <c r="BH99" s="304"/>
      <c r="BI99" s="241"/>
      <c r="BJ99" s="241"/>
      <c r="BK99" s="242"/>
      <c r="BL99" s="242"/>
      <c r="BM99" s="242"/>
      <c r="BN99" s="242"/>
      <c r="BO99" s="242"/>
      <c r="BP99" s="242"/>
      <c r="BQ99" s="242"/>
    </row>
    <row r="100" spans="1:69" s="305" customFormat="1" x14ac:dyDescent="0.25">
      <c r="A100" s="248"/>
      <c r="B100" s="248"/>
      <c r="C100" s="242"/>
      <c r="D100" s="242"/>
      <c r="E100" s="241"/>
      <c r="F100" s="241"/>
      <c r="G100" s="241"/>
      <c r="H100" s="241"/>
      <c r="I100" s="241"/>
      <c r="J100" s="241"/>
      <c r="K100" s="241"/>
      <c r="L100" s="298"/>
      <c r="M100" s="241"/>
      <c r="N100" s="241"/>
      <c r="O100" s="241"/>
      <c r="P100" s="298"/>
      <c r="Q100" s="241"/>
      <c r="R100" s="241"/>
      <c r="S100" s="298"/>
      <c r="T100" s="241"/>
      <c r="U100" s="241"/>
      <c r="V100" s="298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98"/>
      <c r="AU100" s="241"/>
      <c r="AV100" s="241"/>
      <c r="AW100" s="299"/>
      <c r="AX100" s="300"/>
      <c r="AY100" s="298"/>
      <c r="AZ100" s="240"/>
      <c r="BA100" s="301"/>
      <c r="BB100" s="302"/>
      <c r="BC100" s="302"/>
      <c r="BD100" s="302"/>
      <c r="BE100" s="302"/>
      <c r="BF100" s="302"/>
      <c r="BG100" s="303"/>
      <c r="BH100" s="304"/>
      <c r="BI100" s="241"/>
      <c r="BJ100" s="241"/>
      <c r="BK100" s="242"/>
      <c r="BL100" s="242"/>
      <c r="BM100" s="242"/>
      <c r="BN100" s="242"/>
      <c r="BO100" s="242"/>
      <c r="BP100" s="242"/>
      <c r="BQ100" s="242"/>
    </row>
    <row r="101" spans="1:69" s="305" customFormat="1" x14ac:dyDescent="0.25">
      <c r="A101" s="248"/>
      <c r="B101" s="248"/>
      <c r="C101" s="242"/>
      <c r="D101" s="242"/>
      <c r="E101" s="241"/>
      <c r="F101" s="241"/>
      <c r="G101" s="241"/>
      <c r="H101" s="241"/>
      <c r="I101" s="241"/>
      <c r="J101" s="241"/>
      <c r="K101" s="241"/>
      <c r="L101" s="298"/>
      <c r="M101" s="241"/>
      <c r="N101" s="241"/>
      <c r="O101" s="241"/>
      <c r="P101" s="298"/>
      <c r="Q101" s="241"/>
      <c r="R101" s="241"/>
      <c r="S101" s="298"/>
      <c r="T101" s="241"/>
      <c r="U101" s="241"/>
      <c r="V101" s="298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98"/>
      <c r="AU101" s="241"/>
      <c r="AV101" s="241"/>
      <c r="AW101" s="299"/>
      <c r="AX101" s="300"/>
      <c r="AY101" s="298"/>
      <c r="AZ101" s="240"/>
      <c r="BA101" s="301"/>
      <c r="BB101" s="302"/>
      <c r="BC101" s="302"/>
      <c r="BD101" s="302"/>
      <c r="BE101" s="302"/>
      <c r="BF101" s="302"/>
      <c r="BG101" s="303"/>
      <c r="BH101" s="304"/>
      <c r="BI101" s="241"/>
      <c r="BJ101" s="241"/>
      <c r="BK101" s="242"/>
      <c r="BL101" s="242"/>
      <c r="BM101" s="242"/>
      <c r="BN101" s="242"/>
      <c r="BO101" s="242"/>
      <c r="BP101" s="242"/>
      <c r="BQ101" s="242"/>
    </row>
    <row r="102" spans="1:69" s="305" customFormat="1" x14ac:dyDescent="0.25">
      <c r="A102" s="248"/>
      <c r="B102" s="248"/>
      <c r="C102" s="242"/>
      <c r="D102" s="242"/>
      <c r="E102" s="241"/>
      <c r="F102" s="241"/>
      <c r="G102" s="241"/>
      <c r="H102" s="241"/>
      <c r="I102" s="241"/>
      <c r="J102" s="241"/>
      <c r="K102" s="241"/>
      <c r="L102" s="298"/>
      <c r="M102" s="241"/>
      <c r="N102" s="241"/>
      <c r="O102" s="241"/>
      <c r="P102" s="298"/>
      <c r="Q102" s="241"/>
      <c r="R102" s="241"/>
      <c r="S102" s="298"/>
      <c r="T102" s="241"/>
      <c r="U102" s="241"/>
      <c r="V102" s="298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98"/>
      <c r="AU102" s="241"/>
      <c r="AV102" s="241"/>
      <c r="AW102" s="299"/>
      <c r="AX102" s="300"/>
      <c r="AY102" s="298"/>
      <c r="AZ102" s="240"/>
      <c r="BA102" s="301"/>
      <c r="BB102" s="302"/>
      <c r="BC102" s="302"/>
      <c r="BD102" s="302"/>
      <c r="BE102" s="302"/>
      <c r="BF102" s="302"/>
      <c r="BG102" s="303"/>
      <c r="BH102" s="304"/>
      <c r="BI102" s="241"/>
      <c r="BJ102" s="241"/>
      <c r="BK102" s="242"/>
      <c r="BL102" s="242"/>
      <c r="BM102" s="242"/>
      <c r="BN102" s="242"/>
      <c r="BO102" s="242"/>
      <c r="BP102" s="242"/>
      <c r="BQ102" s="242"/>
    </row>
    <row r="103" spans="1:69" s="305" customFormat="1" x14ac:dyDescent="0.25">
      <c r="A103" s="248"/>
      <c r="B103" s="248"/>
      <c r="C103" s="242"/>
      <c r="D103" s="242"/>
      <c r="E103" s="241"/>
      <c r="F103" s="241"/>
      <c r="G103" s="241"/>
      <c r="H103" s="241"/>
      <c r="I103" s="241"/>
      <c r="J103" s="241"/>
      <c r="K103" s="241"/>
      <c r="L103" s="298"/>
      <c r="M103" s="241"/>
      <c r="N103" s="241"/>
      <c r="O103" s="241"/>
      <c r="P103" s="298"/>
      <c r="Q103" s="241"/>
      <c r="R103" s="241"/>
      <c r="S103" s="298"/>
      <c r="T103" s="241"/>
      <c r="U103" s="241"/>
      <c r="V103" s="298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98"/>
      <c r="AU103" s="241"/>
      <c r="AV103" s="241"/>
      <c r="AW103" s="299"/>
      <c r="AX103" s="300"/>
      <c r="AY103" s="298"/>
      <c r="AZ103" s="240"/>
      <c r="BA103" s="301"/>
      <c r="BB103" s="302"/>
      <c r="BC103" s="302"/>
      <c r="BD103" s="302"/>
      <c r="BE103" s="302"/>
      <c r="BF103" s="302"/>
      <c r="BG103" s="303"/>
      <c r="BH103" s="304"/>
      <c r="BI103" s="241"/>
      <c r="BJ103" s="241"/>
      <c r="BK103" s="242"/>
      <c r="BL103" s="242"/>
      <c r="BM103" s="242"/>
      <c r="BN103" s="242"/>
      <c r="BO103" s="242"/>
      <c r="BP103" s="242"/>
      <c r="BQ103" s="242"/>
    </row>
    <row r="104" spans="1:69" s="305" customFormat="1" x14ac:dyDescent="0.25">
      <c r="A104" s="248"/>
      <c r="B104" s="248"/>
      <c r="C104" s="242"/>
      <c r="D104" s="242"/>
      <c r="E104" s="241"/>
      <c r="F104" s="241"/>
      <c r="G104" s="241"/>
      <c r="H104" s="241"/>
      <c r="I104" s="241"/>
      <c r="J104" s="241"/>
      <c r="K104" s="241"/>
      <c r="L104" s="298"/>
      <c r="M104" s="241"/>
      <c r="N104" s="241"/>
      <c r="O104" s="241"/>
      <c r="P104" s="298"/>
      <c r="Q104" s="241"/>
      <c r="R104" s="241"/>
      <c r="S104" s="298"/>
      <c r="T104" s="241"/>
      <c r="U104" s="241"/>
      <c r="V104" s="298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98"/>
      <c r="AU104" s="241"/>
      <c r="AV104" s="241"/>
      <c r="AW104" s="299"/>
      <c r="AX104" s="300"/>
      <c r="AY104" s="298"/>
      <c r="AZ104" s="240"/>
      <c r="BA104" s="301"/>
      <c r="BB104" s="302"/>
      <c r="BC104" s="302"/>
      <c r="BD104" s="302"/>
      <c r="BE104" s="302"/>
      <c r="BF104" s="302"/>
      <c r="BG104" s="303"/>
      <c r="BH104" s="304"/>
      <c r="BI104" s="241"/>
      <c r="BJ104" s="241"/>
      <c r="BK104" s="242"/>
      <c r="BL104" s="242"/>
      <c r="BM104" s="242"/>
      <c r="BN104" s="242"/>
      <c r="BO104" s="242"/>
      <c r="BP104" s="242"/>
      <c r="BQ104" s="242"/>
    </row>
    <row r="105" spans="1:69" s="305" customFormat="1" x14ac:dyDescent="0.25">
      <c r="A105" s="248"/>
      <c r="B105" s="248"/>
      <c r="C105" s="242"/>
      <c r="D105" s="242"/>
      <c r="E105" s="241"/>
      <c r="F105" s="241"/>
      <c r="G105" s="241"/>
      <c r="H105" s="241"/>
      <c r="I105" s="241"/>
      <c r="J105" s="241"/>
      <c r="K105" s="241"/>
      <c r="L105" s="298"/>
      <c r="M105" s="241"/>
      <c r="N105" s="241"/>
      <c r="O105" s="241"/>
      <c r="P105" s="298"/>
      <c r="Q105" s="241"/>
      <c r="R105" s="241"/>
      <c r="S105" s="298"/>
      <c r="T105" s="241"/>
      <c r="U105" s="241"/>
      <c r="V105" s="298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98"/>
      <c r="AU105" s="241"/>
      <c r="AV105" s="241"/>
      <c r="AW105" s="299"/>
      <c r="AX105" s="300"/>
      <c r="AY105" s="298"/>
      <c r="AZ105" s="240"/>
      <c r="BA105" s="301"/>
      <c r="BB105" s="302"/>
      <c r="BC105" s="302"/>
      <c r="BD105" s="302"/>
      <c r="BE105" s="302"/>
      <c r="BF105" s="302"/>
      <c r="BG105" s="303"/>
      <c r="BH105" s="304"/>
      <c r="BI105" s="241"/>
      <c r="BJ105" s="241"/>
      <c r="BK105" s="242"/>
      <c r="BL105" s="242"/>
      <c r="BM105" s="242"/>
      <c r="BN105" s="242"/>
      <c r="BO105" s="242"/>
      <c r="BP105" s="242"/>
      <c r="BQ105" s="242"/>
    </row>
    <row r="106" spans="1:69" s="305" customFormat="1" x14ac:dyDescent="0.25">
      <c r="A106" s="248"/>
      <c r="B106" s="248"/>
      <c r="C106" s="242"/>
      <c r="D106" s="242"/>
      <c r="E106" s="241"/>
      <c r="F106" s="241"/>
      <c r="G106" s="241"/>
      <c r="H106" s="241"/>
      <c r="I106" s="241"/>
      <c r="J106" s="241"/>
      <c r="K106" s="241"/>
      <c r="L106" s="298"/>
      <c r="M106" s="241"/>
      <c r="N106" s="241"/>
      <c r="O106" s="241"/>
      <c r="P106" s="298"/>
      <c r="Q106" s="241"/>
      <c r="R106" s="241"/>
      <c r="S106" s="298"/>
      <c r="T106" s="241"/>
      <c r="U106" s="241"/>
      <c r="V106" s="298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98"/>
      <c r="AU106" s="241"/>
      <c r="AV106" s="241"/>
      <c r="AW106" s="299"/>
      <c r="AX106" s="300"/>
      <c r="AY106" s="298"/>
      <c r="AZ106" s="240"/>
      <c r="BA106" s="301"/>
      <c r="BB106" s="302"/>
      <c r="BC106" s="302"/>
      <c r="BD106" s="302"/>
      <c r="BE106" s="302"/>
      <c r="BF106" s="302"/>
      <c r="BG106" s="303"/>
      <c r="BH106" s="304"/>
      <c r="BI106" s="241"/>
      <c r="BJ106" s="241"/>
      <c r="BK106" s="242"/>
      <c r="BL106" s="242"/>
      <c r="BM106" s="242"/>
      <c r="BN106" s="242"/>
      <c r="BO106" s="242"/>
      <c r="BP106" s="242"/>
      <c r="BQ106" s="242"/>
    </row>
    <row r="107" spans="1:69" s="305" customFormat="1" x14ac:dyDescent="0.25">
      <c r="A107" s="248"/>
      <c r="B107" s="248"/>
      <c r="C107" s="242"/>
      <c r="D107" s="242"/>
      <c r="E107" s="241"/>
      <c r="F107" s="241"/>
      <c r="G107" s="241"/>
      <c r="H107" s="241"/>
      <c r="I107" s="241"/>
      <c r="J107" s="241"/>
      <c r="K107" s="241"/>
      <c r="L107" s="298"/>
      <c r="M107" s="241"/>
      <c r="N107" s="241"/>
      <c r="O107" s="241"/>
      <c r="P107" s="298"/>
      <c r="Q107" s="241"/>
      <c r="R107" s="241"/>
      <c r="S107" s="298"/>
      <c r="T107" s="241"/>
      <c r="U107" s="241"/>
      <c r="V107" s="298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98"/>
      <c r="AU107" s="241"/>
      <c r="AV107" s="241"/>
      <c r="AW107" s="299"/>
      <c r="AX107" s="300"/>
      <c r="AY107" s="298"/>
      <c r="AZ107" s="240"/>
      <c r="BA107" s="301"/>
      <c r="BB107" s="302"/>
      <c r="BC107" s="302"/>
      <c r="BD107" s="302"/>
      <c r="BE107" s="302"/>
      <c r="BF107" s="302"/>
      <c r="BG107" s="303"/>
      <c r="BH107" s="304"/>
      <c r="BI107" s="241"/>
      <c r="BJ107" s="241"/>
      <c r="BK107" s="242"/>
      <c r="BL107" s="242"/>
      <c r="BM107" s="242"/>
      <c r="BN107" s="242"/>
      <c r="BO107" s="242"/>
      <c r="BP107" s="242"/>
      <c r="BQ107" s="242"/>
    </row>
    <row r="108" spans="1:69" s="305" customFormat="1" x14ac:dyDescent="0.25">
      <c r="A108" s="248"/>
      <c r="B108" s="248"/>
      <c r="C108" s="242"/>
      <c r="D108" s="242"/>
      <c r="E108" s="241"/>
      <c r="F108" s="241"/>
      <c r="G108" s="241"/>
      <c r="H108" s="241"/>
      <c r="I108" s="241"/>
      <c r="J108" s="241"/>
      <c r="K108" s="241"/>
      <c r="L108" s="298"/>
      <c r="M108" s="241"/>
      <c r="N108" s="241"/>
      <c r="O108" s="241"/>
      <c r="P108" s="298"/>
      <c r="Q108" s="241"/>
      <c r="R108" s="241"/>
      <c r="S108" s="298"/>
      <c r="T108" s="241"/>
      <c r="U108" s="241"/>
      <c r="V108" s="298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98"/>
      <c r="AU108" s="241"/>
      <c r="AV108" s="241"/>
      <c r="AW108" s="299"/>
      <c r="AX108" s="300"/>
      <c r="AY108" s="298"/>
      <c r="AZ108" s="240"/>
      <c r="BA108" s="301"/>
      <c r="BB108" s="302"/>
      <c r="BC108" s="302"/>
      <c r="BD108" s="302"/>
      <c r="BE108" s="302"/>
      <c r="BF108" s="302"/>
      <c r="BG108" s="303"/>
      <c r="BH108" s="304"/>
      <c r="BI108" s="241"/>
      <c r="BJ108" s="241"/>
      <c r="BK108" s="242"/>
      <c r="BL108" s="242"/>
      <c r="BM108" s="242"/>
      <c r="BN108" s="242"/>
      <c r="BO108" s="242"/>
      <c r="BP108" s="242"/>
      <c r="BQ108" s="242"/>
    </row>
    <row r="109" spans="1:69" s="305" customFormat="1" x14ac:dyDescent="0.25">
      <c r="A109" s="248"/>
      <c r="B109" s="248"/>
      <c r="C109" s="242"/>
      <c r="D109" s="242"/>
      <c r="E109" s="241"/>
      <c r="F109" s="241"/>
      <c r="G109" s="241"/>
      <c r="H109" s="241"/>
      <c r="I109" s="241"/>
      <c r="J109" s="241"/>
      <c r="K109" s="241"/>
      <c r="L109" s="298"/>
      <c r="M109" s="241"/>
      <c r="N109" s="241"/>
      <c r="O109" s="241"/>
      <c r="P109" s="298"/>
      <c r="Q109" s="241"/>
      <c r="R109" s="241"/>
      <c r="S109" s="298"/>
      <c r="T109" s="241"/>
      <c r="U109" s="241"/>
      <c r="V109" s="298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98"/>
      <c r="AU109" s="241"/>
      <c r="AV109" s="241"/>
      <c r="AW109" s="299"/>
      <c r="AX109" s="300"/>
      <c r="AY109" s="298"/>
      <c r="AZ109" s="240"/>
      <c r="BA109" s="301"/>
      <c r="BB109" s="302"/>
      <c r="BC109" s="302"/>
      <c r="BD109" s="302"/>
      <c r="BE109" s="302"/>
      <c r="BF109" s="302"/>
      <c r="BG109" s="303"/>
      <c r="BH109" s="304"/>
      <c r="BI109" s="241"/>
      <c r="BJ109" s="241"/>
      <c r="BK109" s="242"/>
      <c r="BL109" s="242"/>
      <c r="BM109" s="242"/>
      <c r="BN109" s="242"/>
      <c r="BO109" s="242"/>
      <c r="BP109" s="242"/>
      <c r="BQ109" s="242"/>
    </row>
    <row r="110" spans="1:69" s="305" customFormat="1" x14ac:dyDescent="0.25">
      <c r="A110" s="248"/>
      <c r="B110" s="248"/>
      <c r="C110" s="242"/>
      <c r="D110" s="242"/>
      <c r="E110" s="241"/>
      <c r="F110" s="241"/>
      <c r="G110" s="241"/>
      <c r="H110" s="241"/>
      <c r="I110" s="241"/>
      <c r="J110" s="241"/>
      <c r="K110" s="241"/>
      <c r="L110" s="298"/>
      <c r="M110" s="241"/>
      <c r="N110" s="241"/>
      <c r="O110" s="241"/>
      <c r="P110" s="298"/>
      <c r="Q110" s="241"/>
      <c r="R110" s="241"/>
      <c r="S110" s="298"/>
      <c r="T110" s="241"/>
      <c r="U110" s="241"/>
      <c r="V110" s="298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98"/>
      <c r="AU110" s="241"/>
      <c r="AV110" s="241"/>
      <c r="AW110" s="299"/>
      <c r="AX110" s="300"/>
      <c r="AY110" s="298"/>
      <c r="AZ110" s="240"/>
      <c r="BA110" s="301"/>
      <c r="BB110" s="302"/>
      <c r="BC110" s="302"/>
      <c r="BD110" s="302"/>
      <c r="BE110" s="302"/>
      <c r="BF110" s="302"/>
      <c r="BG110" s="303"/>
      <c r="BH110" s="304"/>
      <c r="BI110" s="241"/>
      <c r="BJ110" s="241"/>
      <c r="BK110" s="242"/>
      <c r="BL110" s="242"/>
      <c r="BM110" s="242"/>
      <c r="BN110" s="242"/>
      <c r="BO110" s="242"/>
      <c r="BP110" s="242"/>
      <c r="BQ110" s="242"/>
    </row>
    <row r="111" spans="1:69" s="305" customFormat="1" x14ac:dyDescent="0.25">
      <c r="A111" s="248"/>
      <c r="B111" s="248"/>
      <c r="C111" s="242"/>
      <c r="D111" s="242"/>
      <c r="E111" s="241"/>
      <c r="F111" s="241"/>
      <c r="G111" s="241"/>
      <c r="H111" s="241"/>
      <c r="I111" s="241"/>
      <c r="J111" s="241"/>
      <c r="K111" s="241"/>
      <c r="L111" s="298"/>
      <c r="M111" s="241"/>
      <c r="N111" s="241"/>
      <c r="O111" s="241"/>
      <c r="P111" s="298"/>
      <c r="Q111" s="241"/>
      <c r="R111" s="241"/>
      <c r="S111" s="298"/>
      <c r="T111" s="241"/>
      <c r="U111" s="241"/>
      <c r="V111" s="298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98"/>
      <c r="AU111" s="241"/>
      <c r="AV111" s="241"/>
      <c r="AW111" s="299"/>
      <c r="AX111" s="300"/>
      <c r="AY111" s="298"/>
      <c r="AZ111" s="240"/>
      <c r="BA111" s="301"/>
      <c r="BB111" s="302"/>
      <c r="BC111" s="302"/>
      <c r="BD111" s="302"/>
      <c r="BE111" s="302"/>
      <c r="BF111" s="302"/>
      <c r="BG111" s="303"/>
      <c r="BH111" s="304"/>
      <c r="BI111" s="241"/>
      <c r="BJ111" s="241"/>
      <c r="BK111" s="242"/>
      <c r="BL111" s="242"/>
      <c r="BM111" s="242"/>
      <c r="BN111" s="242"/>
      <c r="BO111" s="242"/>
      <c r="BP111" s="242"/>
      <c r="BQ111" s="242"/>
    </row>
    <row r="112" spans="1:69" s="305" customFormat="1" x14ac:dyDescent="0.25">
      <c r="A112" s="248"/>
      <c r="B112" s="248"/>
      <c r="C112" s="242"/>
      <c r="D112" s="242"/>
      <c r="E112" s="20"/>
      <c r="F112" s="20"/>
      <c r="G112" s="20"/>
      <c r="H112" s="20"/>
      <c r="I112" s="20"/>
      <c r="J112" s="20"/>
      <c r="K112" s="20"/>
      <c r="L112" s="21"/>
      <c r="M112" s="20"/>
      <c r="N112" s="20"/>
      <c r="O112" s="20"/>
      <c r="P112" s="21"/>
      <c r="Q112" s="20"/>
      <c r="R112" s="20"/>
      <c r="S112" s="21"/>
      <c r="T112" s="20"/>
      <c r="U112" s="20"/>
      <c r="V112" s="21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1"/>
      <c r="AU112" s="20"/>
      <c r="AV112" s="20"/>
      <c r="AW112" s="75"/>
      <c r="AX112" s="79"/>
      <c r="AY112" s="21"/>
      <c r="AZ112" s="65"/>
      <c r="BA112" s="301"/>
      <c r="BB112" s="302"/>
      <c r="BC112" s="302"/>
      <c r="BD112" s="302"/>
      <c r="BE112" s="302"/>
      <c r="BF112" s="302"/>
      <c r="BG112" s="303"/>
      <c r="BH112" s="304"/>
      <c r="BI112" s="241"/>
      <c r="BJ112" s="241"/>
      <c r="BK112" s="242"/>
      <c r="BL112" s="242"/>
      <c r="BM112" s="242"/>
      <c r="BN112" s="242"/>
      <c r="BO112" s="242"/>
      <c r="BP112" s="242"/>
      <c r="BQ112" s="242"/>
    </row>
    <row r="113" spans="1:69" s="305" customFormat="1" x14ac:dyDescent="0.25">
      <c r="A113" s="248"/>
      <c r="B113" s="248"/>
      <c r="C113" s="242"/>
      <c r="D113" s="242"/>
      <c r="E113" s="241"/>
      <c r="F113" s="241"/>
      <c r="G113" s="241"/>
      <c r="H113" s="241"/>
      <c r="I113" s="241"/>
      <c r="J113" s="241"/>
      <c r="K113" s="241"/>
      <c r="L113" s="298"/>
      <c r="M113" s="241"/>
      <c r="N113" s="241"/>
      <c r="O113" s="241"/>
      <c r="P113" s="298"/>
      <c r="Q113" s="241"/>
      <c r="R113" s="241"/>
      <c r="S113" s="298"/>
      <c r="T113" s="241"/>
      <c r="U113" s="241"/>
      <c r="V113" s="298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98"/>
      <c r="AU113" s="241"/>
      <c r="AV113" s="241"/>
      <c r="AW113" s="299"/>
      <c r="AX113" s="300"/>
      <c r="AY113" s="298"/>
      <c r="AZ113" s="240"/>
      <c r="BA113" s="301"/>
      <c r="BB113" s="302"/>
      <c r="BC113" s="302"/>
      <c r="BD113" s="302"/>
      <c r="BE113" s="302"/>
      <c r="BF113" s="302"/>
      <c r="BG113" s="303"/>
      <c r="BH113" s="304"/>
      <c r="BI113" s="241"/>
      <c r="BJ113" s="241"/>
      <c r="BK113" s="242"/>
      <c r="BL113" s="242"/>
      <c r="BM113" s="242"/>
      <c r="BN113" s="242"/>
      <c r="BO113" s="242"/>
      <c r="BP113" s="242"/>
      <c r="BQ113" s="242"/>
    </row>
    <row r="114" spans="1:69" s="305" customFormat="1" x14ac:dyDescent="0.25">
      <c r="A114" s="248"/>
      <c r="B114" s="248"/>
      <c r="C114" s="242"/>
      <c r="D114" s="242"/>
      <c r="E114" s="241"/>
      <c r="F114" s="241"/>
      <c r="G114" s="241"/>
      <c r="H114" s="241"/>
      <c r="I114" s="241"/>
      <c r="J114" s="241"/>
      <c r="K114" s="241"/>
      <c r="L114" s="298"/>
      <c r="M114" s="241"/>
      <c r="N114" s="241"/>
      <c r="O114" s="241"/>
      <c r="P114" s="298"/>
      <c r="Q114" s="241"/>
      <c r="R114" s="241"/>
      <c r="S114" s="298"/>
      <c r="T114" s="241"/>
      <c r="U114" s="241"/>
      <c r="V114" s="298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98"/>
      <c r="AU114" s="241"/>
      <c r="AV114" s="241"/>
      <c r="AW114" s="299"/>
      <c r="AX114" s="300"/>
      <c r="AY114" s="298"/>
      <c r="AZ114" s="240"/>
      <c r="BA114" s="301"/>
      <c r="BB114" s="302"/>
      <c r="BC114" s="302"/>
      <c r="BD114" s="302"/>
      <c r="BE114" s="302"/>
      <c r="BF114" s="302"/>
      <c r="BG114" s="303"/>
      <c r="BH114" s="304"/>
      <c r="BI114" s="241"/>
      <c r="BJ114" s="241"/>
      <c r="BK114" s="242"/>
      <c r="BL114" s="242"/>
      <c r="BM114" s="242"/>
      <c r="BN114" s="242"/>
      <c r="BO114" s="242"/>
      <c r="BP114" s="242"/>
      <c r="BQ114" s="242"/>
    </row>
    <row r="115" spans="1:69" s="305" customFormat="1" x14ac:dyDescent="0.25">
      <c r="A115" s="242"/>
      <c r="B115" s="242"/>
      <c r="C115" s="242"/>
      <c r="D115" s="242"/>
      <c r="E115" s="241"/>
      <c r="F115" s="241"/>
      <c r="G115" s="241"/>
      <c r="H115" s="241"/>
      <c r="I115" s="241"/>
      <c r="J115" s="241"/>
      <c r="K115" s="241"/>
      <c r="L115" s="298"/>
      <c r="M115" s="241"/>
      <c r="N115" s="241"/>
      <c r="O115" s="241"/>
      <c r="P115" s="298"/>
      <c r="Q115" s="241"/>
      <c r="R115" s="241"/>
      <c r="S115" s="298"/>
      <c r="T115" s="241"/>
      <c r="U115" s="241"/>
      <c r="V115" s="298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98"/>
      <c r="AU115" s="241"/>
      <c r="AV115" s="241"/>
      <c r="AW115" s="299"/>
      <c r="AX115" s="300"/>
      <c r="AY115" s="298"/>
      <c r="AZ115" s="240"/>
      <c r="BA115" s="301"/>
      <c r="BB115" s="302"/>
      <c r="BC115" s="302"/>
      <c r="BD115" s="302"/>
      <c r="BE115" s="301"/>
      <c r="BF115" s="302"/>
      <c r="BG115" s="303"/>
      <c r="BH115" s="304"/>
      <c r="BI115" s="241"/>
      <c r="BJ115" s="241"/>
      <c r="BK115" s="242"/>
      <c r="BL115" s="242"/>
      <c r="BM115" s="242"/>
      <c r="BN115" s="242"/>
      <c r="BO115" s="242"/>
      <c r="BP115" s="242"/>
      <c r="BQ115" s="242"/>
    </row>
    <row r="116" spans="1:69" s="305" customFormat="1" x14ac:dyDescent="0.25">
      <c r="A116" s="248"/>
      <c r="B116" s="248"/>
      <c r="C116" s="242"/>
      <c r="D116" s="242"/>
      <c r="E116" s="241"/>
      <c r="F116" s="241"/>
      <c r="G116" s="241"/>
      <c r="H116" s="241"/>
      <c r="I116" s="241"/>
      <c r="J116" s="241"/>
      <c r="K116" s="241"/>
      <c r="L116" s="298"/>
      <c r="M116" s="241"/>
      <c r="N116" s="241"/>
      <c r="O116" s="241"/>
      <c r="P116" s="298"/>
      <c r="Q116" s="241"/>
      <c r="R116" s="241"/>
      <c r="S116" s="298"/>
      <c r="T116" s="241"/>
      <c r="U116" s="241"/>
      <c r="V116" s="298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98"/>
      <c r="AU116" s="241"/>
      <c r="AV116" s="241"/>
      <c r="AW116" s="299"/>
      <c r="AX116" s="300"/>
      <c r="AY116" s="298"/>
      <c r="AZ116" s="240"/>
      <c r="BA116" s="301"/>
      <c r="BB116" s="302"/>
      <c r="BC116" s="302"/>
      <c r="BD116" s="302"/>
      <c r="BE116" s="302"/>
      <c r="BF116" s="302"/>
      <c r="BG116" s="303"/>
      <c r="BH116" s="304"/>
      <c r="BI116" s="241"/>
      <c r="BJ116" s="241"/>
      <c r="BK116" s="242"/>
      <c r="BL116" s="242"/>
      <c r="BM116" s="242"/>
      <c r="BN116" s="242"/>
      <c r="BO116" s="242"/>
      <c r="BP116" s="242"/>
      <c r="BQ116" s="242"/>
    </row>
    <row r="117" spans="1:69" s="305" customFormat="1" x14ac:dyDescent="0.25">
      <c r="A117" s="248"/>
      <c r="B117" s="248"/>
      <c r="C117" s="242"/>
      <c r="D117" s="242"/>
      <c r="E117" s="20"/>
      <c r="F117" s="20"/>
      <c r="G117" s="20"/>
      <c r="H117" s="20"/>
      <c r="I117" s="20"/>
      <c r="J117" s="20"/>
      <c r="K117" s="20"/>
      <c r="L117" s="21"/>
      <c r="M117" s="20"/>
      <c r="N117" s="20"/>
      <c r="O117" s="20"/>
      <c r="P117" s="21"/>
      <c r="Q117" s="20"/>
      <c r="R117" s="20"/>
      <c r="S117" s="21"/>
      <c r="T117" s="20"/>
      <c r="U117" s="20"/>
      <c r="V117" s="21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1"/>
      <c r="AU117" s="20"/>
      <c r="AV117" s="20"/>
      <c r="AW117" s="75"/>
      <c r="AX117" s="79"/>
      <c r="AY117" s="21"/>
      <c r="AZ117" s="65"/>
      <c r="BA117" s="301"/>
      <c r="BB117" s="302"/>
      <c r="BC117" s="302"/>
      <c r="BD117" s="302"/>
      <c r="BE117" s="302"/>
      <c r="BF117" s="302"/>
      <c r="BG117" s="303"/>
      <c r="BH117" s="304"/>
      <c r="BI117" s="241"/>
      <c r="BJ117" s="241"/>
      <c r="BK117" s="242"/>
      <c r="BL117" s="242"/>
      <c r="BM117" s="242"/>
      <c r="BN117" s="242"/>
      <c r="BO117" s="242"/>
      <c r="BP117" s="242"/>
      <c r="BQ117" s="242"/>
    </row>
    <row r="118" spans="1:69" x14ac:dyDescent="0.25">
      <c r="A118" s="248"/>
      <c r="B118" s="248"/>
      <c r="C118" s="242"/>
      <c r="D118" s="242"/>
      <c r="E118" s="241"/>
      <c r="F118" s="241"/>
      <c r="G118" s="241"/>
      <c r="H118" s="241"/>
      <c r="I118" s="241"/>
      <c r="J118" s="241"/>
      <c r="K118" s="241"/>
      <c r="L118" s="298"/>
      <c r="M118" s="241"/>
      <c r="N118" s="241"/>
      <c r="O118" s="241"/>
      <c r="P118" s="298"/>
      <c r="Q118" s="241"/>
      <c r="R118" s="241"/>
      <c r="S118" s="298"/>
      <c r="T118" s="241"/>
      <c r="U118" s="241"/>
      <c r="V118" s="298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98"/>
      <c r="AU118" s="241"/>
      <c r="AV118" s="241"/>
      <c r="AW118" s="299"/>
      <c r="AX118" s="300"/>
      <c r="AY118" s="298"/>
      <c r="AZ118" s="240"/>
      <c r="BA118" s="301"/>
      <c r="BB118" s="302"/>
      <c r="BC118" s="302"/>
      <c r="BD118" s="302"/>
      <c r="BE118" s="302"/>
      <c r="BF118" s="302"/>
      <c r="BG118" s="303"/>
      <c r="BH118" s="304"/>
      <c r="BI118" s="241"/>
      <c r="BJ118" s="241"/>
      <c r="BK118" s="242"/>
      <c r="BL118" s="242"/>
      <c r="BM118" s="242"/>
      <c r="BN118" s="242"/>
      <c r="BO118" s="242"/>
      <c r="BP118" s="242"/>
      <c r="BQ118" s="242"/>
    </row>
    <row r="119" spans="1:69" x14ac:dyDescent="0.25">
      <c r="A119" s="242"/>
      <c r="B119" s="242"/>
      <c r="C119" s="242"/>
      <c r="D119" s="242"/>
      <c r="E119" s="241"/>
      <c r="F119" s="241"/>
      <c r="G119" s="241"/>
      <c r="H119" s="241"/>
      <c r="I119" s="241"/>
      <c r="J119" s="241"/>
      <c r="K119" s="241"/>
      <c r="L119" s="298"/>
      <c r="M119" s="241"/>
      <c r="N119" s="241"/>
      <c r="O119" s="241"/>
      <c r="P119" s="298"/>
      <c r="Q119" s="241"/>
      <c r="R119" s="241"/>
      <c r="S119" s="298"/>
      <c r="T119" s="241"/>
      <c r="U119" s="241"/>
      <c r="V119" s="298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98"/>
      <c r="AU119" s="241"/>
      <c r="AV119" s="241"/>
      <c r="AW119" s="299"/>
      <c r="AX119" s="300"/>
      <c r="AY119" s="298"/>
      <c r="AZ119" s="240"/>
      <c r="BA119" s="301"/>
      <c r="BB119" s="302"/>
      <c r="BC119" s="302"/>
      <c r="BD119" s="302"/>
      <c r="BE119" s="301"/>
      <c r="BF119" s="302"/>
      <c r="BG119" s="303"/>
      <c r="BH119" s="304"/>
      <c r="BI119" s="241"/>
      <c r="BJ119" s="241"/>
      <c r="BK119" s="242"/>
      <c r="BL119" s="242"/>
      <c r="BM119" s="242"/>
      <c r="BN119" s="242"/>
      <c r="BO119" s="242"/>
      <c r="BP119" s="242"/>
      <c r="BQ119" s="242"/>
    </row>
    <row r="120" spans="1:69" x14ac:dyDescent="0.25">
      <c r="A120" s="248"/>
      <c r="B120" s="248"/>
      <c r="C120" s="242"/>
      <c r="D120" s="242"/>
      <c r="E120" s="241"/>
      <c r="F120" s="241"/>
      <c r="G120" s="241"/>
      <c r="H120" s="241"/>
      <c r="I120" s="241"/>
      <c r="J120" s="241"/>
      <c r="K120" s="241"/>
      <c r="L120" s="298"/>
      <c r="M120" s="241"/>
      <c r="N120" s="241"/>
      <c r="O120" s="241"/>
      <c r="P120" s="298"/>
      <c r="Q120" s="241"/>
      <c r="R120" s="241"/>
      <c r="S120" s="298"/>
      <c r="T120" s="241"/>
      <c r="U120" s="241"/>
      <c r="V120" s="298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98"/>
      <c r="AU120" s="241"/>
      <c r="AV120" s="241"/>
      <c r="AW120" s="299"/>
      <c r="AX120" s="300"/>
      <c r="AY120" s="298"/>
      <c r="AZ120" s="240"/>
      <c r="BA120" s="301"/>
      <c r="BB120" s="302"/>
      <c r="BC120" s="302"/>
      <c r="BD120" s="302"/>
      <c r="BE120" s="302"/>
      <c r="BF120" s="302"/>
      <c r="BG120" s="303"/>
      <c r="BH120" s="304"/>
      <c r="BI120" s="241"/>
      <c r="BJ120" s="241"/>
      <c r="BK120" s="242"/>
      <c r="BL120" s="242"/>
      <c r="BM120" s="242"/>
      <c r="BN120" s="242"/>
      <c r="BO120" s="242"/>
      <c r="BP120" s="242"/>
      <c r="BQ120" s="242"/>
    </row>
    <row r="121" spans="1:69" x14ac:dyDescent="0.25">
      <c r="A121" s="248"/>
      <c r="B121" s="248"/>
      <c r="C121" s="242"/>
      <c r="D121" s="242"/>
      <c r="E121" s="241"/>
      <c r="F121" s="241"/>
      <c r="G121" s="241"/>
      <c r="H121" s="241"/>
      <c r="I121" s="241"/>
      <c r="J121" s="241"/>
      <c r="K121" s="241"/>
      <c r="L121" s="298"/>
      <c r="M121" s="241"/>
      <c r="N121" s="241"/>
      <c r="O121" s="241"/>
      <c r="P121" s="298"/>
      <c r="Q121" s="241"/>
      <c r="R121" s="241"/>
      <c r="S121" s="298"/>
      <c r="T121" s="241"/>
      <c r="U121" s="241"/>
      <c r="V121" s="298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98"/>
      <c r="AU121" s="241"/>
      <c r="AV121" s="241"/>
      <c r="AW121" s="299"/>
      <c r="AX121" s="300"/>
      <c r="AY121" s="298"/>
      <c r="AZ121" s="240"/>
      <c r="BA121" s="301"/>
      <c r="BB121" s="302"/>
      <c r="BC121" s="302"/>
      <c r="BD121" s="302"/>
      <c r="BE121" s="302"/>
      <c r="BF121" s="302"/>
      <c r="BG121" s="303"/>
      <c r="BH121" s="304"/>
      <c r="BI121" s="241"/>
      <c r="BJ121" s="241"/>
      <c r="BK121" s="242"/>
      <c r="BL121" s="242"/>
      <c r="BM121" s="242"/>
      <c r="BN121" s="242"/>
      <c r="BO121" s="242"/>
      <c r="BP121" s="242"/>
      <c r="BQ121" s="242"/>
    </row>
    <row r="122" spans="1:69" x14ac:dyDescent="0.25">
      <c r="A122" s="248"/>
      <c r="B122" s="248"/>
      <c r="C122" s="242"/>
      <c r="D122" s="242"/>
      <c r="E122" s="241"/>
      <c r="F122" s="241"/>
      <c r="G122" s="241"/>
      <c r="H122" s="241"/>
      <c r="I122" s="241"/>
      <c r="J122" s="241"/>
      <c r="K122" s="241"/>
      <c r="L122" s="298"/>
      <c r="M122" s="241"/>
      <c r="N122" s="241"/>
      <c r="O122" s="241"/>
      <c r="P122" s="298"/>
      <c r="Q122" s="241"/>
      <c r="R122" s="241"/>
      <c r="S122" s="298"/>
      <c r="T122" s="241"/>
      <c r="U122" s="241"/>
      <c r="V122" s="298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98"/>
      <c r="AU122" s="241"/>
      <c r="AV122" s="241"/>
      <c r="AW122" s="299"/>
      <c r="AX122" s="300"/>
      <c r="AY122" s="298"/>
      <c r="AZ122" s="240"/>
      <c r="BA122" s="301"/>
      <c r="BB122" s="302"/>
      <c r="BC122" s="302"/>
      <c r="BD122" s="302"/>
      <c r="BE122" s="302"/>
      <c r="BF122" s="302"/>
      <c r="BG122" s="303"/>
      <c r="BH122" s="304"/>
      <c r="BI122" s="241"/>
      <c r="BJ122" s="241"/>
      <c r="BK122" s="242"/>
      <c r="BL122" s="242"/>
      <c r="BM122" s="242"/>
      <c r="BN122" s="242"/>
      <c r="BO122" s="242"/>
      <c r="BP122" s="242"/>
      <c r="BQ122" s="242"/>
    </row>
    <row r="123" spans="1:69" x14ac:dyDescent="0.25">
      <c r="A123" s="242"/>
      <c r="B123" s="242"/>
      <c r="C123" s="242"/>
      <c r="D123" s="242"/>
      <c r="E123" s="241"/>
      <c r="F123" s="241"/>
      <c r="G123" s="241"/>
      <c r="H123" s="241"/>
      <c r="I123" s="241"/>
      <c r="J123" s="241"/>
      <c r="K123" s="241"/>
      <c r="L123" s="298"/>
      <c r="M123" s="241"/>
      <c r="N123" s="241"/>
      <c r="O123" s="241"/>
      <c r="P123" s="298"/>
      <c r="Q123" s="241"/>
      <c r="R123" s="241"/>
      <c r="S123" s="298"/>
      <c r="T123" s="241"/>
      <c r="U123" s="241"/>
      <c r="V123" s="298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98"/>
      <c r="AU123" s="241"/>
      <c r="AV123" s="241"/>
      <c r="AW123" s="299"/>
      <c r="AX123" s="300"/>
      <c r="AY123" s="298"/>
      <c r="AZ123" s="240"/>
      <c r="BA123" s="301"/>
      <c r="BB123" s="302"/>
      <c r="BC123" s="302"/>
      <c r="BD123" s="302"/>
      <c r="BE123" s="301"/>
      <c r="BF123" s="302"/>
      <c r="BG123" s="303"/>
      <c r="BH123" s="304"/>
      <c r="BI123" s="241"/>
      <c r="BJ123" s="241"/>
      <c r="BK123" s="242"/>
      <c r="BL123" s="242"/>
      <c r="BM123" s="242"/>
      <c r="BN123" s="242"/>
      <c r="BO123" s="242"/>
      <c r="BP123" s="242"/>
      <c r="BQ123" s="242"/>
    </row>
    <row r="124" spans="1:69" x14ac:dyDescent="0.25">
      <c r="A124" s="248"/>
      <c r="B124" s="248"/>
      <c r="C124" s="242"/>
      <c r="D124" s="242"/>
      <c r="E124" s="241"/>
      <c r="F124" s="241"/>
      <c r="G124" s="241"/>
      <c r="H124" s="241"/>
      <c r="I124" s="241"/>
      <c r="J124" s="241"/>
      <c r="K124" s="241"/>
      <c r="L124" s="298"/>
      <c r="M124" s="241"/>
      <c r="N124" s="241"/>
      <c r="O124" s="241"/>
      <c r="P124" s="298"/>
      <c r="Q124" s="241"/>
      <c r="R124" s="241"/>
      <c r="S124" s="298"/>
      <c r="T124" s="241"/>
      <c r="U124" s="241"/>
      <c r="V124" s="298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98"/>
      <c r="AU124" s="241"/>
      <c r="AV124" s="241"/>
      <c r="AW124" s="299"/>
      <c r="AX124" s="300"/>
      <c r="AY124" s="298"/>
      <c r="AZ124" s="240"/>
      <c r="BA124" s="301"/>
      <c r="BB124" s="302"/>
      <c r="BC124" s="302"/>
      <c r="BD124" s="302"/>
      <c r="BE124" s="302"/>
      <c r="BF124" s="302"/>
      <c r="BG124" s="303"/>
      <c r="BH124" s="304"/>
      <c r="BI124" s="241"/>
      <c r="BJ124" s="241"/>
      <c r="BK124" s="242"/>
      <c r="BL124" s="242"/>
      <c r="BM124" s="242"/>
      <c r="BN124" s="242"/>
      <c r="BO124" s="242"/>
      <c r="BP124" s="242"/>
      <c r="BQ124" s="242"/>
    </row>
    <row r="125" spans="1:69" x14ac:dyDescent="0.25">
      <c r="A125" s="248"/>
      <c r="B125" s="248"/>
      <c r="C125" s="242"/>
      <c r="D125" s="242"/>
      <c r="E125" s="241"/>
      <c r="F125" s="241"/>
      <c r="G125" s="241"/>
      <c r="H125" s="241"/>
      <c r="I125" s="241"/>
      <c r="J125" s="241"/>
      <c r="K125" s="241"/>
      <c r="L125" s="298"/>
      <c r="M125" s="241"/>
      <c r="N125" s="241"/>
      <c r="O125" s="241"/>
      <c r="P125" s="298"/>
      <c r="Q125" s="241"/>
      <c r="R125" s="241"/>
      <c r="S125" s="298"/>
      <c r="T125" s="241"/>
      <c r="U125" s="241"/>
      <c r="V125" s="298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98"/>
      <c r="AU125" s="241"/>
      <c r="AV125" s="241"/>
      <c r="AW125" s="299"/>
      <c r="AX125" s="300"/>
      <c r="AY125" s="298"/>
      <c r="AZ125" s="240"/>
      <c r="BA125" s="301"/>
      <c r="BB125" s="302"/>
      <c r="BC125" s="302"/>
      <c r="BD125" s="302"/>
      <c r="BE125" s="302"/>
      <c r="BF125" s="302"/>
      <c r="BG125" s="303"/>
      <c r="BH125" s="304"/>
      <c r="BI125" s="241"/>
      <c r="BJ125" s="241"/>
      <c r="BK125" s="242"/>
      <c r="BL125" s="242"/>
      <c r="BM125" s="242"/>
      <c r="BN125" s="242"/>
      <c r="BO125" s="242"/>
      <c r="BP125" s="242"/>
      <c r="BQ125" s="242"/>
    </row>
  </sheetData>
  <sortState xmlns:xlrd2="http://schemas.microsoft.com/office/spreadsheetml/2017/richdata2" ref="A11:BQ122">
    <sortCondition descending="1" ref="BA11:BA122"/>
    <sortCondition descending="1" ref="BC11:BC122"/>
    <sortCondition ref="B11:B122" customList="ML,AAA,AA,A,S A"/>
    <sortCondition ref="C11:C122" customList="SP,MR,RP,CL,DL"/>
    <sortCondition descending="1" ref="BK11:BK122"/>
    <sortCondition descending="1" ref="D11:D122"/>
    <sortCondition ref="F11:F122"/>
  </sortState>
  <phoneticPr fontId="2" type="noConversion"/>
  <conditionalFormatting sqref="M11:N125">
    <cfRule type="expression" dxfId="113" priority="47">
      <formula>IF(M11&lt;&gt;"1 star",1,0)</formula>
    </cfRule>
  </conditionalFormatting>
  <conditionalFormatting sqref="A11:BQ125">
    <cfRule type="expression" dxfId="112" priority="25">
      <formula>IF(MOD(ROW(),2)=1,1,0)</formula>
    </cfRule>
    <cfRule type="expression" dxfId="111" priority="26">
      <formula>IF($BM11&lt;12,1,0)</formula>
    </cfRule>
    <cfRule type="expression" dxfId="110" priority="27">
      <formula>IF($BM11&lt;15,1,0)</formula>
    </cfRule>
    <cfRule type="expression" dxfId="109" priority="28">
      <formula>IF($BM11&lt;18,1,0)</formula>
    </cfRule>
  </conditionalFormatting>
  <pageMargins left="0.75" right="0.75" top="1" bottom="1" header="0.5" footer="0.5"/>
  <pageSetup orientation="portrait" r:id="rId1"/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2" tint="-0.499984740745262"/>
  </sheetPr>
  <dimension ref="A1:BA74"/>
  <sheetViews>
    <sheetView zoomScale="85" zoomScaleNormal="85" workbookViewId="0">
      <pane ySplit="1" topLeftCell="A3" activePane="bottomLeft" state="frozen"/>
      <selection pane="bottomLeft" activeCell="C16" sqref="C16"/>
    </sheetView>
  </sheetViews>
  <sheetFormatPr defaultColWidth="9.140625" defaultRowHeight="15" x14ac:dyDescent="0.25"/>
  <cols>
    <col min="1" max="1" width="3.140625" style="305" bestFit="1" customWidth="1"/>
    <col min="2" max="2" width="10.7109375" style="1" bestFit="1" customWidth="1"/>
    <col min="3" max="3" width="20" style="19" bestFit="1" customWidth="1"/>
    <col min="4" max="4" width="4.7109375" style="19" bestFit="1" customWidth="1"/>
    <col min="5" max="5" width="4.42578125" style="19" customWidth="1"/>
    <col min="6" max="6" width="4.42578125" style="305" bestFit="1" customWidth="1"/>
    <col min="7" max="7" width="3.7109375" style="305" bestFit="1" customWidth="1"/>
    <col min="8" max="8" width="4.7109375" style="305" bestFit="1" customWidth="1"/>
    <col min="9" max="9" width="4.28515625" style="305" customWidth="1"/>
    <col min="10" max="12" width="3.7109375" style="305" customWidth="1"/>
    <col min="13" max="16" width="3.7109375" style="305" bestFit="1" customWidth="1"/>
    <col min="17" max="17" width="4.28515625" style="305" bestFit="1" customWidth="1"/>
    <col min="18" max="18" width="4.7109375" style="305" bestFit="1" customWidth="1"/>
    <col min="19" max="21" width="3.7109375" style="305" bestFit="1" customWidth="1"/>
    <col min="22" max="22" width="4.28515625" style="305" bestFit="1" customWidth="1"/>
    <col min="23" max="23" width="4.7109375" style="305" bestFit="1" customWidth="1"/>
    <col min="24" max="24" width="4.28515625" style="305" customWidth="1"/>
    <col min="25" max="25" width="4.28515625" style="305" bestFit="1" customWidth="1"/>
    <col min="26" max="26" width="10.42578125" style="305" bestFit="1" customWidth="1"/>
    <col min="27" max="27" width="4.28515625" style="305" bestFit="1" customWidth="1"/>
    <col min="28" max="29" width="4.7109375" style="305" bestFit="1" customWidth="1"/>
    <col min="30" max="32" width="3.7109375" style="305" bestFit="1" customWidth="1"/>
    <col min="33" max="33" width="4.7109375" style="305" bestFit="1" customWidth="1"/>
    <col min="34" max="34" width="4.5703125" style="305" customWidth="1"/>
    <col min="35" max="36" width="3.7109375" style="305" bestFit="1" customWidth="1"/>
    <col min="37" max="37" width="4.5703125" style="305" bestFit="1" customWidth="1"/>
    <col min="38" max="51" width="3.7109375" style="305" bestFit="1" customWidth="1"/>
    <col min="52" max="52" width="4.5703125" style="305" bestFit="1" customWidth="1"/>
    <col min="53" max="53" width="4.7109375" style="305" bestFit="1" customWidth="1"/>
    <col min="54" max="16384" width="9.140625" style="305"/>
  </cols>
  <sheetData>
    <row r="1" spans="1:53" x14ac:dyDescent="0.25">
      <c r="D1" s="19">
        <v>12</v>
      </c>
      <c r="E1" s="19">
        <v>13</v>
      </c>
      <c r="J1" s="305">
        <v>31</v>
      </c>
      <c r="K1" s="305">
        <v>29</v>
      </c>
      <c r="L1" s="305">
        <v>30</v>
      </c>
      <c r="M1" s="305">
        <v>32</v>
      </c>
      <c r="N1" s="305">
        <v>33</v>
      </c>
      <c r="O1" s="305">
        <v>34</v>
      </c>
      <c r="P1" s="305">
        <v>35</v>
      </c>
      <c r="Q1" s="305">
        <v>36</v>
      </c>
      <c r="R1" s="305">
        <v>37</v>
      </c>
      <c r="S1" s="305">
        <v>38</v>
      </c>
      <c r="T1" s="305">
        <v>39</v>
      </c>
      <c r="AD1" s="305">
        <v>19</v>
      </c>
      <c r="AE1" s="305">
        <v>20</v>
      </c>
      <c r="AF1" s="305">
        <v>21</v>
      </c>
      <c r="AG1" s="305">
        <v>22</v>
      </c>
      <c r="AH1" s="305">
        <v>23</v>
      </c>
      <c r="AI1" s="305">
        <v>40</v>
      </c>
      <c r="AJ1" s="305">
        <v>41</v>
      </c>
      <c r="AU1" s="305">
        <v>24</v>
      </c>
      <c r="AV1" s="305">
        <v>25</v>
      </c>
      <c r="AW1" s="305">
        <v>26</v>
      </c>
      <c r="AX1" s="305">
        <v>27</v>
      </c>
      <c r="AY1" s="305">
        <v>28</v>
      </c>
    </row>
    <row r="2" spans="1:53" s="17" customFormat="1" ht="215.25" x14ac:dyDescent="0.25">
      <c r="A2" s="18" t="s">
        <v>170</v>
      </c>
      <c r="B2" s="353" t="s">
        <v>102</v>
      </c>
      <c r="C2" s="37" t="str">
        <f>"Player ("&amp;COUNTA(C3:C11)&amp;")"</f>
        <v>Player (4)</v>
      </c>
      <c r="D2" s="37" t="s">
        <v>70</v>
      </c>
      <c r="E2" s="37" t="s">
        <v>80</v>
      </c>
      <c r="F2" s="44" t="e">
        <f>"Only 1 guy who plays only 1B ("&amp;SUM(F3:F11)&amp;")"</f>
        <v>#N/A</v>
      </c>
      <c r="G2" s="38" t="e">
        <f>"Only 1 guy who can only play 1B or LF ("&amp;SUM(G3:G11)&amp;")"</f>
        <v>#N/A</v>
      </c>
      <c r="H2" s="39" t="e">
        <f>"2 guys with RF arms ("&amp;SUM(H3:H11)&amp;")"</f>
        <v>#N/A</v>
      </c>
      <c r="I2" s="39" t="str">
        <f>"2 guys with CF range ("&amp;SUM(I3:I11)&amp;")"</f>
        <v>2 guys with CF range (0)</v>
      </c>
      <c r="J2" s="48" t="s">
        <v>114</v>
      </c>
      <c r="K2" s="40" t="s">
        <v>112</v>
      </c>
      <c r="L2" s="49" t="s">
        <v>113</v>
      </c>
      <c r="M2" s="41" t="s">
        <v>71</v>
      </c>
      <c r="N2" s="41" t="s">
        <v>73</v>
      </c>
      <c r="O2" s="41" t="s">
        <v>74</v>
      </c>
      <c r="P2" s="41" t="s">
        <v>75</v>
      </c>
      <c r="Q2" s="41" t="s">
        <v>76</v>
      </c>
      <c r="R2" s="41" t="s">
        <v>77</v>
      </c>
      <c r="S2" s="41" t="s">
        <v>78</v>
      </c>
      <c r="T2" s="42" t="s">
        <v>79</v>
      </c>
      <c r="U2" s="44" t="s">
        <v>115</v>
      </c>
      <c r="V2" s="38" t="s">
        <v>158</v>
      </c>
      <c r="W2" s="38" t="s">
        <v>116</v>
      </c>
      <c r="X2" s="38" t="s">
        <v>132</v>
      </c>
      <c r="Y2" s="38" t="s">
        <v>131</v>
      </c>
      <c r="Z2" s="38" t="s">
        <v>119</v>
      </c>
      <c r="AA2" s="38" t="s">
        <v>120</v>
      </c>
      <c r="AB2" s="38" t="s">
        <v>136</v>
      </c>
      <c r="AC2" s="53" t="s">
        <v>121</v>
      </c>
      <c r="AD2" s="41" t="s">
        <v>125</v>
      </c>
      <c r="AE2" s="41" t="s">
        <v>126</v>
      </c>
      <c r="AF2" s="41" t="s">
        <v>127</v>
      </c>
      <c r="AG2" s="41" t="s">
        <v>128</v>
      </c>
      <c r="AH2" s="41" t="s">
        <v>21</v>
      </c>
      <c r="AI2" s="56" t="s">
        <v>129</v>
      </c>
      <c r="AJ2" s="42" t="s">
        <v>130</v>
      </c>
      <c r="AK2" s="59" t="s">
        <v>134</v>
      </c>
      <c r="AL2" s="44" t="s">
        <v>115</v>
      </c>
      <c r="AM2" s="38" t="s">
        <v>158</v>
      </c>
      <c r="AN2" s="38" t="s">
        <v>116</v>
      </c>
      <c r="AO2" s="38" t="s">
        <v>132</v>
      </c>
      <c r="AP2" s="38" t="s">
        <v>131</v>
      </c>
      <c r="AQ2" s="38" t="s">
        <v>119</v>
      </c>
      <c r="AR2" s="38" t="s">
        <v>120</v>
      </c>
      <c r="AS2" s="38" t="s">
        <v>136</v>
      </c>
      <c r="AT2" s="53" t="s">
        <v>121</v>
      </c>
      <c r="AU2" s="56" t="s">
        <v>125</v>
      </c>
      <c r="AV2" s="41" t="s">
        <v>126</v>
      </c>
      <c r="AW2" s="41" t="s">
        <v>127</v>
      </c>
      <c r="AX2" s="41" t="s">
        <v>128</v>
      </c>
      <c r="AY2" s="42" t="s">
        <v>21</v>
      </c>
      <c r="AZ2" s="59" t="s">
        <v>174</v>
      </c>
      <c r="BA2" s="363" t="s">
        <v>538</v>
      </c>
    </row>
    <row r="3" spans="1:53" x14ac:dyDescent="0.25">
      <c r="A3" s="305">
        <v>1</v>
      </c>
      <c r="B3" s="25" t="s">
        <v>73</v>
      </c>
      <c r="C3" s="30" t="s">
        <v>1164</v>
      </c>
      <c r="D3" s="26">
        <f>IF($C3="","",VLOOKUP($C3,AMABat!$A$10:$BV$140,D$1,FALSE))</f>
        <v>22</v>
      </c>
      <c r="E3" s="26" t="str">
        <f>IF($C3="","",VLOOKUP($C3,AMABat!$A$10:$BV$140,E$1,FALSE))</f>
        <v>S</v>
      </c>
      <c r="F3" s="45">
        <f t="shared" ref="F3:F11" si="0">IF($C3="","",IF(AND(O3&gt;0,O3=SUM(M3:T3)),1,0))</f>
        <v>1</v>
      </c>
      <c r="G3" s="27">
        <f t="shared" ref="G3:G11" si="1">IF($C3="","",IF(Q3&lt;&gt;"-",1,0))</f>
        <v>0</v>
      </c>
      <c r="H3" s="27">
        <f t="shared" ref="H3:H11" si="2">IF($C3="","",IF(AND(K3&gt;5,P3&lt;&gt;"-"),1,0))</f>
        <v>0</v>
      </c>
      <c r="I3" s="27" t="str">
        <f t="shared" ref="I3:I11" si="3">IF($C3="","","-")</f>
        <v>-</v>
      </c>
      <c r="J3" s="50">
        <f>IF($C3="","",VLOOKUP($C3,AMABat!$A$10:$BV$140,J$1,FALSE))</f>
        <v>1</v>
      </c>
      <c r="K3" s="26">
        <f>IF($C3="","",VLOOKUP($C3,AMABat!$A$10:$BV$140,K$1,FALSE))</f>
        <v>3</v>
      </c>
      <c r="L3" s="28">
        <f>IF($C3="","",VLOOKUP($C3,AMABat!$A$10:$BV$140,L$1,FALSE))</f>
        <v>1</v>
      </c>
      <c r="M3" s="26" t="str">
        <f>IF($C3="","",VLOOKUP($C3,AMABat!$A$10:$BV$140,M$1,FALSE))</f>
        <v>-</v>
      </c>
      <c r="N3" s="26" t="str">
        <f>IF($C3="","",VLOOKUP($C3,AMABat!$A$10:$BV$140,N$1,FALSE))</f>
        <v>-</v>
      </c>
      <c r="O3" s="26">
        <f>IF($C3="","",VLOOKUP($C3,AMABat!$A$10:$BV$140,O$1,FALSE))</f>
        <v>7</v>
      </c>
      <c r="P3" s="26" t="str">
        <f>IF($C3="","",VLOOKUP($C3,AMABat!$A$10:$BV$140,P$1,FALSE))</f>
        <v>-</v>
      </c>
      <c r="Q3" s="26" t="str">
        <f>IF($C3="","",VLOOKUP($C3,AMABat!$A$10:$BV$140,Q$1,FALSE))</f>
        <v>-</v>
      </c>
      <c r="R3" s="26" t="str">
        <f>IF($C3="","",VLOOKUP($C3,AMABat!$A$10:$BV$140,R$1,FALSE))</f>
        <v>-</v>
      </c>
      <c r="S3" s="26" t="str">
        <f>IF($C3="","",VLOOKUP($C3,AMABat!$A$10:$BV$140,S$1,FALSE))</f>
        <v>-</v>
      </c>
      <c r="T3" s="28" t="str">
        <f>IF($C3="","",VLOOKUP($C3,AMABat!$A$10:$BV$140,T$1,FALSE))</f>
        <v>-</v>
      </c>
      <c r="U3" s="357">
        <f t="shared" ref="U3:U11" si="4">IF($C3="","",IF(OR(AD3+AG3&gt;14,AND(OR(AD3+AG3&gt;12,AND(AD3&gt;6,AG3&gt;6)),AI3&gt;6,OR(AJ3&gt;=AI3,AJ3&gt;6))),1,0))</f>
        <v>0</v>
      </c>
      <c r="V3" s="349">
        <f t="shared" ref="V3:V11" si="5">IF($C3="","",IF(OR(AND(AD3&gt;6,AH3&gt;6),AD3+AG3&gt;12),1,0))</f>
        <v>0</v>
      </c>
      <c r="W3" s="27">
        <f t="shared" ref="W3:W11" si="6">IF($C3="","",IF(AND(AD3&gt;6,AF3&gt;6,AG3&gt;6),1,0))</f>
        <v>0</v>
      </c>
      <c r="X3" s="27">
        <f t="shared" ref="X3:X11" si="7">IF($C3="","",IF(AND(AF3&gt;7,OR(AD3&gt;6,AG3&gt;6)),1,0))</f>
        <v>0</v>
      </c>
      <c r="Y3" s="27">
        <f t="shared" ref="Y3:Y11" si="8">IF($C3="","",IF(AND(AF3&gt;6,OR(AD3&gt;6,AG3&gt;6)),1,0))</f>
        <v>0</v>
      </c>
      <c r="Z3" s="27">
        <f t="shared" ref="Z3:Z11" si="9">IF($C3="","",IF(AND(OR(AD3&gt;6,AF3&gt;6),OR(AD3&gt;6,AG3&gt;6)),1,0))</f>
        <v>0</v>
      </c>
      <c r="AA3" s="27">
        <f t="shared" ref="AA3:AA11" si="10">IF($C3="","",IF(AND(AD3&gt;4,OR(AD3&gt;6,AF3&gt;6,AG3&gt;6)),1,0))</f>
        <v>0</v>
      </c>
      <c r="AB3" s="27">
        <f t="shared" ref="AB3:AB11" si="11">IF($C3="","",IF(AND(AD3&gt;4,OR(AD3&gt;6,AE3&gt;6,AF3&gt;6,AG3&gt;6)),1,0))</f>
        <v>0</v>
      </c>
      <c r="AC3" s="54">
        <f t="shared" ref="AC3:AC11" si="12">IF($C3="","",IF(AND(AD3&gt;4,MAX(AD3:AH3)&gt;6),1,0))</f>
        <v>0</v>
      </c>
      <c r="AD3" s="26">
        <f>IF($C3="","",VLOOKUP($C3,AMABat!$A$10:$BV$140,AD$1,FALSE))</f>
        <v>4</v>
      </c>
      <c r="AE3" s="26">
        <f>IF($C3="","",VLOOKUP($C3,AMABat!$A$10:$BV$140,AE$1,FALSE))</f>
        <v>5</v>
      </c>
      <c r="AF3" s="26">
        <f>IF($C3="","",VLOOKUP($C3,AMABat!$A$10:$BV$140,AF$1,FALSE))</f>
        <v>4</v>
      </c>
      <c r="AG3" s="26">
        <f>IF($C3="","",VLOOKUP($C3,AMABat!$A$10:$BV$140,AG$1,FALSE))</f>
        <v>7</v>
      </c>
      <c r="AH3" s="26">
        <f>IF($C3="","",VLOOKUP($C3,AMABat!$A$10:$BV$140,AH$1,FALSE))</f>
        <v>6</v>
      </c>
      <c r="AI3" s="50" t="str">
        <f>IF($C3="","",VLOOKUP($C3,AMABat!$A$10:$BV$140,AI$1,FALSE))</f>
        <v>-</v>
      </c>
      <c r="AJ3" s="28">
        <f>IF($C3="","",VLOOKUP($C3,AMABat!$A$10:$BV$140,AJ$1,FALSE))</f>
        <v>1</v>
      </c>
      <c r="AK3" s="60">
        <f t="shared" ref="AK3:AK11" si="13">IF($C3="","",(5*AD3+4*AF3+3*AG3+2*AE3+1*AH3+0.5*(AVERAGE(AD3:AE3))+0.5*AVERAGE(AD3,AH3)+1*(AVERAGE(AD3,AF3))+1*AVERAGE(AD3,AG3))/(5+4+3+2+1+0.5+0.5+1+1))</f>
        <v>4.8472222222222223</v>
      </c>
      <c r="AL3" s="45">
        <f t="shared" ref="AL3:AL11" si="14">IF($C3="","",IF(AND(OR(AU3+AX3&gt;12,AND(AU3&gt;6,AX3&gt;6)),AI3&gt;6,OR(AJ3&gt;=AI3,AJ3&gt;6)),1,0))</f>
        <v>0</v>
      </c>
      <c r="AM3" s="27">
        <f t="shared" ref="AM3:AM11" si="15">IF($C3="","",IF(OR(AND(AU3&gt;6,AY3&gt;6),AU3+AX3&gt;12),1,0))</f>
        <v>1</v>
      </c>
      <c r="AN3" s="27">
        <f t="shared" ref="AN3:AN11" si="16">IF($C3="","",IF(AND(AU3&gt;6,AW3&gt;6,AX3&gt;6),1,0))</f>
        <v>0</v>
      </c>
      <c r="AO3" s="27">
        <f t="shared" ref="AO3:AO11" si="17">IF($C3="","",IF(AND(AW3&gt;7,OR(AU3&gt;6,AX3&gt;6)),1,0))</f>
        <v>0</v>
      </c>
      <c r="AP3" s="27">
        <f t="shared" ref="AP3:AP11" si="18">IF($C3="","",IF(AND(AW3&gt;6,OR(AU3&gt;6,AX3&gt;6)),1,0))</f>
        <v>0</v>
      </c>
      <c r="AQ3" s="27">
        <f t="shared" ref="AQ3:AQ11" si="19">IF($C3="","",IF(AND(OR(AU3&gt;6,AW3&gt;6),OR(AU3&gt;6,AX3&gt;6)),1,0))</f>
        <v>0</v>
      </c>
      <c r="AR3" s="27">
        <f t="shared" ref="AR3:AR11" si="20">IF($C3="","",IF(AND(AU3&gt;4,OR(AU3&gt;6,AW3&gt;6,AX3&gt;6)),1,0))</f>
        <v>1</v>
      </c>
      <c r="AS3" s="27">
        <f t="shared" ref="AS3:AS11" si="21">IF($C3="","",IF(AND(AU3&gt;4,OR(AU3&gt;6,AV3&gt;6,AW3&gt;6,AX3&gt;6)),1,0))</f>
        <v>1</v>
      </c>
      <c r="AT3" s="54">
        <f t="shared" ref="AT3:AT11" si="22">IF($C3="","",IF(AND(AU3&gt;4,MAX(AU3:AY3)&gt;6),1,0))</f>
        <v>1</v>
      </c>
      <c r="AU3" s="50">
        <f>IF($C3="","",VLOOKUP($C3,AMABat!$A$10:$BV$140,AU$1,FALSE))</f>
        <v>5</v>
      </c>
      <c r="AV3" s="26">
        <f>IF($C3="","",VLOOKUP($C3,AMABat!$A$10:$BV$140,AV$1,FALSE))</f>
        <v>5</v>
      </c>
      <c r="AW3" s="26">
        <f>IF($C3="","",VLOOKUP($C3,AMABat!$A$10:$BV$140,AW$1,FALSE))</f>
        <v>6</v>
      </c>
      <c r="AX3" s="26">
        <f>IF($C3="","",VLOOKUP($C3,AMABat!$A$10:$BV$140,AX$1,FALSE))</f>
        <v>8</v>
      </c>
      <c r="AY3" s="28">
        <f>IF($C3="","",VLOOKUP($C3,AMABat!$A$10:$BV$140,AY$1,FALSE))</f>
        <v>6</v>
      </c>
      <c r="AZ3" s="60">
        <f t="shared" ref="AZ3:AZ11" si="23">IF($C3="","",(5*AU3+4*AW3+3*AX3+2*AV3+1*AY3+0.5*(AVERAGE(AU3:AV3))+0.5*AVERAGE(AU3,AY3)+1*(AVERAGE(AU3,AW3))+1*AVERAGE(AU3,AX3))/(5+4+3+2+1+0.5+0.5+1+1))</f>
        <v>5.9027777777777777</v>
      </c>
      <c r="BA3" s="252">
        <f t="shared" ref="BA3:BA11" si="24">IF(C3="","",AZ3-AK3)</f>
        <v>1.0555555555555554</v>
      </c>
    </row>
    <row r="4" spans="1:53" x14ac:dyDescent="0.25">
      <c r="A4" s="305">
        <v>2</v>
      </c>
      <c r="B4" s="29" t="s">
        <v>77</v>
      </c>
      <c r="C4" s="30" t="s">
        <v>1033</v>
      </c>
      <c r="D4" s="30">
        <f>IF($C4="","",VLOOKUP($C4,AMABat!$A$10:$BV$140,D$1,FALSE))</f>
        <v>24</v>
      </c>
      <c r="E4" s="30" t="str">
        <f>IF($C4="","",VLOOKUP($C4,AMABat!$A$10:$BV$140,E$1,FALSE))</f>
        <v>L</v>
      </c>
      <c r="F4" s="357">
        <f t="shared" si="0"/>
        <v>0</v>
      </c>
      <c r="G4" s="349">
        <f t="shared" si="1"/>
        <v>0</v>
      </c>
      <c r="H4" s="349">
        <f t="shared" si="2"/>
        <v>0</v>
      </c>
      <c r="I4" s="349" t="str">
        <f t="shared" si="3"/>
        <v>-</v>
      </c>
      <c r="J4" s="51">
        <f>IF($C4="","",VLOOKUP($C4,AMABat!$A$10:$BV$140,J$1,FALSE))</f>
        <v>1</v>
      </c>
      <c r="K4" s="30">
        <f>IF($C4="","",VLOOKUP($C4,AMABat!$A$10:$BV$140,K$1,FALSE))</f>
        <v>8</v>
      </c>
      <c r="L4" s="31">
        <f>IF($C4="","",VLOOKUP($C4,AMABat!$A$10:$BV$140,L$1,FALSE))</f>
        <v>10</v>
      </c>
      <c r="M4" s="30" t="str">
        <f>IF($C4="","",VLOOKUP($C4,AMABat!$A$10:$BV$140,M$1,FALSE))</f>
        <v>-</v>
      </c>
      <c r="N4" s="30" t="str">
        <f>IF($C4="","",VLOOKUP($C4,AMABat!$A$10:$BV$140,N$1,FALSE))</f>
        <v>-</v>
      </c>
      <c r="O4" s="30" t="str">
        <f>IF($C4="","",VLOOKUP($C4,AMABat!$A$10:$BV$140,O$1,FALSE))</f>
        <v>-</v>
      </c>
      <c r="P4" s="30" t="str">
        <f>IF($C4="","",VLOOKUP($C4,AMABat!$A$10:$BV$140,P$1,FALSE))</f>
        <v>-</v>
      </c>
      <c r="Q4" s="30" t="str">
        <f>IF($C4="","",VLOOKUP($C4,AMABat!$A$10:$BV$140,Q$1,FALSE))</f>
        <v>-</v>
      </c>
      <c r="R4" s="30" t="str">
        <f>IF($C4="","",VLOOKUP($C4,AMABat!$A$10:$BV$140,R$1,FALSE))</f>
        <v>-</v>
      </c>
      <c r="S4" s="30">
        <f>IF($C4="","",VLOOKUP($C4,AMABat!$A$10:$BV$140,S$1,FALSE))</f>
        <v>5</v>
      </c>
      <c r="T4" s="31" t="str">
        <f>IF($C4="","",VLOOKUP($C4,AMABat!$A$10:$BV$140,T$1,FALSE))</f>
        <v>-</v>
      </c>
      <c r="U4" s="357">
        <f t="shared" si="4"/>
        <v>1</v>
      </c>
      <c r="V4" s="349">
        <f t="shared" si="5"/>
        <v>1</v>
      </c>
      <c r="W4" s="349">
        <f t="shared" si="6"/>
        <v>0</v>
      </c>
      <c r="X4" s="349">
        <f t="shared" si="7"/>
        <v>0</v>
      </c>
      <c r="Y4" s="349">
        <f t="shared" si="8"/>
        <v>0</v>
      </c>
      <c r="Z4" s="349">
        <f t="shared" si="9"/>
        <v>1</v>
      </c>
      <c r="AA4" s="349">
        <f t="shared" si="10"/>
        <v>1</v>
      </c>
      <c r="AB4" s="349">
        <f t="shared" si="11"/>
        <v>1</v>
      </c>
      <c r="AC4" s="350">
        <f t="shared" si="12"/>
        <v>1</v>
      </c>
      <c r="AD4" s="30">
        <f>IF($C4="","",VLOOKUP($C4,AMABat!$A$10:$BV$140,AD$1,FALSE))</f>
        <v>8</v>
      </c>
      <c r="AE4" s="30">
        <f>IF($C4="","",VLOOKUP($C4,AMABat!$A$10:$BV$140,AE$1,FALSE))</f>
        <v>8</v>
      </c>
      <c r="AF4" s="30">
        <f>IF($C4="","",VLOOKUP($C4,AMABat!$A$10:$BV$140,AF$1,FALSE))</f>
        <v>3</v>
      </c>
      <c r="AG4" s="30">
        <f>IF($C4="","",VLOOKUP($C4,AMABat!$A$10:$BV$140,AG$1,FALSE))</f>
        <v>8</v>
      </c>
      <c r="AH4" s="30">
        <f>IF($C4="","",VLOOKUP($C4,AMABat!$A$10:$BV$140,AH$1,FALSE))</f>
        <v>8</v>
      </c>
      <c r="AI4" s="51">
        <f>IF($C4="","",VLOOKUP($C4,AMABat!$A$10:$BV$140,AI$1,FALSE))</f>
        <v>5</v>
      </c>
      <c r="AJ4" s="31">
        <f>IF($C4="","",VLOOKUP($C4,AMABat!$A$10:$BV$140,AJ$1,FALSE))</f>
        <v>10</v>
      </c>
      <c r="AK4" s="60">
        <f t="shared" si="13"/>
        <v>6.75</v>
      </c>
      <c r="AL4" s="357">
        <f t="shared" si="14"/>
        <v>0</v>
      </c>
      <c r="AM4" s="349">
        <f t="shared" si="15"/>
        <v>1</v>
      </c>
      <c r="AN4" s="349">
        <f t="shared" si="16"/>
        <v>0</v>
      </c>
      <c r="AO4" s="349">
        <f t="shared" si="17"/>
        <v>0</v>
      </c>
      <c r="AP4" s="349">
        <f t="shared" si="18"/>
        <v>0</v>
      </c>
      <c r="AQ4" s="349">
        <f t="shared" si="19"/>
        <v>1</v>
      </c>
      <c r="AR4" s="349">
        <f t="shared" si="20"/>
        <v>1</v>
      </c>
      <c r="AS4" s="349">
        <f t="shared" si="21"/>
        <v>1</v>
      </c>
      <c r="AT4" s="350">
        <f t="shared" si="22"/>
        <v>1</v>
      </c>
      <c r="AU4" s="51">
        <f>IF($C4="","",VLOOKUP($C4,AMABat!$A$10:$BV$140,AU$1,FALSE))</f>
        <v>9</v>
      </c>
      <c r="AV4" s="30">
        <f>IF($C4="","",VLOOKUP($C4,AMABat!$A$10:$BV$140,AV$1,FALSE))</f>
        <v>8</v>
      </c>
      <c r="AW4" s="30">
        <f>IF($C4="","",VLOOKUP($C4,AMABat!$A$10:$BV$140,AW$1,FALSE))</f>
        <v>3</v>
      </c>
      <c r="AX4" s="30">
        <f>IF($C4="","",VLOOKUP($C4,AMABat!$A$10:$BV$140,AX$1,FALSE))</f>
        <v>8</v>
      </c>
      <c r="AY4" s="31">
        <f>IF($C4="","",VLOOKUP($C4,AMABat!$A$10:$BV$140,AY$1,FALSE))</f>
        <v>8</v>
      </c>
      <c r="AZ4" s="60">
        <f t="shared" si="23"/>
        <v>7.1111111111111107</v>
      </c>
      <c r="BA4" s="60">
        <f t="shared" si="24"/>
        <v>0.36111111111111072</v>
      </c>
    </row>
    <row r="5" spans="1:53" x14ac:dyDescent="0.25">
      <c r="A5" s="305">
        <v>3</v>
      </c>
      <c r="B5" s="29" t="s">
        <v>78</v>
      </c>
      <c r="C5" s="58" t="s">
        <v>1165</v>
      </c>
      <c r="D5" s="30">
        <f>IF($C5="","",VLOOKUP($C5,AMABat!$A$10:$BV$140,D$1,FALSE))</f>
        <v>23</v>
      </c>
      <c r="E5" s="30" t="str">
        <f>IF($C5="","",VLOOKUP($C5,AMABat!$A$10:$BV$140,E$1,FALSE))</f>
        <v>R</v>
      </c>
      <c r="F5" s="357">
        <f t="shared" si="0"/>
        <v>0</v>
      </c>
      <c r="G5" s="349">
        <f t="shared" si="1"/>
        <v>0</v>
      </c>
      <c r="H5" s="349">
        <f t="shared" si="2"/>
        <v>0</v>
      </c>
      <c r="I5" s="349" t="str">
        <f t="shared" si="3"/>
        <v>-</v>
      </c>
      <c r="J5" s="51">
        <f>IF($C5="","",VLOOKUP($C5,AMABat!$A$10:$BV$140,J$1,FALSE))</f>
        <v>1</v>
      </c>
      <c r="K5" s="30">
        <f>IF($C5="","",VLOOKUP($C5,AMABat!$A$10:$BV$140,K$1,FALSE))</f>
        <v>2</v>
      </c>
      <c r="L5" s="31">
        <f>IF($C5="","",VLOOKUP($C5,AMABat!$A$10:$BV$140,L$1,FALSE))</f>
        <v>5</v>
      </c>
      <c r="M5" s="30" t="str">
        <f>IF($C5="","",VLOOKUP($C5,AMABat!$A$10:$BV$140,M$1,FALSE))</f>
        <v>-</v>
      </c>
      <c r="N5" s="30" t="str">
        <f>IF($C5="","",VLOOKUP($C5,AMABat!$A$10:$BV$140,N$1,FALSE))</f>
        <v>-</v>
      </c>
      <c r="O5" s="30" t="str">
        <f>IF($C5="","",VLOOKUP($C5,AMABat!$A$10:$BV$140,O$1,FALSE))</f>
        <v>-</v>
      </c>
      <c r="P5" s="30" t="str">
        <f>IF($C5="","",VLOOKUP($C5,AMABat!$A$10:$BV$140,P$1,FALSE))</f>
        <v>-</v>
      </c>
      <c r="Q5" s="30" t="str">
        <f>IF($C5="","",VLOOKUP($C5,AMABat!$A$10:$BV$140,Q$1,FALSE))</f>
        <v>-</v>
      </c>
      <c r="R5" s="30" t="str">
        <f>IF($C5="","",VLOOKUP($C5,AMABat!$A$10:$BV$140,R$1,FALSE))</f>
        <v>-</v>
      </c>
      <c r="S5" s="30">
        <f>IF($C5="","",VLOOKUP($C5,AMABat!$A$10:$BV$140,S$1,FALSE))</f>
        <v>1</v>
      </c>
      <c r="T5" s="31">
        <f>IF($C5="","",VLOOKUP($C5,AMABat!$A$10:$BV$140,T$1,FALSE))</f>
        <v>7</v>
      </c>
      <c r="U5" s="357">
        <f t="shared" si="4"/>
        <v>0</v>
      </c>
      <c r="V5" s="349">
        <f t="shared" si="5"/>
        <v>0</v>
      </c>
      <c r="W5" s="349">
        <f t="shared" si="6"/>
        <v>0</v>
      </c>
      <c r="X5" s="349">
        <f t="shared" si="7"/>
        <v>0</v>
      </c>
      <c r="Y5" s="349">
        <f t="shared" si="8"/>
        <v>0</v>
      </c>
      <c r="Z5" s="349">
        <f t="shared" si="9"/>
        <v>0</v>
      </c>
      <c r="AA5" s="349">
        <f t="shared" si="10"/>
        <v>0</v>
      </c>
      <c r="AB5" s="349">
        <f t="shared" si="11"/>
        <v>0</v>
      </c>
      <c r="AC5" s="350">
        <f t="shared" si="12"/>
        <v>0</v>
      </c>
      <c r="AD5" s="30">
        <f>IF($C5="","",VLOOKUP($C5,AMABat!$A$10:$BV$140,AD$1,FALSE))</f>
        <v>4</v>
      </c>
      <c r="AE5" s="30">
        <f>IF($C5="","",VLOOKUP($C5,AMABat!$A$10:$BV$140,AE$1,FALSE))</f>
        <v>5</v>
      </c>
      <c r="AF5" s="30">
        <f>IF($C5="","",VLOOKUP($C5,AMABat!$A$10:$BV$140,AF$1,FALSE))</f>
        <v>5</v>
      </c>
      <c r="AG5" s="30">
        <f>IF($C5="","",VLOOKUP($C5,AMABat!$A$10:$BV$140,AG$1,FALSE))</f>
        <v>4</v>
      </c>
      <c r="AH5" s="30">
        <f>IF($C5="","",VLOOKUP($C5,AMABat!$A$10:$BV$140,AH$1,FALSE))</f>
        <v>4</v>
      </c>
      <c r="AI5" s="51" t="str">
        <f>IF($C5="","",VLOOKUP($C5,AMABat!$A$10:$BV$140,AI$1,FALSE))</f>
        <v>-</v>
      </c>
      <c r="AJ5" s="31">
        <f>IF($C5="","",VLOOKUP($C5,AMABat!$A$10:$BV$140,AJ$1,FALSE))</f>
        <v>9</v>
      </c>
      <c r="AK5" s="60">
        <f t="shared" si="13"/>
        <v>4.375</v>
      </c>
      <c r="AL5" s="357">
        <f t="shared" si="14"/>
        <v>0</v>
      </c>
      <c r="AM5" s="349">
        <f t="shared" si="15"/>
        <v>0</v>
      </c>
      <c r="AN5" s="349">
        <f t="shared" si="16"/>
        <v>0</v>
      </c>
      <c r="AO5" s="349">
        <f t="shared" si="17"/>
        <v>0</v>
      </c>
      <c r="AP5" s="349">
        <f t="shared" si="18"/>
        <v>0</v>
      </c>
      <c r="AQ5" s="349">
        <f t="shared" si="19"/>
        <v>0</v>
      </c>
      <c r="AR5" s="349">
        <f t="shared" si="20"/>
        <v>0</v>
      </c>
      <c r="AS5" s="349">
        <f t="shared" si="21"/>
        <v>0</v>
      </c>
      <c r="AT5" s="350">
        <f t="shared" si="22"/>
        <v>0</v>
      </c>
      <c r="AU5" s="51">
        <f>IF($C5="","",VLOOKUP($C5,AMABat!$A$10:$BV$140,AU$1,FALSE))</f>
        <v>5</v>
      </c>
      <c r="AV5" s="30">
        <f>IF($C5="","",VLOOKUP($C5,AMABat!$A$10:$BV$140,AV$1,FALSE))</f>
        <v>6</v>
      </c>
      <c r="AW5" s="30">
        <f>IF($C5="","",VLOOKUP($C5,AMABat!$A$10:$BV$140,AW$1,FALSE))</f>
        <v>5</v>
      </c>
      <c r="AX5" s="30">
        <f>IF($C5="","",VLOOKUP($C5,AMABat!$A$10:$BV$140,AX$1,FALSE))</f>
        <v>4</v>
      </c>
      <c r="AY5" s="31">
        <f>IF($C5="","",VLOOKUP($C5,AMABat!$A$10:$BV$140,AY$1,FALSE))</f>
        <v>6</v>
      </c>
      <c r="AZ5" s="60">
        <f t="shared" si="23"/>
        <v>5</v>
      </c>
      <c r="BA5" s="60">
        <f t="shared" si="24"/>
        <v>0.625</v>
      </c>
    </row>
    <row r="6" spans="1:53" x14ac:dyDescent="0.25">
      <c r="A6" s="305">
        <v>4</v>
      </c>
      <c r="B6" s="29" t="s">
        <v>79</v>
      </c>
      <c r="C6" s="58" t="s">
        <v>1167</v>
      </c>
      <c r="D6" s="30" t="e">
        <f>IF($C6="","",VLOOKUP($C6,AMABat!$A$10:$BV$140,D$1,FALSE))</f>
        <v>#N/A</v>
      </c>
      <c r="E6" s="30" t="e">
        <f>IF($C6="","",VLOOKUP($C6,AMABat!$A$10:$BV$140,E$1,FALSE))</f>
        <v>#N/A</v>
      </c>
      <c r="F6" s="357" t="e">
        <f t="shared" si="0"/>
        <v>#N/A</v>
      </c>
      <c r="G6" s="349" t="e">
        <f t="shared" si="1"/>
        <v>#N/A</v>
      </c>
      <c r="H6" s="349" t="e">
        <f t="shared" si="2"/>
        <v>#N/A</v>
      </c>
      <c r="I6" s="349" t="str">
        <f t="shared" si="3"/>
        <v>-</v>
      </c>
      <c r="J6" s="51" t="e">
        <f>IF($C6="","",VLOOKUP($C6,AMABat!$A$10:$BV$140,J$1,FALSE))</f>
        <v>#N/A</v>
      </c>
      <c r="K6" s="30" t="e">
        <f>IF($C6="","",VLOOKUP($C6,AMABat!$A$10:$BV$140,K$1,FALSE))</f>
        <v>#N/A</v>
      </c>
      <c r="L6" s="31" t="e">
        <f>IF($C6="","",VLOOKUP($C6,AMABat!$A$10:$BV$140,L$1,FALSE))</f>
        <v>#N/A</v>
      </c>
      <c r="M6" s="30" t="e">
        <f>IF($C6="","",VLOOKUP($C6,AMABat!$A$10:$BV$140,M$1,FALSE))</f>
        <v>#N/A</v>
      </c>
      <c r="N6" s="30" t="e">
        <f>IF($C6="","",VLOOKUP($C6,AMABat!$A$10:$BV$140,N$1,FALSE))</f>
        <v>#N/A</v>
      </c>
      <c r="O6" s="30" t="e">
        <f>IF($C6="","",VLOOKUP($C6,AMABat!$A$10:$BV$140,O$1,FALSE))</f>
        <v>#N/A</v>
      </c>
      <c r="P6" s="30" t="e">
        <f>IF($C6="","",VLOOKUP($C6,AMABat!$A$10:$BV$140,P$1,FALSE))</f>
        <v>#N/A</v>
      </c>
      <c r="Q6" s="30" t="e">
        <f>IF($C6="","",VLOOKUP($C6,AMABat!$A$10:$BV$140,Q$1,FALSE))</f>
        <v>#N/A</v>
      </c>
      <c r="R6" s="30" t="e">
        <f>IF($C6="","",VLOOKUP($C6,AMABat!$A$10:$BV$140,R$1,FALSE))</f>
        <v>#N/A</v>
      </c>
      <c r="S6" s="30" t="e">
        <f>IF($C6="","",VLOOKUP($C6,AMABat!$A$10:$BV$140,S$1,FALSE))</f>
        <v>#N/A</v>
      </c>
      <c r="T6" s="31" t="e">
        <f>IF($C6="","",VLOOKUP($C6,AMABat!$A$10:$BV$140,T$1,FALSE))</f>
        <v>#N/A</v>
      </c>
      <c r="U6" s="357" t="e">
        <f t="shared" si="4"/>
        <v>#N/A</v>
      </c>
      <c r="V6" s="349" t="e">
        <f t="shared" si="5"/>
        <v>#N/A</v>
      </c>
      <c r="W6" s="349" t="e">
        <f t="shared" si="6"/>
        <v>#N/A</v>
      </c>
      <c r="X6" s="349" t="e">
        <f t="shared" si="7"/>
        <v>#N/A</v>
      </c>
      <c r="Y6" s="349" t="e">
        <f t="shared" si="8"/>
        <v>#N/A</v>
      </c>
      <c r="Z6" s="349" t="e">
        <f t="shared" si="9"/>
        <v>#N/A</v>
      </c>
      <c r="AA6" s="349" t="e">
        <f t="shared" si="10"/>
        <v>#N/A</v>
      </c>
      <c r="AB6" s="349" t="e">
        <f t="shared" si="11"/>
        <v>#N/A</v>
      </c>
      <c r="AC6" s="350" t="e">
        <f t="shared" si="12"/>
        <v>#N/A</v>
      </c>
      <c r="AD6" s="30" t="e">
        <f>IF($C6="","",VLOOKUP($C6,AMABat!$A$10:$BV$140,AD$1,FALSE))</f>
        <v>#N/A</v>
      </c>
      <c r="AE6" s="30" t="e">
        <f>IF($C6="","",VLOOKUP($C6,AMABat!$A$10:$BV$140,AE$1,FALSE))</f>
        <v>#N/A</v>
      </c>
      <c r="AF6" s="30" t="e">
        <f>IF($C6="","",VLOOKUP($C6,AMABat!$A$10:$BV$140,AF$1,FALSE))</f>
        <v>#N/A</v>
      </c>
      <c r="AG6" s="30" t="e">
        <f>IF($C6="","",VLOOKUP($C6,AMABat!$A$10:$BV$140,AG$1,FALSE))</f>
        <v>#N/A</v>
      </c>
      <c r="AH6" s="30" t="e">
        <f>IF($C6="","",VLOOKUP($C6,AMABat!$A$10:$BV$140,AH$1,FALSE))</f>
        <v>#N/A</v>
      </c>
      <c r="AI6" s="51" t="e">
        <f>IF($C6="","",VLOOKUP($C6,AMABat!$A$10:$BV$140,AI$1,FALSE))</f>
        <v>#N/A</v>
      </c>
      <c r="AJ6" s="31" t="e">
        <f>IF($C6="","",VLOOKUP($C6,AMABat!$A$10:$BV$140,AJ$1,FALSE))</f>
        <v>#N/A</v>
      </c>
      <c r="AK6" s="60" t="e">
        <f t="shared" si="13"/>
        <v>#N/A</v>
      </c>
      <c r="AL6" s="357" t="e">
        <f t="shared" si="14"/>
        <v>#N/A</v>
      </c>
      <c r="AM6" s="349" t="e">
        <f t="shared" si="15"/>
        <v>#N/A</v>
      </c>
      <c r="AN6" s="349" t="e">
        <f t="shared" si="16"/>
        <v>#N/A</v>
      </c>
      <c r="AO6" s="349" t="e">
        <f t="shared" si="17"/>
        <v>#N/A</v>
      </c>
      <c r="AP6" s="349" t="e">
        <f t="shared" si="18"/>
        <v>#N/A</v>
      </c>
      <c r="AQ6" s="349" t="e">
        <f t="shared" si="19"/>
        <v>#N/A</v>
      </c>
      <c r="AR6" s="349" t="e">
        <f t="shared" si="20"/>
        <v>#N/A</v>
      </c>
      <c r="AS6" s="349" t="e">
        <f t="shared" si="21"/>
        <v>#N/A</v>
      </c>
      <c r="AT6" s="350" t="e">
        <f t="shared" si="22"/>
        <v>#N/A</v>
      </c>
      <c r="AU6" s="51" t="e">
        <f>IF($C6="","",VLOOKUP($C6,AMABat!$A$10:$BV$140,AU$1,FALSE))</f>
        <v>#N/A</v>
      </c>
      <c r="AV6" s="30" t="e">
        <f>IF($C6="","",VLOOKUP($C6,AMABat!$A$10:$BV$140,AV$1,FALSE))</f>
        <v>#N/A</v>
      </c>
      <c r="AW6" s="30" t="e">
        <f>IF($C6="","",VLOOKUP($C6,AMABat!$A$10:$BV$140,AW$1,FALSE))</f>
        <v>#N/A</v>
      </c>
      <c r="AX6" s="30" t="e">
        <f>IF($C6="","",VLOOKUP($C6,AMABat!$A$10:$BV$140,AX$1,FALSE))</f>
        <v>#N/A</v>
      </c>
      <c r="AY6" s="31" t="e">
        <f>IF($C6="","",VLOOKUP($C6,AMABat!$A$10:$BV$140,AY$1,FALSE))</f>
        <v>#N/A</v>
      </c>
      <c r="AZ6" s="60" t="e">
        <f t="shared" si="23"/>
        <v>#N/A</v>
      </c>
      <c r="BA6" s="60" t="e">
        <f t="shared" si="24"/>
        <v>#N/A</v>
      </c>
    </row>
    <row r="7" spans="1:53" x14ac:dyDescent="0.25">
      <c r="A7" s="305">
        <v>5</v>
      </c>
      <c r="B7" s="29" t="s">
        <v>10</v>
      </c>
      <c r="C7" s="58"/>
      <c r="D7" s="30" t="str">
        <f>IF($C7="","",VLOOKUP($C7,AMABat!$A$10:$BV$140,D$1,FALSE))</f>
        <v/>
      </c>
      <c r="E7" s="30" t="str">
        <f>IF($C7="","",VLOOKUP($C7,AMABat!$A$10:$BV$140,E$1,FALSE))</f>
        <v/>
      </c>
      <c r="F7" s="357" t="str">
        <f t="shared" si="0"/>
        <v/>
      </c>
      <c r="G7" s="349" t="str">
        <f t="shared" si="1"/>
        <v/>
      </c>
      <c r="H7" s="349" t="str">
        <f t="shared" si="2"/>
        <v/>
      </c>
      <c r="I7" s="349" t="str">
        <f t="shared" si="3"/>
        <v/>
      </c>
      <c r="J7" s="51" t="str">
        <f>IF($C7="","",VLOOKUP($C7,AMABat!$A$10:$BV$140,J$1,FALSE))</f>
        <v/>
      </c>
      <c r="K7" s="30" t="str">
        <f>IF($C7="","",VLOOKUP($C7,AMABat!$A$10:$BV$140,K$1,FALSE))</f>
        <v/>
      </c>
      <c r="L7" s="31" t="str">
        <f>IF($C7="","",VLOOKUP($C7,AMABat!$A$10:$BV$140,L$1,FALSE))</f>
        <v/>
      </c>
      <c r="M7" s="30" t="str">
        <f>IF($C7="","",VLOOKUP($C7,AMABat!$A$10:$BV$140,M$1,FALSE))</f>
        <v/>
      </c>
      <c r="N7" s="30" t="str">
        <f>IF($C7="","",VLOOKUP($C7,AMABat!$A$10:$BV$140,N$1,FALSE))</f>
        <v/>
      </c>
      <c r="O7" s="30" t="str">
        <f>IF($C7="","",VLOOKUP($C7,AMABat!$A$10:$BV$140,O$1,FALSE))</f>
        <v/>
      </c>
      <c r="P7" s="30" t="str">
        <f>IF($C7="","",VLOOKUP($C7,AMABat!$A$10:$BV$140,P$1,FALSE))</f>
        <v/>
      </c>
      <c r="Q7" s="30" t="str">
        <f>IF($C7="","",VLOOKUP($C7,AMABat!$A$10:$BV$140,Q$1,FALSE))</f>
        <v/>
      </c>
      <c r="R7" s="30" t="str">
        <f>IF($C7="","",VLOOKUP($C7,AMABat!$A$10:$BV$140,R$1,FALSE))</f>
        <v/>
      </c>
      <c r="S7" s="30" t="str">
        <f>IF($C7="","",VLOOKUP($C7,AMABat!$A$10:$BV$140,S$1,FALSE))</f>
        <v/>
      </c>
      <c r="T7" s="31" t="str">
        <f>IF($C7="","",VLOOKUP($C7,AMABat!$A$10:$BV$140,T$1,FALSE))</f>
        <v/>
      </c>
      <c r="U7" s="357" t="str">
        <f t="shared" si="4"/>
        <v/>
      </c>
      <c r="V7" s="349" t="str">
        <f t="shared" si="5"/>
        <v/>
      </c>
      <c r="W7" s="349" t="str">
        <f t="shared" si="6"/>
        <v/>
      </c>
      <c r="X7" s="349" t="str">
        <f t="shared" si="7"/>
        <v/>
      </c>
      <c r="Y7" s="349" t="str">
        <f t="shared" si="8"/>
        <v/>
      </c>
      <c r="Z7" s="349" t="str">
        <f t="shared" si="9"/>
        <v/>
      </c>
      <c r="AA7" s="349" t="str">
        <f t="shared" si="10"/>
        <v/>
      </c>
      <c r="AB7" s="349" t="str">
        <f t="shared" si="11"/>
        <v/>
      </c>
      <c r="AC7" s="350" t="str">
        <f t="shared" si="12"/>
        <v/>
      </c>
      <c r="AD7" s="30" t="str">
        <f>IF($C7="","",VLOOKUP($C7,AMABat!$A$10:$BV$140,AD$1,FALSE))</f>
        <v/>
      </c>
      <c r="AE7" s="30" t="str">
        <f>IF($C7="","",VLOOKUP($C7,AMABat!$A$10:$BV$140,AE$1,FALSE))</f>
        <v/>
      </c>
      <c r="AF7" s="30" t="str">
        <f>IF($C7="","",VLOOKUP($C7,AMABat!$A$10:$BV$140,AF$1,FALSE))</f>
        <v/>
      </c>
      <c r="AG7" s="30" t="str">
        <f>IF($C7="","",VLOOKUP($C7,AMABat!$A$10:$BV$140,AG$1,FALSE))</f>
        <v/>
      </c>
      <c r="AH7" s="30" t="str">
        <f>IF($C7="","",VLOOKUP($C7,AMABat!$A$10:$BV$140,AH$1,FALSE))</f>
        <v/>
      </c>
      <c r="AI7" s="51" t="str">
        <f>IF($C7="","",VLOOKUP($C7,AMABat!$A$10:$BV$140,AI$1,FALSE))</f>
        <v/>
      </c>
      <c r="AJ7" s="31" t="str">
        <f>IF($C7="","",VLOOKUP($C7,AMABat!$A$10:$BV$140,AJ$1,FALSE))</f>
        <v/>
      </c>
      <c r="AK7" s="60" t="str">
        <f t="shared" si="13"/>
        <v/>
      </c>
      <c r="AL7" s="357" t="str">
        <f t="shared" si="14"/>
        <v/>
      </c>
      <c r="AM7" s="349" t="str">
        <f t="shared" si="15"/>
        <v/>
      </c>
      <c r="AN7" s="349" t="str">
        <f t="shared" si="16"/>
        <v/>
      </c>
      <c r="AO7" s="349" t="str">
        <f t="shared" si="17"/>
        <v/>
      </c>
      <c r="AP7" s="349" t="str">
        <f t="shared" si="18"/>
        <v/>
      </c>
      <c r="AQ7" s="349" t="str">
        <f t="shared" si="19"/>
        <v/>
      </c>
      <c r="AR7" s="349" t="str">
        <f t="shared" si="20"/>
        <v/>
      </c>
      <c r="AS7" s="349" t="str">
        <f t="shared" si="21"/>
        <v/>
      </c>
      <c r="AT7" s="350" t="str">
        <f t="shared" si="22"/>
        <v/>
      </c>
      <c r="AU7" s="51" t="str">
        <f>IF($C7="","",VLOOKUP($C7,AMABat!$A$10:$BV$140,AU$1,FALSE))</f>
        <v/>
      </c>
      <c r="AV7" s="30" t="str">
        <f>IF($C7="","",VLOOKUP($C7,AMABat!$A$10:$BV$140,AV$1,FALSE))</f>
        <v/>
      </c>
      <c r="AW7" s="30" t="str">
        <f>IF($C7="","",VLOOKUP($C7,AMABat!$A$10:$BV$140,AW$1,FALSE))</f>
        <v/>
      </c>
      <c r="AX7" s="30" t="str">
        <f>IF($C7="","",VLOOKUP($C7,AMABat!$A$10:$BV$140,AX$1,FALSE))</f>
        <v/>
      </c>
      <c r="AY7" s="31" t="str">
        <f>IF($C7="","",VLOOKUP($C7,AMABat!$A$10:$BV$140,AY$1,FALSE))</f>
        <v/>
      </c>
      <c r="AZ7" s="60" t="str">
        <f t="shared" si="23"/>
        <v/>
      </c>
      <c r="BA7" s="60" t="str">
        <f t="shared" si="24"/>
        <v/>
      </c>
    </row>
    <row r="8" spans="1:53" x14ac:dyDescent="0.25">
      <c r="A8" s="305">
        <v>6</v>
      </c>
      <c r="B8" s="29" t="s">
        <v>80</v>
      </c>
      <c r="C8" s="58"/>
      <c r="D8" s="30" t="str">
        <f>IF($C8="","",VLOOKUP($C8,AMABat!$A$10:$BV$140,D$1,FALSE))</f>
        <v/>
      </c>
      <c r="E8" s="30" t="str">
        <f>IF($C8="","",VLOOKUP($C8,AMABat!$A$10:$BV$140,E$1,FALSE))</f>
        <v/>
      </c>
      <c r="F8" s="357" t="str">
        <f t="shared" si="0"/>
        <v/>
      </c>
      <c r="G8" s="349" t="str">
        <f t="shared" si="1"/>
        <v/>
      </c>
      <c r="H8" s="349" t="str">
        <f t="shared" si="2"/>
        <v/>
      </c>
      <c r="I8" s="349" t="str">
        <f t="shared" si="3"/>
        <v/>
      </c>
      <c r="J8" s="51" t="str">
        <f>IF($C8="","",VLOOKUP($C8,AMABat!$A$10:$BV$140,J$1,FALSE))</f>
        <v/>
      </c>
      <c r="K8" s="30" t="str">
        <f>IF($C8="","",VLOOKUP($C8,AMABat!$A$10:$BV$140,K$1,FALSE))</f>
        <v/>
      </c>
      <c r="L8" s="31" t="str">
        <f>IF($C8="","",VLOOKUP($C8,AMABat!$A$10:$BV$140,L$1,FALSE))</f>
        <v/>
      </c>
      <c r="M8" s="30" t="str">
        <f>IF($C8="","",VLOOKUP($C8,AMABat!$A$10:$BV$140,M$1,FALSE))</f>
        <v/>
      </c>
      <c r="N8" s="30" t="str">
        <f>IF($C8="","",VLOOKUP($C8,AMABat!$A$10:$BV$140,N$1,FALSE))</f>
        <v/>
      </c>
      <c r="O8" s="30" t="str">
        <f>IF($C8="","",VLOOKUP($C8,AMABat!$A$10:$BV$140,O$1,FALSE))</f>
        <v/>
      </c>
      <c r="P8" s="30" t="str">
        <f>IF($C8="","",VLOOKUP($C8,AMABat!$A$10:$BV$140,P$1,FALSE))</f>
        <v/>
      </c>
      <c r="Q8" s="30" t="str">
        <f>IF($C8="","",VLOOKUP($C8,AMABat!$A$10:$BV$140,Q$1,FALSE))</f>
        <v/>
      </c>
      <c r="R8" s="30" t="str">
        <f>IF($C8="","",VLOOKUP($C8,AMABat!$A$10:$BV$140,R$1,FALSE))</f>
        <v/>
      </c>
      <c r="S8" s="30" t="str">
        <f>IF($C8="","",VLOOKUP($C8,AMABat!$A$10:$BV$140,S$1,FALSE))</f>
        <v/>
      </c>
      <c r="T8" s="31" t="str">
        <f>IF($C8="","",VLOOKUP($C8,AMABat!$A$10:$BV$140,T$1,FALSE))</f>
        <v/>
      </c>
      <c r="U8" s="357" t="str">
        <f t="shared" si="4"/>
        <v/>
      </c>
      <c r="V8" s="349" t="str">
        <f t="shared" si="5"/>
        <v/>
      </c>
      <c r="W8" s="349" t="str">
        <f t="shared" si="6"/>
        <v/>
      </c>
      <c r="X8" s="349" t="str">
        <f t="shared" si="7"/>
        <v/>
      </c>
      <c r="Y8" s="349" t="str">
        <f t="shared" si="8"/>
        <v/>
      </c>
      <c r="Z8" s="349" t="str">
        <f t="shared" si="9"/>
        <v/>
      </c>
      <c r="AA8" s="349" t="str">
        <f t="shared" si="10"/>
        <v/>
      </c>
      <c r="AB8" s="349" t="str">
        <f t="shared" si="11"/>
        <v/>
      </c>
      <c r="AC8" s="350" t="str">
        <f t="shared" si="12"/>
        <v/>
      </c>
      <c r="AD8" s="30" t="str">
        <f>IF($C8="","",VLOOKUP($C8,AMABat!$A$10:$BV$140,AD$1,FALSE))</f>
        <v/>
      </c>
      <c r="AE8" s="30" t="str">
        <f>IF($C8="","",VLOOKUP($C8,AMABat!$A$10:$BV$140,AE$1,FALSE))</f>
        <v/>
      </c>
      <c r="AF8" s="30" t="str">
        <f>IF($C8="","",VLOOKUP($C8,AMABat!$A$10:$BV$140,AF$1,FALSE))</f>
        <v/>
      </c>
      <c r="AG8" s="30" t="str">
        <f>IF($C8="","",VLOOKUP($C8,AMABat!$A$10:$BV$140,AG$1,FALSE))</f>
        <v/>
      </c>
      <c r="AH8" s="30" t="str">
        <f>IF($C8="","",VLOOKUP($C8,AMABat!$A$10:$BV$140,AH$1,FALSE))</f>
        <v/>
      </c>
      <c r="AI8" s="51" t="str">
        <f>IF($C8="","",VLOOKUP($C8,AMABat!$A$10:$BV$140,AI$1,FALSE))</f>
        <v/>
      </c>
      <c r="AJ8" s="31" t="str">
        <f>IF($C8="","",VLOOKUP($C8,AMABat!$A$10:$BV$140,AJ$1,FALSE))</f>
        <v/>
      </c>
      <c r="AK8" s="60" t="str">
        <f t="shared" si="13"/>
        <v/>
      </c>
      <c r="AL8" s="357" t="str">
        <f t="shared" si="14"/>
        <v/>
      </c>
      <c r="AM8" s="349" t="str">
        <f t="shared" si="15"/>
        <v/>
      </c>
      <c r="AN8" s="349" t="str">
        <f t="shared" si="16"/>
        <v/>
      </c>
      <c r="AO8" s="349" t="str">
        <f t="shared" si="17"/>
        <v/>
      </c>
      <c r="AP8" s="349" t="str">
        <f t="shared" si="18"/>
        <v/>
      </c>
      <c r="AQ8" s="349" t="str">
        <f t="shared" si="19"/>
        <v/>
      </c>
      <c r="AR8" s="349" t="str">
        <f t="shared" si="20"/>
        <v/>
      </c>
      <c r="AS8" s="349" t="str">
        <f t="shared" si="21"/>
        <v/>
      </c>
      <c r="AT8" s="350" t="str">
        <f t="shared" si="22"/>
        <v/>
      </c>
      <c r="AU8" s="51" t="str">
        <f>IF($C8="","",VLOOKUP($C8,AMABat!$A$10:$BV$140,AU$1,FALSE))</f>
        <v/>
      </c>
      <c r="AV8" s="30" t="str">
        <f>IF($C8="","",VLOOKUP($C8,AMABat!$A$10:$BV$140,AV$1,FALSE))</f>
        <v/>
      </c>
      <c r="AW8" s="30" t="str">
        <f>IF($C8="","",VLOOKUP($C8,AMABat!$A$10:$BV$140,AW$1,FALSE))</f>
        <v/>
      </c>
      <c r="AX8" s="30" t="str">
        <f>IF($C8="","",VLOOKUP($C8,AMABat!$A$10:$BV$140,AX$1,FALSE))</f>
        <v/>
      </c>
      <c r="AY8" s="31" t="str">
        <f>IF($C8="","",VLOOKUP($C8,AMABat!$A$10:$BV$140,AY$1,FALSE))</f>
        <v/>
      </c>
      <c r="AZ8" s="60" t="str">
        <f t="shared" si="23"/>
        <v/>
      </c>
      <c r="BA8" s="60" t="str">
        <f t="shared" si="24"/>
        <v/>
      </c>
    </row>
    <row r="9" spans="1:53" x14ac:dyDescent="0.25">
      <c r="A9" s="305">
        <v>7</v>
      </c>
      <c r="B9" s="29" t="s">
        <v>80</v>
      </c>
      <c r="C9" s="58"/>
      <c r="D9" s="30" t="str">
        <f>IF($C9="","",VLOOKUP($C9,AMABat!$A$10:$BV$140,D$1,FALSE))</f>
        <v/>
      </c>
      <c r="E9" s="30" t="str">
        <f>IF($C9="","",VLOOKUP($C9,AMABat!$A$10:$BV$140,E$1,FALSE))</f>
        <v/>
      </c>
      <c r="F9" s="357" t="str">
        <f t="shared" si="0"/>
        <v/>
      </c>
      <c r="G9" s="349" t="str">
        <f t="shared" si="1"/>
        <v/>
      </c>
      <c r="H9" s="349" t="str">
        <f t="shared" si="2"/>
        <v/>
      </c>
      <c r="I9" s="349" t="str">
        <f t="shared" si="3"/>
        <v/>
      </c>
      <c r="J9" s="51" t="str">
        <f>IF($C9="","",VLOOKUP($C9,AMABat!$A$10:$BV$140,J$1,FALSE))</f>
        <v/>
      </c>
      <c r="K9" s="30" t="str">
        <f>IF($C9="","",VLOOKUP($C9,AMABat!$A$10:$BV$140,K$1,FALSE))</f>
        <v/>
      </c>
      <c r="L9" s="31" t="str">
        <f>IF($C9="","",VLOOKUP($C9,AMABat!$A$10:$BV$140,L$1,FALSE))</f>
        <v/>
      </c>
      <c r="M9" s="30" t="str">
        <f>IF($C9="","",VLOOKUP($C9,AMABat!$A$10:$BV$140,M$1,FALSE))</f>
        <v/>
      </c>
      <c r="N9" s="30" t="str">
        <f>IF($C9="","",VLOOKUP($C9,AMABat!$A$10:$BV$140,N$1,FALSE))</f>
        <v/>
      </c>
      <c r="O9" s="30" t="str">
        <f>IF($C9="","",VLOOKUP($C9,AMABat!$A$10:$BV$140,O$1,FALSE))</f>
        <v/>
      </c>
      <c r="P9" s="30" t="str">
        <f>IF($C9="","",VLOOKUP($C9,AMABat!$A$10:$BV$140,P$1,FALSE))</f>
        <v/>
      </c>
      <c r="Q9" s="30" t="str">
        <f>IF($C9="","",VLOOKUP($C9,AMABat!$A$10:$BV$140,Q$1,FALSE))</f>
        <v/>
      </c>
      <c r="R9" s="30" t="str">
        <f>IF($C9="","",VLOOKUP($C9,AMABat!$A$10:$BV$140,R$1,FALSE))</f>
        <v/>
      </c>
      <c r="S9" s="30" t="str">
        <f>IF($C9="","",VLOOKUP($C9,AMABat!$A$10:$BV$140,S$1,FALSE))</f>
        <v/>
      </c>
      <c r="T9" s="31" t="str">
        <f>IF($C9="","",VLOOKUP($C9,AMABat!$A$10:$BV$140,T$1,FALSE))</f>
        <v/>
      </c>
      <c r="U9" s="357" t="str">
        <f t="shared" si="4"/>
        <v/>
      </c>
      <c r="V9" s="349" t="str">
        <f t="shared" si="5"/>
        <v/>
      </c>
      <c r="W9" s="349" t="str">
        <f t="shared" si="6"/>
        <v/>
      </c>
      <c r="X9" s="349" t="str">
        <f t="shared" si="7"/>
        <v/>
      </c>
      <c r="Y9" s="349" t="str">
        <f t="shared" si="8"/>
        <v/>
      </c>
      <c r="Z9" s="349" t="str">
        <f t="shared" si="9"/>
        <v/>
      </c>
      <c r="AA9" s="349" t="str">
        <f t="shared" si="10"/>
        <v/>
      </c>
      <c r="AB9" s="349" t="str">
        <f t="shared" si="11"/>
        <v/>
      </c>
      <c r="AC9" s="350" t="str">
        <f t="shared" si="12"/>
        <v/>
      </c>
      <c r="AD9" s="30" t="str">
        <f>IF($C9="","",VLOOKUP($C9,AMABat!$A$10:$BV$140,AD$1,FALSE))</f>
        <v/>
      </c>
      <c r="AE9" s="30" t="str">
        <f>IF($C9="","",VLOOKUP($C9,AMABat!$A$10:$BV$140,AE$1,FALSE))</f>
        <v/>
      </c>
      <c r="AF9" s="30" t="str">
        <f>IF($C9="","",VLOOKUP($C9,AMABat!$A$10:$BV$140,AF$1,FALSE))</f>
        <v/>
      </c>
      <c r="AG9" s="30" t="str">
        <f>IF($C9="","",VLOOKUP($C9,AMABat!$A$10:$BV$140,AG$1,FALSE))</f>
        <v/>
      </c>
      <c r="AH9" s="30" t="str">
        <f>IF($C9="","",VLOOKUP($C9,AMABat!$A$10:$BV$140,AH$1,FALSE))</f>
        <v/>
      </c>
      <c r="AI9" s="51" t="str">
        <f>IF($C9="","",VLOOKUP($C9,AMABat!$A$10:$BV$140,AI$1,FALSE))</f>
        <v/>
      </c>
      <c r="AJ9" s="31" t="str">
        <f>IF($C9="","",VLOOKUP($C9,AMABat!$A$10:$BV$140,AJ$1,FALSE))</f>
        <v/>
      </c>
      <c r="AK9" s="60" t="str">
        <f t="shared" si="13"/>
        <v/>
      </c>
      <c r="AL9" s="357" t="str">
        <f t="shared" si="14"/>
        <v/>
      </c>
      <c r="AM9" s="349" t="str">
        <f t="shared" si="15"/>
        <v/>
      </c>
      <c r="AN9" s="349" t="str">
        <f t="shared" si="16"/>
        <v/>
      </c>
      <c r="AO9" s="349" t="str">
        <f t="shared" si="17"/>
        <v/>
      </c>
      <c r="AP9" s="349" t="str">
        <f t="shared" si="18"/>
        <v/>
      </c>
      <c r="AQ9" s="349" t="str">
        <f t="shared" si="19"/>
        <v/>
      </c>
      <c r="AR9" s="349" t="str">
        <f t="shared" si="20"/>
        <v/>
      </c>
      <c r="AS9" s="349" t="str">
        <f t="shared" si="21"/>
        <v/>
      </c>
      <c r="AT9" s="350" t="str">
        <f t="shared" si="22"/>
        <v/>
      </c>
      <c r="AU9" s="51" t="str">
        <f>IF($C9="","",VLOOKUP($C9,AMABat!$A$10:$BV$140,AU$1,FALSE))</f>
        <v/>
      </c>
      <c r="AV9" s="30" t="str">
        <f>IF($C9="","",VLOOKUP($C9,AMABat!$A$10:$BV$140,AV$1,FALSE))</f>
        <v/>
      </c>
      <c r="AW9" s="30" t="str">
        <f>IF($C9="","",VLOOKUP($C9,AMABat!$A$10:$BV$140,AW$1,FALSE))</f>
        <v/>
      </c>
      <c r="AX9" s="30" t="str">
        <f>IF($C9="","",VLOOKUP($C9,AMABat!$A$10:$BV$140,AX$1,FALSE))</f>
        <v/>
      </c>
      <c r="AY9" s="31" t="str">
        <f>IF($C9="","",VLOOKUP($C9,AMABat!$A$10:$BV$140,AY$1,FALSE))</f>
        <v/>
      </c>
      <c r="AZ9" s="60" t="str">
        <f t="shared" si="23"/>
        <v/>
      </c>
      <c r="BA9" s="60" t="str">
        <f t="shared" si="24"/>
        <v/>
      </c>
    </row>
    <row r="10" spans="1:53" x14ac:dyDescent="0.25">
      <c r="A10" s="305">
        <v>8</v>
      </c>
      <c r="B10" s="29" t="s">
        <v>80</v>
      </c>
      <c r="C10" s="58"/>
      <c r="D10" s="30" t="str">
        <f>IF($C10="","",VLOOKUP($C10,AMABat!$A$10:$BV$140,D$1,FALSE))</f>
        <v/>
      </c>
      <c r="E10" s="30" t="str">
        <f>IF($C10="","",VLOOKUP($C10,AMABat!$A$10:$BV$140,E$1,FALSE))</f>
        <v/>
      </c>
      <c r="F10" s="357" t="str">
        <f t="shared" si="0"/>
        <v/>
      </c>
      <c r="G10" s="349" t="str">
        <f t="shared" si="1"/>
        <v/>
      </c>
      <c r="H10" s="349" t="str">
        <f t="shared" si="2"/>
        <v/>
      </c>
      <c r="I10" s="349" t="str">
        <f t="shared" si="3"/>
        <v/>
      </c>
      <c r="J10" s="51" t="str">
        <f>IF($C10="","",VLOOKUP($C10,AMABat!$A$10:$BV$140,J$1,FALSE))</f>
        <v/>
      </c>
      <c r="K10" s="30" t="str">
        <f>IF($C10="","",VLOOKUP($C10,AMABat!$A$10:$BV$140,K$1,FALSE))</f>
        <v/>
      </c>
      <c r="L10" s="31" t="str">
        <f>IF($C10="","",VLOOKUP($C10,AMABat!$A$10:$BV$140,L$1,FALSE))</f>
        <v/>
      </c>
      <c r="M10" s="30" t="str">
        <f>IF($C10="","",VLOOKUP($C10,AMABat!$A$10:$BV$140,M$1,FALSE))</f>
        <v/>
      </c>
      <c r="N10" s="30" t="str">
        <f>IF($C10="","",VLOOKUP($C10,AMABat!$A$10:$BV$140,N$1,FALSE))</f>
        <v/>
      </c>
      <c r="O10" s="30" t="str">
        <f>IF($C10="","",VLOOKUP($C10,AMABat!$A$10:$BV$140,O$1,FALSE))</f>
        <v/>
      </c>
      <c r="P10" s="30" t="str">
        <f>IF($C10="","",VLOOKUP($C10,AMABat!$A$10:$BV$140,P$1,FALSE))</f>
        <v/>
      </c>
      <c r="Q10" s="30" t="str">
        <f>IF($C10="","",VLOOKUP($C10,AMABat!$A$10:$BV$140,Q$1,FALSE))</f>
        <v/>
      </c>
      <c r="R10" s="30" t="str">
        <f>IF($C10="","",VLOOKUP($C10,AMABat!$A$10:$BV$140,R$1,FALSE))</f>
        <v/>
      </c>
      <c r="S10" s="30" t="str">
        <f>IF($C10="","",VLOOKUP($C10,AMABat!$A$10:$BV$140,S$1,FALSE))</f>
        <v/>
      </c>
      <c r="T10" s="31" t="str">
        <f>IF($C10="","",VLOOKUP($C10,AMABat!$A$10:$BV$140,T$1,FALSE))</f>
        <v/>
      </c>
      <c r="U10" s="357" t="str">
        <f t="shared" si="4"/>
        <v/>
      </c>
      <c r="V10" s="349" t="str">
        <f t="shared" si="5"/>
        <v/>
      </c>
      <c r="W10" s="349" t="str">
        <f t="shared" si="6"/>
        <v/>
      </c>
      <c r="X10" s="349" t="str">
        <f t="shared" si="7"/>
        <v/>
      </c>
      <c r="Y10" s="349" t="str">
        <f t="shared" si="8"/>
        <v/>
      </c>
      <c r="Z10" s="349" t="str">
        <f t="shared" si="9"/>
        <v/>
      </c>
      <c r="AA10" s="349" t="str">
        <f t="shared" si="10"/>
        <v/>
      </c>
      <c r="AB10" s="349" t="str">
        <f t="shared" si="11"/>
        <v/>
      </c>
      <c r="AC10" s="350" t="str">
        <f t="shared" si="12"/>
        <v/>
      </c>
      <c r="AD10" s="30" t="str">
        <f>IF($C10="","",VLOOKUP($C10,AMABat!$A$10:$BV$140,AD$1,FALSE))</f>
        <v/>
      </c>
      <c r="AE10" s="30" t="str">
        <f>IF($C10="","",VLOOKUP($C10,AMABat!$A$10:$BV$140,AE$1,FALSE))</f>
        <v/>
      </c>
      <c r="AF10" s="30" t="str">
        <f>IF($C10="","",VLOOKUP($C10,AMABat!$A$10:$BV$140,AF$1,FALSE))</f>
        <v/>
      </c>
      <c r="AG10" s="30" t="str">
        <f>IF($C10="","",VLOOKUP($C10,AMABat!$A$10:$BV$140,AG$1,FALSE))</f>
        <v/>
      </c>
      <c r="AH10" s="30" t="str">
        <f>IF($C10="","",VLOOKUP($C10,AMABat!$A$10:$BV$140,AH$1,FALSE))</f>
        <v/>
      </c>
      <c r="AI10" s="51" t="str">
        <f>IF($C10="","",VLOOKUP($C10,AMABat!$A$10:$BV$140,AI$1,FALSE))</f>
        <v/>
      </c>
      <c r="AJ10" s="31" t="str">
        <f>IF($C10="","",VLOOKUP($C10,AMABat!$A$10:$BV$140,AJ$1,FALSE))</f>
        <v/>
      </c>
      <c r="AK10" s="60" t="str">
        <f t="shared" si="13"/>
        <v/>
      </c>
      <c r="AL10" s="357" t="str">
        <f t="shared" si="14"/>
        <v/>
      </c>
      <c r="AM10" s="349" t="str">
        <f t="shared" si="15"/>
        <v/>
      </c>
      <c r="AN10" s="349" t="str">
        <f t="shared" si="16"/>
        <v/>
      </c>
      <c r="AO10" s="349" t="str">
        <f t="shared" si="17"/>
        <v/>
      </c>
      <c r="AP10" s="349" t="str">
        <f t="shared" si="18"/>
        <v/>
      </c>
      <c r="AQ10" s="349" t="str">
        <f t="shared" si="19"/>
        <v/>
      </c>
      <c r="AR10" s="349" t="str">
        <f t="shared" si="20"/>
        <v/>
      </c>
      <c r="AS10" s="349" t="str">
        <f t="shared" si="21"/>
        <v/>
      </c>
      <c r="AT10" s="350" t="str">
        <f t="shared" si="22"/>
        <v/>
      </c>
      <c r="AU10" s="51" t="str">
        <f>IF($C10="","",VLOOKUP($C10,AMABat!$A$10:$BV$140,AU$1,FALSE))</f>
        <v/>
      </c>
      <c r="AV10" s="30" t="str">
        <f>IF($C10="","",VLOOKUP($C10,AMABat!$A$10:$BV$140,AV$1,FALSE))</f>
        <v/>
      </c>
      <c r="AW10" s="30" t="str">
        <f>IF($C10="","",VLOOKUP($C10,AMABat!$A$10:$BV$140,AW$1,FALSE))</f>
        <v/>
      </c>
      <c r="AX10" s="30" t="str">
        <f>IF($C10="","",VLOOKUP($C10,AMABat!$A$10:$BV$140,AX$1,FALSE))</f>
        <v/>
      </c>
      <c r="AY10" s="31" t="str">
        <f>IF($C10="","",VLOOKUP($C10,AMABat!$A$10:$BV$140,AY$1,FALSE))</f>
        <v/>
      </c>
      <c r="AZ10" s="60" t="str">
        <f t="shared" si="23"/>
        <v/>
      </c>
      <c r="BA10" s="60" t="str">
        <f t="shared" si="24"/>
        <v/>
      </c>
    </row>
    <row r="11" spans="1:53" x14ac:dyDescent="0.25">
      <c r="A11" s="305">
        <v>9</v>
      </c>
      <c r="B11" s="32" t="s">
        <v>80</v>
      </c>
      <c r="C11" s="33"/>
      <c r="D11" s="33" t="str">
        <f>IF($C11="","",VLOOKUP($C11,AMABat!$A$10:$BV$140,D$1,FALSE))</f>
        <v/>
      </c>
      <c r="E11" s="33" t="str">
        <f>IF($C11="","",VLOOKUP($C11,AMABat!$A$10:$BV$140,E$1,FALSE))</f>
        <v/>
      </c>
      <c r="F11" s="47" t="str">
        <f t="shared" si="0"/>
        <v/>
      </c>
      <c r="G11" s="351" t="str">
        <f t="shared" si="1"/>
        <v/>
      </c>
      <c r="H11" s="351" t="str">
        <f t="shared" si="2"/>
        <v/>
      </c>
      <c r="I11" s="351" t="str">
        <f t="shared" si="3"/>
        <v/>
      </c>
      <c r="J11" s="52" t="str">
        <f>IF($C11="","",VLOOKUP($C11,AMABat!$A$10:$BV$140,J$1,FALSE))</f>
        <v/>
      </c>
      <c r="K11" s="33" t="str">
        <f>IF($C11="","",VLOOKUP($C11,AMABat!$A$10:$BV$140,K$1,FALSE))</f>
        <v/>
      </c>
      <c r="L11" s="35" t="str">
        <f>IF($C11="","",VLOOKUP($C11,AMABat!$A$10:$BV$140,L$1,FALSE))</f>
        <v/>
      </c>
      <c r="M11" s="33" t="str">
        <f>IF($C11="","",VLOOKUP($C11,AMABat!$A$10:$BV$140,M$1,FALSE))</f>
        <v/>
      </c>
      <c r="N11" s="33" t="str">
        <f>IF($C11="","",VLOOKUP($C11,AMABat!$A$10:$BV$140,N$1,FALSE))</f>
        <v/>
      </c>
      <c r="O11" s="33" t="str">
        <f>IF($C11="","",VLOOKUP($C11,AMABat!$A$10:$BV$140,O$1,FALSE))</f>
        <v/>
      </c>
      <c r="P11" s="33" t="str">
        <f>IF($C11="","",VLOOKUP($C11,AMABat!$A$10:$BV$140,P$1,FALSE))</f>
        <v/>
      </c>
      <c r="Q11" s="33" t="str">
        <f>IF($C11="","",VLOOKUP($C11,AMABat!$A$10:$BV$140,Q$1,FALSE))</f>
        <v/>
      </c>
      <c r="R11" s="33" t="str">
        <f>IF($C11="","",VLOOKUP($C11,AMABat!$A$10:$BV$140,R$1,FALSE))</f>
        <v/>
      </c>
      <c r="S11" s="33" t="str">
        <f>IF($C11="","",VLOOKUP($C11,AMABat!$A$10:$BV$140,S$1,FALSE))</f>
        <v/>
      </c>
      <c r="T11" s="35" t="str">
        <f>IF($C11="","",VLOOKUP($C11,AMABat!$A$10:$BV$140,T$1,FALSE))</f>
        <v/>
      </c>
      <c r="U11" s="47" t="str">
        <f t="shared" si="4"/>
        <v/>
      </c>
      <c r="V11" s="351" t="str">
        <f t="shared" si="5"/>
        <v/>
      </c>
      <c r="W11" s="351" t="str">
        <f t="shared" si="6"/>
        <v/>
      </c>
      <c r="X11" s="351" t="str">
        <f t="shared" si="7"/>
        <v/>
      </c>
      <c r="Y11" s="351" t="str">
        <f t="shared" si="8"/>
        <v/>
      </c>
      <c r="Z11" s="351" t="str">
        <f t="shared" si="9"/>
        <v/>
      </c>
      <c r="AA11" s="351" t="str">
        <f t="shared" si="10"/>
        <v/>
      </c>
      <c r="AB11" s="351" t="str">
        <f t="shared" si="11"/>
        <v/>
      </c>
      <c r="AC11" s="352" t="str">
        <f t="shared" si="12"/>
        <v/>
      </c>
      <c r="AD11" s="33" t="str">
        <f>IF($C11="","",VLOOKUP($C11,AMABat!$A$10:$BV$140,AD$1,FALSE))</f>
        <v/>
      </c>
      <c r="AE11" s="33" t="str">
        <f>IF($C11="","",VLOOKUP($C11,AMABat!$A$10:$BV$140,AE$1,FALSE))</f>
        <v/>
      </c>
      <c r="AF11" s="33" t="str">
        <f>IF($C11="","",VLOOKUP($C11,AMABat!$A$10:$BV$140,AF$1,FALSE))</f>
        <v/>
      </c>
      <c r="AG11" s="33" t="str">
        <f>IF($C11="","",VLOOKUP($C11,AMABat!$A$10:$BV$140,AG$1,FALSE))</f>
        <v/>
      </c>
      <c r="AH11" s="33" t="str">
        <f>IF($C11="","",VLOOKUP($C11,AMABat!$A$10:$BV$140,AH$1,FALSE))</f>
        <v/>
      </c>
      <c r="AI11" s="52" t="str">
        <f>IF($C11="","",VLOOKUP($C11,AMABat!$A$10:$BV$140,AI$1,FALSE))</f>
        <v/>
      </c>
      <c r="AJ11" s="35" t="str">
        <f>IF($C11="","",VLOOKUP($C11,AMABat!$A$10:$BV$140,AJ$1,FALSE))</f>
        <v/>
      </c>
      <c r="AK11" s="61" t="str">
        <f t="shared" si="13"/>
        <v/>
      </c>
      <c r="AL11" s="47" t="str">
        <f t="shared" si="14"/>
        <v/>
      </c>
      <c r="AM11" s="351" t="str">
        <f t="shared" si="15"/>
        <v/>
      </c>
      <c r="AN11" s="351" t="str">
        <f t="shared" si="16"/>
        <v/>
      </c>
      <c r="AO11" s="351" t="str">
        <f t="shared" si="17"/>
        <v/>
      </c>
      <c r="AP11" s="351" t="str">
        <f t="shared" si="18"/>
        <v/>
      </c>
      <c r="AQ11" s="351" t="str">
        <f t="shared" si="19"/>
        <v/>
      </c>
      <c r="AR11" s="351" t="str">
        <f t="shared" si="20"/>
        <v/>
      </c>
      <c r="AS11" s="351" t="str">
        <f t="shared" si="21"/>
        <v/>
      </c>
      <c r="AT11" s="352" t="str">
        <f t="shared" si="22"/>
        <v/>
      </c>
      <c r="AU11" s="52" t="str">
        <f>IF($C11="","",VLOOKUP($C11,AMABat!$A$10:$BV$140,AU$1,FALSE))</f>
        <v/>
      </c>
      <c r="AV11" s="33" t="str">
        <f>IF($C11="","",VLOOKUP($C11,AMABat!$A$10:$BV$140,AV$1,FALSE))</f>
        <v/>
      </c>
      <c r="AW11" s="33" t="str">
        <f>IF($C11="","",VLOOKUP($C11,AMABat!$A$10:$BV$140,AW$1,FALSE))</f>
        <v/>
      </c>
      <c r="AX11" s="33" t="str">
        <f>IF($C11="","",VLOOKUP($C11,AMABat!$A$10:$BV$140,AX$1,FALSE))</f>
        <v/>
      </c>
      <c r="AY11" s="35" t="str">
        <f>IF($C11="","",VLOOKUP($C11,AMABat!$A$10:$BV$140,AY$1,FALSE))</f>
        <v/>
      </c>
      <c r="AZ11" s="61" t="str">
        <f t="shared" si="23"/>
        <v/>
      </c>
      <c r="BA11" s="61" t="str">
        <f t="shared" si="24"/>
        <v/>
      </c>
    </row>
    <row r="13" spans="1:53" s="17" customFormat="1" ht="196.5" x14ac:dyDescent="0.25">
      <c r="A13" s="18" t="s">
        <v>170</v>
      </c>
      <c r="B13" s="353" t="s">
        <v>103</v>
      </c>
      <c r="C13" s="37" t="str">
        <f>"Player ("&amp;COUNTA(C14:C19)&amp;")"</f>
        <v>Player (4)</v>
      </c>
      <c r="D13" s="37" t="s">
        <v>70</v>
      </c>
      <c r="E13" s="37" t="s">
        <v>80</v>
      </c>
      <c r="F13" s="44" t="str">
        <f>"Only 1 guy who only plays 2B ("&amp;SUM(F14:F19)&amp;")"</f>
        <v>Only 1 guy who only plays 2B (0)</v>
      </c>
      <c r="G13" s="39" t="str">
        <f>"2 Guys Who Play SS ("&amp;SUM(G14:G19)&amp;")"</f>
        <v>2 Guys Who Play SS (3)</v>
      </c>
      <c r="H13" s="39" t="str">
        <f>"2 guys with 3B arm ("&amp;SUM(H14:H19)&amp;")"</f>
        <v>2 guys with 3B arm (1)</v>
      </c>
      <c r="I13" s="42" t="s">
        <v>32</v>
      </c>
      <c r="J13" s="40" t="s">
        <v>114</v>
      </c>
      <c r="K13" s="40" t="s">
        <v>112</v>
      </c>
      <c r="L13" s="40" t="s">
        <v>113</v>
      </c>
      <c r="M13" s="56" t="s">
        <v>71</v>
      </c>
      <c r="N13" s="41" t="s">
        <v>73</v>
      </c>
      <c r="O13" s="41" t="s">
        <v>74</v>
      </c>
      <c r="P13" s="41" t="s">
        <v>75</v>
      </c>
      <c r="Q13" s="41" t="s">
        <v>76</v>
      </c>
      <c r="R13" s="41" t="s">
        <v>77</v>
      </c>
      <c r="S13" s="41" t="s">
        <v>78</v>
      </c>
      <c r="T13" s="42" t="s">
        <v>79</v>
      </c>
      <c r="U13" s="38" t="s">
        <v>115</v>
      </c>
      <c r="V13" s="38" t="s">
        <v>158</v>
      </c>
      <c r="W13" s="38" t="s">
        <v>116</v>
      </c>
      <c r="X13" s="38" t="s">
        <v>117</v>
      </c>
      <c r="Y13" s="38" t="s">
        <v>118</v>
      </c>
      <c r="Z13" s="38" t="s">
        <v>119</v>
      </c>
      <c r="AA13" s="38" t="s">
        <v>120</v>
      </c>
      <c r="AB13" s="38" t="s">
        <v>122</v>
      </c>
      <c r="AC13" s="38" t="s">
        <v>121</v>
      </c>
      <c r="AD13" s="56" t="s">
        <v>125</v>
      </c>
      <c r="AE13" s="41" t="s">
        <v>126</v>
      </c>
      <c r="AF13" s="41" t="s">
        <v>127</v>
      </c>
      <c r="AG13" s="41" t="s">
        <v>128</v>
      </c>
      <c r="AH13" s="41" t="s">
        <v>21</v>
      </c>
      <c r="AI13" s="41" t="s">
        <v>129</v>
      </c>
      <c r="AJ13" s="42" t="s">
        <v>130</v>
      </c>
      <c r="AK13" s="59" t="s">
        <v>134</v>
      </c>
      <c r="AL13" s="38" t="s">
        <v>115</v>
      </c>
      <c r="AM13" s="38" t="s">
        <v>158</v>
      </c>
      <c r="AN13" s="38" t="s">
        <v>116</v>
      </c>
      <c r="AO13" s="38" t="s">
        <v>117</v>
      </c>
      <c r="AP13" s="38" t="s">
        <v>118</v>
      </c>
      <c r="AQ13" s="38" t="s">
        <v>119</v>
      </c>
      <c r="AR13" s="38" t="s">
        <v>120</v>
      </c>
      <c r="AS13" s="38" t="s">
        <v>122</v>
      </c>
      <c r="AT13" s="38" t="s">
        <v>121</v>
      </c>
      <c r="AU13" s="56" t="s">
        <v>125</v>
      </c>
      <c r="AV13" s="41" t="s">
        <v>126</v>
      </c>
      <c r="AW13" s="41" t="s">
        <v>127</v>
      </c>
      <c r="AX13" s="41" t="s">
        <v>128</v>
      </c>
      <c r="AY13" s="42" t="s">
        <v>21</v>
      </c>
      <c r="AZ13" s="59" t="s">
        <v>174</v>
      </c>
      <c r="BA13" s="364" t="s">
        <v>538</v>
      </c>
    </row>
    <row r="14" spans="1:53" x14ac:dyDescent="0.25">
      <c r="A14" s="305">
        <v>1</v>
      </c>
      <c r="B14" s="29" t="s">
        <v>74</v>
      </c>
      <c r="C14" s="58" t="s">
        <v>1166</v>
      </c>
      <c r="D14" s="30">
        <f>IF($C14="","",VLOOKUP($C14,AMABat!$A$10:$BV$140,D$1,FALSE))</f>
        <v>19</v>
      </c>
      <c r="E14" s="26" t="str">
        <f>IF($C14="","",VLOOKUP($C14,AMABat!$A$10:$BV$140,E$1,FALSE))</f>
        <v>R</v>
      </c>
      <c r="F14" s="357">
        <f t="shared" ref="F14:F19" si="25">IF($C14="","",IF(AND(O14&gt;0,O14=SUM(M14:T14)),1,0))</f>
        <v>0</v>
      </c>
      <c r="G14" s="349">
        <f t="shared" ref="G14:G19" si="26">IF($C14="","",IF(Q14&lt;&gt;"-",1,0))</f>
        <v>0</v>
      </c>
      <c r="H14" s="349">
        <f t="shared" ref="H14:H19" si="27">IF($C14="","",IF(AND(K14&gt;5,P14&lt;&gt;"-"),1,0))</f>
        <v>0</v>
      </c>
      <c r="I14" s="350" t="str">
        <f t="shared" ref="I14:I19" si="28">IF($C14="","","-")</f>
        <v>-</v>
      </c>
      <c r="J14" s="30">
        <f>IF($C14="","",VLOOKUP($C14,AMABat!$A$10:$BV$140,J$1,FALSE))</f>
        <v>1</v>
      </c>
      <c r="K14" s="30">
        <f>IF($C14="","",VLOOKUP($C14,AMABat!$A$10:$BV$140,K$1,FALSE))</f>
        <v>4</v>
      </c>
      <c r="L14" s="30">
        <f>IF($C14="","",VLOOKUP($C14,AMABat!$A$10:$BV$140,L$1,FALSE))</f>
        <v>3</v>
      </c>
      <c r="M14" s="51" t="str">
        <f>IF($C14="","",VLOOKUP($C14,AMABat!$A$10:$BV$140,M$1,FALSE))</f>
        <v>-</v>
      </c>
      <c r="N14" s="30" t="str">
        <f>IF($C14="","",VLOOKUP($C14,AMABat!$A$10:$BV$140,N$1,FALSE))</f>
        <v>-</v>
      </c>
      <c r="O14" s="30" t="str">
        <f>IF($C14="","",VLOOKUP($C14,AMABat!$A$10:$BV$140,O$1,FALSE))</f>
        <v>-</v>
      </c>
      <c r="P14" s="30">
        <f>IF($C14="","",VLOOKUP($C14,AMABat!$A$10:$BV$140,P$1,FALSE))</f>
        <v>4</v>
      </c>
      <c r="Q14" s="30" t="str">
        <f>IF($C14="","",VLOOKUP($C14,AMABat!$A$10:$BV$140,Q$1,FALSE))</f>
        <v>-</v>
      </c>
      <c r="R14" s="30">
        <f>IF($C14="","",VLOOKUP($C14,AMABat!$A$10:$BV$140,R$1,FALSE))</f>
        <v>2</v>
      </c>
      <c r="S14" s="30" t="str">
        <f>IF($C14="","",VLOOKUP($C14,AMABat!$A$10:$BV$140,S$1,FALSE))</f>
        <v>-</v>
      </c>
      <c r="T14" s="31" t="str">
        <f>IF($C14="","",VLOOKUP($C14,AMABat!$A$10:$BV$140,T$1,FALSE))</f>
        <v>-</v>
      </c>
      <c r="U14" s="349">
        <f t="shared" ref="U14:U15" si="29">IF($C14="","",IF(OR(AD14+AG14&gt;14,AND(OR(AD14+AG14&gt;12,AND(AD14&gt;6,AG14&gt;6)),AI14&gt;6,OR(AJ14&gt;=AI14,AJ14&gt;6))),1,0))</f>
        <v>0</v>
      </c>
      <c r="V14" s="349">
        <f t="shared" ref="V14:V19" si="30">IF($C14="","",IF(OR(AND(AD14&gt;6,AH14&gt;6),AD14+AG14&gt;12),1,0))</f>
        <v>0</v>
      </c>
      <c r="W14" s="349">
        <f t="shared" ref="W14:W19" si="31">IF($C14="","",IF(AND(AD14&gt;6,AF14&gt;6,AG14&gt;6),1,0))</f>
        <v>0</v>
      </c>
      <c r="X14" s="349">
        <f t="shared" ref="X14:X19" si="32">IF($C14="","",IF(AND(AF14&gt;7,OR(AD14&gt;6,AG14&gt;6)),1,0))</f>
        <v>0</v>
      </c>
      <c r="Y14" s="349">
        <f t="shared" ref="Y14:Y19" si="33">IF($C14="","",IF(AND(AF14&gt;6,OR(AD14&gt;6,AG14&gt;6)),1,0))</f>
        <v>0</v>
      </c>
      <c r="Z14" s="349">
        <f t="shared" ref="Z14:Z19" si="34">IF($C14="","",IF(AND(OR(AD14&gt;6,AF14&gt;6),OR(AD14&gt;6,AG14&gt;6)),1,0))</f>
        <v>0</v>
      </c>
      <c r="AA14" s="349">
        <f t="shared" ref="AA14:AA19" si="35">IF($C14="","",IF(AND(AD14&gt;4,OR(AD14&gt;6,AF14&gt;6,AG14&gt;6)),1,0))</f>
        <v>0</v>
      </c>
      <c r="AB14" s="349">
        <f t="shared" ref="AB14:AB19" si="36">IF($C14="","",IF(AND(AD14&gt;4,OR(AD14&gt;6,AE14&gt;6,AF14&gt;6,AG14&gt;6)),1,0))</f>
        <v>0</v>
      </c>
      <c r="AC14" s="349">
        <f t="shared" ref="AC14:AC19" si="37">IF($C14="","",IF(AND(AD14&gt;4,MAX(AD14:AH14)&gt;6),1,0))</f>
        <v>0</v>
      </c>
      <c r="AD14" s="51">
        <f>IF($C14="","",VLOOKUP($C14,AMABat!$A$10:$BV$140,AD$1,FALSE))</f>
        <v>4</v>
      </c>
      <c r="AE14" s="30">
        <f>IF($C14="","",VLOOKUP($C14,AMABat!$A$10:$BV$140,AE$1,FALSE))</f>
        <v>7</v>
      </c>
      <c r="AF14" s="30">
        <f>IF($C14="","",VLOOKUP($C14,AMABat!$A$10:$BV$140,AF$1,FALSE))</f>
        <v>4</v>
      </c>
      <c r="AG14" s="30">
        <f>IF($C14="","",VLOOKUP($C14,AMABat!$A$10:$BV$140,AG$1,FALSE))</f>
        <v>3</v>
      </c>
      <c r="AH14" s="30">
        <f>IF($C14="","",VLOOKUP($C14,AMABat!$A$10:$BV$140,AH$1,FALSE))</f>
        <v>4</v>
      </c>
      <c r="AI14" s="30" t="str">
        <f>IF($C14="","",VLOOKUP($C14,AMABat!$A$10:$BV$140,AI$1,FALSE))</f>
        <v>-</v>
      </c>
      <c r="AJ14" s="31">
        <f>IF($C14="","",VLOOKUP($C14,AMABat!$A$10:$BV$140,AJ$1,FALSE))</f>
        <v>9</v>
      </c>
      <c r="AK14" s="60">
        <f t="shared" ref="AK14:AK19" si="38">IF($C14="","",(5*AD14+4*AF14+3*AG14+2*AE14+1*AH14+0.5*(AVERAGE(AD14:AE14))+0.5*AVERAGE(AD14,AH14)+1*(AVERAGE(AD14,AF14))+1*AVERAGE(AD14,AG14))/(5+4+3+2+1+0.5+0.5+1+1))</f>
        <v>4.1805555555555554</v>
      </c>
      <c r="AL14" s="349">
        <f t="shared" ref="AL14:AL19" si="39">IF($C14="","",IF(AND(OR(AU14+AX14&gt;12,AND(AU14&gt;6,AX14&gt;6)),AI14&gt;6,OR(AJ14&gt;=AI14,AJ14&gt;6)),1,0))</f>
        <v>0</v>
      </c>
      <c r="AM14" s="349">
        <f t="shared" ref="AM14:AM19" si="40">IF($C14="","",IF(OR(AND(AU14&gt;6,AY14&gt;6),AU14+AX14&gt;12),1,0))</f>
        <v>0</v>
      </c>
      <c r="AN14" s="349">
        <f t="shared" ref="AN14:AN19" si="41">IF($C14="","",IF(AND(AU14&gt;6,AW14&gt;6,AX14&gt;6),1,0))</f>
        <v>0</v>
      </c>
      <c r="AO14" s="349">
        <f t="shared" ref="AO14:AO19" si="42">IF($C14="","",IF(AND(AW14&gt;7,OR(AU14&gt;6,AX14&gt;6)),1,0))</f>
        <v>0</v>
      </c>
      <c r="AP14" s="349">
        <f t="shared" ref="AP14:AP19" si="43">IF($C14="","",IF(AND(AW14&gt;6,OR(AU14&gt;6,AX14&gt;6)),1,0))</f>
        <v>0</v>
      </c>
      <c r="AQ14" s="349">
        <f t="shared" ref="AQ14:AQ19" si="44">IF($C14="","",IF(AND(OR(AU14&gt;6,AW14&gt;6),OR(AU14&gt;6,AX14&gt;6)),1,0))</f>
        <v>1</v>
      </c>
      <c r="AR14" s="349">
        <f t="shared" ref="AR14:AR19" si="45">IF($C14="","",IF(AND(AU14&gt;4,OR(AU14&gt;6,AW14&gt;6,AX14&gt;6)),1,0))</f>
        <v>1</v>
      </c>
      <c r="AS14" s="349">
        <f t="shared" ref="AS14:AS19" si="46">IF($C14="","",IF(AND(AU14&gt;4,OR(AU14&gt;6,AV14&gt;6,AW14&gt;6,AX14&gt;6)),1,0))</f>
        <v>1</v>
      </c>
      <c r="AT14" s="349">
        <f t="shared" ref="AT14:AT19" si="47">IF($C14="","",IF(AND(AU14&gt;4,MAX(AU14:AY14)&gt;6),1,0))</f>
        <v>1</v>
      </c>
      <c r="AU14" s="51">
        <f>IF($C14="","",VLOOKUP($C14,AMABat!$A$10:$BV$140,AU$1,FALSE))</f>
        <v>7</v>
      </c>
      <c r="AV14" s="30">
        <f>IF($C14="","",VLOOKUP($C14,AMABat!$A$10:$BV$140,AV$1,FALSE))</f>
        <v>8</v>
      </c>
      <c r="AW14" s="30">
        <f>IF($C14="","",VLOOKUP($C14,AMABat!$A$10:$BV$140,AW$1,FALSE))</f>
        <v>6</v>
      </c>
      <c r="AX14" s="30">
        <f>IF($C14="","",VLOOKUP($C14,AMABat!$A$10:$BV$140,AX$1,FALSE))</f>
        <v>5</v>
      </c>
      <c r="AY14" s="31">
        <f>IF($C14="","",VLOOKUP($C14,AMABat!$A$10:$BV$140,AY$1,FALSE))</f>
        <v>6</v>
      </c>
      <c r="AZ14" s="60">
        <f t="shared" ref="AZ14:AZ19" si="48">IF($C14="","",(5*AU14+4*AW14+3*AX14+2*AV14+1*AY14+0.5*(AVERAGE(AU14:AV14))+0.5*AVERAGE(AU14,AY14)+1*(AVERAGE(AU14,AW14))+1*AVERAGE(AU14,AX14))/(5+4+3+2+1+0.5+0.5+1+1))</f>
        <v>6.416666666666667</v>
      </c>
      <c r="BA14" s="60">
        <f t="shared" ref="BA14:BA17" si="49">IF(C14="","",AZ14-AK14)</f>
        <v>2.2361111111111116</v>
      </c>
    </row>
    <row r="15" spans="1:53" x14ac:dyDescent="0.25">
      <c r="A15" s="305">
        <v>2</v>
      </c>
      <c r="B15" s="29" t="s">
        <v>75</v>
      </c>
      <c r="C15" s="58" t="s">
        <v>1036</v>
      </c>
      <c r="D15" s="30">
        <f>IF($C15="","",VLOOKUP($C15,AMABat!$A$10:$BV$140,D$1,FALSE))</f>
        <v>25</v>
      </c>
      <c r="E15" s="30" t="str">
        <f>IF($C15="","",VLOOKUP($C15,AMABat!$A$10:$BV$140,E$1,FALSE))</f>
        <v>S</v>
      </c>
      <c r="F15" s="357">
        <f t="shared" si="25"/>
        <v>0</v>
      </c>
      <c r="G15" s="349">
        <f t="shared" si="26"/>
        <v>1</v>
      </c>
      <c r="H15" s="349">
        <f t="shared" si="27"/>
        <v>0</v>
      </c>
      <c r="I15" s="350" t="str">
        <f t="shared" si="28"/>
        <v>-</v>
      </c>
      <c r="J15" s="30">
        <f>IF($C15="","",VLOOKUP($C15,AMABat!$A$10:$BV$140,J$1,FALSE))</f>
        <v>1</v>
      </c>
      <c r="K15" s="30">
        <f>IF($C15="","",VLOOKUP($C15,AMABat!$A$10:$BV$140,K$1,FALSE))</f>
        <v>10</v>
      </c>
      <c r="L15" s="30">
        <f>IF($C15="","",VLOOKUP($C15,AMABat!$A$10:$BV$140,L$1,FALSE))</f>
        <v>10</v>
      </c>
      <c r="M15" s="51" t="str">
        <f>IF($C15="","",VLOOKUP($C15,AMABat!$A$10:$BV$140,M$1,FALSE))</f>
        <v>-</v>
      </c>
      <c r="N15" s="30" t="str">
        <f>IF($C15="","",VLOOKUP($C15,AMABat!$A$10:$BV$140,N$1,FALSE))</f>
        <v>-</v>
      </c>
      <c r="O15" s="30" t="str">
        <f>IF($C15="","",VLOOKUP($C15,AMABat!$A$10:$BV$140,O$1,FALSE))</f>
        <v>-</v>
      </c>
      <c r="P15" s="30" t="str">
        <f>IF($C15="","",VLOOKUP($C15,AMABat!$A$10:$BV$140,P$1,FALSE))</f>
        <v>-</v>
      </c>
      <c r="Q15" s="30">
        <f>IF($C15="","",VLOOKUP($C15,AMABat!$A$10:$BV$140,Q$1,FALSE))</f>
        <v>7</v>
      </c>
      <c r="R15" s="30" t="str">
        <f>IF($C15="","",VLOOKUP($C15,AMABat!$A$10:$BV$140,R$1,FALSE))</f>
        <v>-</v>
      </c>
      <c r="S15" s="30">
        <f>IF($C15="","",VLOOKUP($C15,AMABat!$A$10:$BV$140,S$1,FALSE))</f>
        <v>4</v>
      </c>
      <c r="T15" s="31" t="str">
        <f>IF($C15="","",VLOOKUP($C15,AMABat!$A$10:$BV$140,T$1,FALSE))</f>
        <v>-</v>
      </c>
      <c r="U15" s="349">
        <f t="shared" si="29"/>
        <v>0</v>
      </c>
      <c r="V15" s="349">
        <f t="shared" si="30"/>
        <v>0</v>
      </c>
      <c r="W15" s="349">
        <f t="shared" si="31"/>
        <v>0</v>
      </c>
      <c r="X15" s="349">
        <f t="shared" si="32"/>
        <v>0</v>
      </c>
      <c r="Y15" s="349">
        <f t="shared" si="33"/>
        <v>0</v>
      </c>
      <c r="Z15" s="349">
        <f t="shared" si="34"/>
        <v>0</v>
      </c>
      <c r="AA15" s="349">
        <f t="shared" si="35"/>
        <v>0</v>
      </c>
      <c r="AB15" s="349">
        <f t="shared" si="36"/>
        <v>1</v>
      </c>
      <c r="AC15" s="349">
        <f t="shared" si="37"/>
        <v>1</v>
      </c>
      <c r="AD15" s="51">
        <f>IF($C15="","",VLOOKUP($C15,AMABat!$A$10:$BV$140,AD$1,FALSE))</f>
        <v>5</v>
      </c>
      <c r="AE15" s="30">
        <f>IF($C15="","",VLOOKUP($C15,AMABat!$A$10:$BV$140,AE$1,FALSE))</f>
        <v>7</v>
      </c>
      <c r="AF15" s="30">
        <f>IF($C15="","",VLOOKUP($C15,AMABat!$A$10:$BV$140,AF$1,FALSE))</f>
        <v>6</v>
      </c>
      <c r="AG15" s="30">
        <f>IF($C15="","",VLOOKUP($C15,AMABat!$A$10:$BV$140,AG$1,FALSE))</f>
        <v>5</v>
      </c>
      <c r="AH15" s="30">
        <f>IF($C15="","",VLOOKUP($C15,AMABat!$A$10:$BV$140,AH$1,FALSE))</f>
        <v>5</v>
      </c>
      <c r="AI15" s="30" t="str">
        <f>IF($C15="","",VLOOKUP($C15,AMABat!$A$10:$BV$140,AI$1,FALSE))</f>
        <v>-</v>
      </c>
      <c r="AJ15" s="31">
        <f>IF($C15="","",VLOOKUP($C15,AMABat!$A$10:$BV$140,AJ$1,FALSE))</f>
        <v>3</v>
      </c>
      <c r="AK15" s="60">
        <f t="shared" si="38"/>
        <v>5.5</v>
      </c>
      <c r="AL15" s="349">
        <f t="shared" si="39"/>
        <v>0</v>
      </c>
      <c r="AM15" s="349">
        <f t="shared" si="40"/>
        <v>0</v>
      </c>
      <c r="AN15" s="349">
        <f t="shared" si="41"/>
        <v>0</v>
      </c>
      <c r="AO15" s="349">
        <f t="shared" si="42"/>
        <v>0</v>
      </c>
      <c r="AP15" s="349">
        <f t="shared" si="43"/>
        <v>0</v>
      </c>
      <c r="AQ15" s="349">
        <f t="shared" si="44"/>
        <v>0</v>
      </c>
      <c r="AR15" s="349">
        <f t="shared" si="45"/>
        <v>0</v>
      </c>
      <c r="AS15" s="349">
        <f t="shared" si="46"/>
        <v>1</v>
      </c>
      <c r="AT15" s="349">
        <f t="shared" si="47"/>
        <v>1</v>
      </c>
      <c r="AU15" s="51">
        <f>IF($C15="","",VLOOKUP($C15,AMABat!$A$10:$BV$140,AU$1,FALSE))</f>
        <v>5</v>
      </c>
      <c r="AV15" s="30">
        <f>IF($C15="","",VLOOKUP($C15,AMABat!$A$10:$BV$140,AV$1,FALSE))</f>
        <v>7</v>
      </c>
      <c r="AW15" s="30">
        <f>IF($C15="","",VLOOKUP($C15,AMABat!$A$10:$BV$140,AW$1,FALSE))</f>
        <v>6</v>
      </c>
      <c r="AX15" s="30">
        <f>IF($C15="","",VLOOKUP($C15,AMABat!$A$10:$BV$140,AX$1,FALSE))</f>
        <v>5</v>
      </c>
      <c r="AY15" s="31">
        <f>IF($C15="","",VLOOKUP($C15,AMABat!$A$10:$BV$140,AY$1,FALSE))</f>
        <v>5</v>
      </c>
      <c r="AZ15" s="60">
        <f t="shared" si="48"/>
        <v>5.5</v>
      </c>
      <c r="BA15" s="60">
        <f t="shared" si="49"/>
        <v>0</v>
      </c>
    </row>
    <row r="16" spans="1:53" x14ac:dyDescent="0.25">
      <c r="A16" s="305">
        <v>3</v>
      </c>
      <c r="B16" s="29" t="s">
        <v>76</v>
      </c>
      <c r="C16" s="30" t="s">
        <v>1163</v>
      </c>
      <c r="D16" s="30">
        <f>IF($C16="","",VLOOKUP($C16,AMABat!$A$10:$BV$140,D$1,FALSE))</f>
        <v>20</v>
      </c>
      <c r="E16" s="30" t="str">
        <f>IF($C16="","",VLOOKUP($C16,AMABat!$A$10:$BV$140,E$1,FALSE))</f>
        <v>R</v>
      </c>
      <c r="F16" s="357">
        <f t="shared" si="25"/>
        <v>0</v>
      </c>
      <c r="G16" s="349">
        <f t="shared" si="26"/>
        <v>1</v>
      </c>
      <c r="H16" s="349">
        <f t="shared" si="27"/>
        <v>1</v>
      </c>
      <c r="I16" s="350" t="str">
        <f t="shared" si="28"/>
        <v>-</v>
      </c>
      <c r="J16" s="30">
        <f>IF($C16="","",VLOOKUP($C16,AMABat!$A$10:$BV$140,J$1,FALSE))</f>
        <v>1</v>
      </c>
      <c r="K16" s="30">
        <f>IF($C16="","",VLOOKUP($C16,AMABat!$A$10:$BV$140,K$1,FALSE))</f>
        <v>7</v>
      </c>
      <c r="L16" s="30">
        <f>IF($C16="","",VLOOKUP($C16,AMABat!$A$10:$BV$140,L$1,FALSE))</f>
        <v>8</v>
      </c>
      <c r="M16" s="30" t="str">
        <f>IF($C16="","",VLOOKUP($C16,AMABat!$A$10:$BV$140,M$1,FALSE))</f>
        <v>-</v>
      </c>
      <c r="N16" s="30" t="str">
        <f>IF($C16="","",VLOOKUP($C16,AMABat!$A$10:$BV$140,N$1,FALSE))</f>
        <v>-</v>
      </c>
      <c r="O16" s="30" t="str">
        <f>IF($C16="","",VLOOKUP($C16,AMABat!$A$10:$BV$140,O$1,FALSE))</f>
        <v>-</v>
      </c>
      <c r="P16" s="30">
        <f>IF($C16="","",VLOOKUP($C16,AMABat!$A$10:$BV$140,P$1,FALSE))</f>
        <v>8</v>
      </c>
      <c r="Q16" s="30">
        <f>IF($C16="","",VLOOKUP($C16,AMABat!$A$10:$BV$140,Q$1,FALSE))</f>
        <v>2</v>
      </c>
      <c r="R16" s="30">
        <f>IF($C16="","",VLOOKUP($C16,AMABat!$A$10:$BV$140,R$1,FALSE))</f>
        <v>6</v>
      </c>
      <c r="S16" s="30" t="str">
        <f>IF($C16="","",VLOOKUP($C16,AMABat!$A$10:$BV$140,S$1,FALSE))</f>
        <v>-</v>
      </c>
      <c r="T16" s="30" t="str">
        <f>IF($C16="","",VLOOKUP($C16,AMABat!$A$10:$BV$140,T$1,FALSE))</f>
        <v>-</v>
      </c>
      <c r="U16" s="349">
        <f>IF($C16="","",IF(OR(AD16+AG16&gt;14,AND(OR(AD16+AG16&gt;12,AND(AD16&gt;6,AG16&gt;6)),AI16&gt;6,OR(AJ16&gt;=AI16,AJ16&gt;6))),1,0))</f>
        <v>0</v>
      </c>
      <c r="V16" s="349">
        <f t="shared" si="30"/>
        <v>0</v>
      </c>
      <c r="W16" s="349">
        <f t="shared" si="31"/>
        <v>0</v>
      </c>
      <c r="X16" s="349">
        <f t="shared" si="32"/>
        <v>0</v>
      </c>
      <c r="Y16" s="349">
        <f t="shared" si="33"/>
        <v>0</v>
      </c>
      <c r="Z16" s="349">
        <f t="shared" si="34"/>
        <v>0</v>
      </c>
      <c r="AA16" s="349">
        <f t="shared" si="35"/>
        <v>0</v>
      </c>
      <c r="AB16" s="349">
        <f t="shared" si="36"/>
        <v>0</v>
      </c>
      <c r="AC16" s="349">
        <f t="shared" si="37"/>
        <v>0</v>
      </c>
      <c r="AD16" s="30">
        <f>IF($C16="","",VLOOKUP($C16,AMABat!$A$10:$BV$140,AD$1,FALSE))</f>
        <v>4</v>
      </c>
      <c r="AE16" s="30">
        <f>IF($C16="","",VLOOKUP($C16,AMABat!$A$10:$BV$140,AE$1,FALSE))</f>
        <v>6</v>
      </c>
      <c r="AF16" s="30">
        <f>IF($C16="","",VLOOKUP($C16,AMABat!$A$10:$BV$140,AF$1,FALSE))</f>
        <v>5</v>
      </c>
      <c r="AG16" s="30">
        <f>IF($C16="","",VLOOKUP($C16,AMABat!$A$10:$BV$140,AG$1,FALSE))</f>
        <v>5</v>
      </c>
      <c r="AH16" s="30">
        <f>IF($C16="","",VLOOKUP($C16,AMABat!$A$10:$BV$140,AH$1,FALSE))</f>
        <v>6</v>
      </c>
      <c r="AI16" s="30" t="str">
        <f>IF($C16="","",VLOOKUP($C16,AMABat!$A$10:$BV$140,AI$1,FALSE))</f>
        <v>-</v>
      </c>
      <c r="AJ16" s="30">
        <f>IF($C16="","",VLOOKUP($C16,AMABat!$A$10:$BV$140,AJ$1,FALSE))</f>
        <v>9</v>
      </c>
      <c r="AK16" s="60">
        <f t="shared" si="38"/>
        <v>4.833333333333333</v>
      </c>
      <c r="AL16" s="349">
        <f t="shared" si="39"/>
        <v>0</v>
      </c>
      <c r="AM16" s="349">
        <f t="shared" si="40"/>
        <v>0</v>
      </c>
      <c r="AN16" s="349">
        <f t="shared" si="41"/>
        <v>0</v>
      </c>
      <c r="AO16" s="349">
        <f t="shared" si="42"/>
        <v>0</v>
      </c>
      <c r="AP16" s="349">
        <f t="shared" si="43"/>
        <v>0</v>
      </c>
      <c r="AQ16" s="349">
        <f t="shared" si="44"/>
        <v>0</v>
      </c>
      <c r="AR16" s="349">
        <f t="shared" si="45"/>
        <v>0</v>
      </c>
      <c r="AS16" s="349">
        <f t="shared" si="46"/>
        <v>0</v>
      </c>
      <c r="AT16" s="349">
        <f t="shared" si="47"/>
        <v>0</v>
      </c>
      <c r="AU16" s="30">
        <f>IF($C16="","",VLOOKUP($C16,AMABat!$A$10:$BV$140,AU$1,FALSE))</f>
        <v>5</v>
      </c>
      <c r="AV16" s="30">
        <f>IF($C16="","",VLOOKUP($C16,AMABat!$A$10:$BV$140,AV$1,FALSE))</f>
        <v>6</v>
      </c>
      <c r="AW16" s="30">
        <f>IF($C16="","",VLOOKUP($C16,AMABat!$A$10:$BV$140,AW$1,FALSE))</f>
        <v>6</v>
      </c>
      <c r="AX16" s="30">
        <f>IF($C16="","",VLOOKUP($C16,AMABat!$A$10:$BV$140,AX$1,FALSE))</f>
        <v>6</v>
      </c>
      <c r="AY16" s="30">
        <f>IF($C16="","",VLOOKUP($C16,AMABat!$A$10:$BV$140,AY$1,FALSE))</f>
        <v>6</v>
      </c>
      <c r="AZ16" s="60">
        <f t="shared" si="48"/>
        <v>5.6388888888888893</v>
      </c>
      <c r="BA16" s="60">
        <f t="shared" si="49"/>
        <v>0.80555555555555625</v>
      </c>
    </row>
    <row r="17" spans="1:53" x14ac:dyDescent="0.25">
      <c r="A17" s="305">
        <v>4</v>
      </c>
      <c r="B17" s="29" t="s">
        <v>80</v>
      </c>
      <c r="C17" s="58" t="s">
        <v>1170</v>
      </c>
      <c r="D17" s="30">
        <f>IF($C17="","",VLOOKUP($C17,AMABat!$A$10:$BV$140,D$1,FALSE))</f>
        <v>22</v>
      </c>
      <c r="E17" s="30" t="str">
        <f>IF($C17="","",VLOOKUP($C17,AMABat!$A$10:$BV$140,E$1,FALSE))</f>
        <v>R</v>
      </c>
      <c r="F17" s="357">
        <f t="shared" si="25"/>
        <v>0</v>
      </c>
      <c r="G17" s="349">
        <f t="shared" si="26"/>
        <v>1</v>
      </c>
      <c r="H17" s="349">
        <f t="shared" si="27"/>
        <v>0</v>
      </c>
      <c r="I17" s="350" t="str">
        <f t="shared" si="28"/>
        <v>-</v>
      </c>
      <c r="J17" s="30">
        <f>IF($C17="","",VLOOKUP($C17,AMABat!$A$10:$BV$140,J$1,FALSE))</f>
        <v>1</v>
      </c>
      <c r="K17" s="30">
        <f>IF($C17="","",VLOOKUP($C17,AMABat!$A$10:$BV$140,K$1,FALSE))</f>
        <v>4</v>
      </c>
      <c r="L17" s="30">
        <f>IF($C17="","",VLOOKUP($C17,AMABat!$A$10:$BV$140,L$1,FALSE))</f>
        <v>1</v>
      </c>
      <c r="M17" s="51" t="str">
        <f>IF($C17="","",VLOOKUP($C17,AMABat!$A$10:$BV$140,M$1,FALSE))</f>
        <v>-</v>
      </c>
      <c r="N17" s="30" t="str">
        <f>IF($C17="","",VLOOKUP($C17,AMABat!$A$10:$BV$140,N$1,FALSE))</f>
        <v>-</v>
      </c>
      <c r="O17" s="30" t="str">
        <f>IF($C17="","",VLOOKUP($C17,AMABat!$A$10:$BV$140,O$1,FALSE))</f>
        <v>-</v>
      </c>
      <c r="P17" s="30">
        <f>IF($C17="","",VLOOKUP($C17,AMABat!$A$10:$BV$140,P$1,FALSE))</f>
        <v>3</v>
      </c>
      <c r="Q17" s="30">
        <f>IF($C17="","",VLOOKUP($C17,AMABat!$A$10:$BV$146,Q$1,FALSE))</f>
        <v>1</v>
      </c>
      <c r="R17" s="30" t="str">
        <f>IF($C17="","",VLOOKUP($C17,AMABat!$A$10:$BV$146,R$1,FALSE))</f>
        <v>-</v>
      </c>
      <c r="S17" s="30" t="str">
        <f>IF($C17="","",VLOOKUP($C17,AMABat!$A$10:$BV$146,S$1,FALSE))</f>
        <v>-</v>
      </c>
      <c r="T17" s="31" t="str">
        <f>IF($C17="","",VLOOKUP($C17,AMABat!$A$10:$BV$146,T$1,FALSE))</f>
        <v>-</v>
      </c>
      <c r="U17" s="349">
        <f t="shared" ref="U17:U19" si="50">IF($C17="","",IF(OR(AD17+AG17&gt;14,AND(OR(AD17+AG17&gt;12,AND(AD17&gt;6,AG17&gt;6)),AI17&gt;6,OR(AJ17&gt;=AI17,AJ17&gt;6))),1,0))</f>
        <v>0</v>
      </c>
      <c r="V17" s="349">
        <f t="shared" si="30"/>
        <v>0</v>
      </c>
      <c r="W17" s="349">
        <f t="shared" si="31"/>
        <v>0</v>
      </c>
      <c r="X17" s="349">
        <f t="shared" si="32"/>
        <v>0</v>
      </c>
      <c r="Y17" s="349">
        <f t="shared" si="33"/>
        <v>0</v>
      </c>
      <c r="Z17" s="349">
        <f t="shared" si="34"/>
        <v>0</v>
      </c>
      <c r="AA17" s="349">
        <f t="shared" si="35"/>
        <v>0</v>
      </c>
      <c r="AB17" s="349">
        <f t="shared" si="36"/>
        <v>0</v>
      </c>
      <c r="AC17" s="349">
        <f t="shared" si="37"/>
        <v>0</v>
      </c>
      <c r="AD17" s="51">
        <f>IF($C17="","",VLOOKUP($C17,AMABat!$A$10:$BV$146,AD$1,FALSE))</f>
        <v>4</v>
      </c>
      <c r="AE17" s="30">
        <f>IF($C17="","",VLOOKUP($C17,AMABat!$A$10:$BV$146,AE$1,FALSE))</f>
        <v>7</v>
      </c>
      <c r="AF17" s="30">
        <f>IF($C17="","",VLOOKUP($C17,AMABat!$A$10:$BV$146,AF$1,FALSE))</f>
        <v>3</v>
      </c>
      <c r="AG17" s="30">
        <f>IF($C17="","",VLOOKUP($C17,AMABat!$A$10:$BV$146,AG$1,FALSE))</f>
        <v>2</v>
      </c>
      <c r="AH17" s="30">
        <f>IF($C17="","",VLOOKUP($C17,AMABat!$A$10:$BV$146,AH$1,FALSE))</f>
        <v>5</v>
      </c>
      <c r="AI17" s="30" t="str">
        <f>IF($C17="","",VLOOKUP($C17,AMABat!$A$10:$BV$146,AI$1,FALSE))</f>
        <v>-</v>
      </c>
      <c r="AJ17" s="31">
        <f>IF($C17="","",VLOOKUP($C17,AMABat!$A$10:$BV$146,AJ$1,FALSE))</f>
        <v>10</v>
      </c>
      <c r="AK17" s="60">
        <f t="shared" si="38"/>
        <v>3.8055555555555554</v>
      </c>
      <c r="AL17" s="349">
        <f t="shared" si="39"/>
        <v>0</v>
      </c>
      <c r="AM17" s="349">
        <f t="shared" si="40"/>
        <v>0</v>
      </c>
      <c r="AN17" s="349">
        <f t="shared" si="41"/>
        <v>0</v>
      </c>
      <c r="AO17" s="349">
        <f t="shared" si="42"/>
        <v>0</v>
      </c>
      <c r="AP17" s="349">
        <f t="shared" si="43"/>
        <v>0</v>
      </c>
      <c r="AQ17" s="349">
        <f t="shared" si="44"/>
        <v>0</v>
      </c>
      <c r="AR17" s="349">
        <f t="shared" si="45"/>
        <v>0</v>
      </c>
      <c r="AS17" s="349">
        <f t="shared" si="46"/>
        <v>1</v>
      </c>
      <c r="AT17" s="349">
        <f t="shared" si="47"/>
        <v>1</v>
      </c>
      <c r="AU17" s="51">
        <f>IF($C17="","",VLOOKUP($C17,AMABat!$A$10:$BV$146,AU$1,FALSE))</f>
        <v>6</v>
      </c>
      <c r="AV17" s="30">
        <f>IF($C17="","",VLOOKUP($C17,AMABat!$A$10:$BV$146,AV$1,FALSE))</f>
        <v>8</v>
      </c>
      <c r="AW17" s="30">
        <f>IF($C17="","",VLOOKUP($C17,AMABat!$A$10:$BV$146,AW$1,FALSE))</f>
        <v>4</v>
      </c>
      <c r="AX17" s="30">
        <f>IF($C17="","",VLOOKUP($C17,AMABat!$A$10:$BV$146,AX$1,FALSE))</f>
        <v>4</v>
      </c>
      <c r="AY17" s="31">
        <f>IF($C17="","",VLOOKUP($C17,AMABat!$A$10:$BV$146,AY$1,FALSE))</f>
        <v>6</v>
      </c>
      <c r="AZ17" s="60">
        <f t="shared" si="48"/>
        <v>5.3611111111111107</v>
      </c>
      <c r="BA17" s="60">
        <f t="shared" si="49"/>
        <v>1.5555555555555554</v>
      </c>
    </row>
    <row r="18" spans="1:53" x14ac:dyDescent="0.25">
      <c r="A18" s="305">
        <v>5</v>
      </c>
      <c r="B18" s="29" t="s">
        <v>80</v>
      </c>
      <c r="C18" s="58"/>
      <c r="D18" s="30" t="str">
        <f>IF($C18="","",VLOOKUP($C18,AMABat!$A$10:$BV$146,D$1,FALSE))</f>
        <v/>
      </c>
      <c r="E18" s="30" t="str">
        <f>IF($C18="","",VLOOKUP($C18,AMABat!$A$10:$BV$146,E$1,FALSE))</f>
        <v/>
      </c>
      <c r="F18" s="357" t="str">
        <f t="shared" si="25"/>
        <v/>
      </c>
      <c r="G18" s="349" t="str">
        <f t="shared" si="26"/>
        <v/>
      </c>
      <c r="H18" s="349" t="str">
        <f t="shared" si="27"/>
        <v/>
      </c>
      <c r="I18" s="350" t="str">
        <f t="shared" si="28"/>
        <v/>
      </c>
      <c r="J18" s="30" t="str">
        <f>IF($C18="","",VLOOKUP($C18,AMABat!$A$10:$BV$146,J$1,FALSE))</f>
        <v/>
      </c>
      <c r="K18" s="30" t="str">
        <f>IF($C18="","",VLOOKUP($C18,AMABat!$A$10:$BV$146,K$1,FALSE))</f>
        <v/>
      </c>
      <c r="L18" s="30" t="str">
        <f>IF($C18="","",VLOOKUP($C18,AMABat!$A$10:$BV$146,L$1,FALSE))</f>
        <v/>
      </c>
      <c r="M18" s="51" t="str">
        <f>IF($C18="","",VLOOKUP($C18,AMABat!$A$10:$BV$146,M$1,FALSE))</f>
        <v/>
      </c>
      <c r="N18" s="30" t="str">
        <f>IF($C18="","",VLOOKUP($C18,AMABat!$A$10:$BV$146,N$1,FALSE))</f>
        <v/>
      </c>
      <c r="O18" s="30" t="str">
        <f>IF($C18="","",VLOOKUP($C18,AMABat!$A$10:$BV$146,O$1,FALSE))</f>
        <v/>
      </c>
      <c r="P18" s="30" t="str">
        <f>IF($C18="","",VLOOKUP($C18,AMABat!$A$10:$BV$146,P$1,FALSE))</f>
        <v/>
      </c>
      <c r="Q18" s="30" t="str">
        <f>IF($C18="","",VLOOKUP($C18,AMABat!$A$10:$BV$146,Q$1,FALSE))</f>
        <v/>
      </c>
      <c r="R18" s="30" t="str">
        <f>IF($C18="","",VLOOKUP($C18,AMABat!$A$10:$BV$146,R$1,FALSE))</f>
        <v/>
      </c>
      <c r="S18" s="30" t="str">
        <f>IF($C18="","",VLOOKUP($C18,AMABat!$A$10:$BV$146,S$1,FALSE))</f>
        <v/>
      </c>
      <c r="T18" s="31" t="str">
        <f>IF($C18="","",VLOOKUP($C18,AMABat!$A$10:$BV$146,T$1,FALSE))</f>
        <v/>
      </c>
      <c r="U18" s="349" t="str">
        <f t="shared" si="50"/>
        <v/>
      </c>
      <c r="V18" s="349" t="str">
        <f t="shared" si="30"/>
        <v/>
      </c>
      <c r="W18" s="349" t="str">
        <f t="shared" si="31"/>
        <v/>
      </c>
      <c r="X18" s="349" t="str">
        <f t="shared" si="32"/>
        <v/>
      </c>
      <c r="Y18" s="349" t="str">
        <f t="shared" si="33"/>
        <v/>
      </c>
      <c r="Z18" s="349" t="str">
        <f t="shared" si="34"/>
        <v/>
      </c>
      <c r="AA18" s="349" t="str">
        <f t="shared" si="35"/>
        <v/>
      </c>
      <c r="AB18" s="349" t="str">
        <f t="shared" si="36"/>
        <v/>
      </c>
      <c r="AC18" s="349" t="str">
        <f t="shared" si="37"/>
        <v/>
      </c>
      <c r="AD18" s="51" t="str">
        <f>IF($C18="","",VLOOKUP($C18,AMABat!$A$10:$BV$146,AD$1,FALSE))</f>
        <v/>
      </c>
      <c r="AE18" s="30" t="str">
        <f>IF($C18="","",VLOOKUP($C18,AMABat!$A$10:$BV$146,AE$1,FALSE))</f>
        <v/>
      </c>
      <c r="AF18" s="30" t="str">
        <f>IF($C18="","",VLOOKUP($C18,AMABat!$A$10:$BV$146,AF$1,FALSE))</f>
        <v/>
      </c>
      <c r="AG18" s="30" t="str">
        <f>IF($C18="","",VLOOKUP($C18,AMABat!$A$10:$BV$146,AG$1,FALSE))</f>
        <v/>
      </c>
      <c r="AH18" s="30" t="str">
        <f>IF($C18="","",VLOOKUP($C18,AMABat!$A$10:$BV$146,AH$1,FALSE))</f>
        <v/>
      </c>
      <c r="AI18" s="30" t="str">
        <f>IF($C18="","",VLOOKUP($C18,AMABat!$A$10:$BV$146,AI$1,FALSE))</f>
        <v/>
      </c>
      <c r="AJ18" s="31" t="str">
        <f>IF($C18="","",VLOOKUP($C18,AMABat!$A$10:$BV$146,AJ$1,FALSE))</f>
        <v/>
      </c>
      <c r="AK18" s="60" t="str">
        <f t="shared" si="38"/>
        <v/>
      </c>
      <c r="AL18" s="349" t="str">
        <f t="shared" si="39"/>
        <v/>
      </c>
      <c r="AM18" s="349" t="str">
        <f t="shared" si="40"/>
        <v/>
      </c>
      <c r="AN18" s="349" t="str">
        <f t="shared" si="41"/>
        <v/>
      </c>
      <c r="AO18" s="349" t="str">
        <f t="shared" si="42"/>
        <v/>
      </c>
      <c r="AP18" s="349" t="str">
        <f t="shared" si="43"/>
        <v/>
      </c>
      <c r="AQ18" s="349" t="str">
        <f t="shared" si="44"/>
        <v/>
      </c>
      <c r="AR18" s="349" t="str">
        <f t="shared" si="45"/>
        <v/>
      </c>
      <c r="AS18" s="349" t="str">
        <f t="shared" si="46"/>
        <v/>
      </c>
      <c r="AT18" s="349" t="str">
        <f t="shared" si="47"/>
        <v/>
      </c>
      <c r="AU18" s="51" t="str">
        <f>IF($C18="","",VLOOKUP($C18,AMABat!$A$10:$BV$146,AU$1,FALSE))</f>
        <v/>
      </c>
      <c r="AV18" s="30" t="str">
        <f>IF($C18="","",VLOOKUP($C18,AMABat!$A$10:$BV$146,AV$1,FALSE))</f>
        <v/>
      </c>
      <c r="AW18" s="30" t="str">
        <f>IF($C18="","",VLOOKUP($C18,AMABat!$A$10:$BV$146,AW$1,FALSE))</f>
        <v/>
      </c>
      <c r="AX18" s="30" t="str">
        <f>IF($C18="","",VLOOKUP($C18,AMABat!$A$10:$BV$146,AX$1,FALSE))</f>
        <v/>
      </c>
      <c r="AY18" s="31" t="str">
        <f>IF($C18="","",VLOOKUP($C18,AMABat!$A$10:$BV$146,AY$1,FALSE))</f>
        <v/>
      </c>
      <c r="AZ18" s="60" t="str">
        <f t="shared" si="48"/>
        <v/>
      </c>
      <c r="BA18" s="60" t="str">
        <f>IF(C18="","",AZ18-AK18)</f>
        <v/>
      </c>
    </row>
    <row r="19" spans="1:53" x14ac:dyDescent="0.25">
      <c r="A19" s="305">
        <v>6</v>
      </c>
      <c r="B19" s="32" t="s">
        <v>80</v>
      </c>
      <c r="C19" s="33"/>
      <c r="D19" s="33" t="str">
        <f>IF($C19="","",VLOOKUP($C19,AMABat!$A$10:$BV$146,D$1,FALSE))</f>
        <v/>
      </c>
      <c r="E19" s="33" t="str">
        <f>IF($C19="","",VLOOKUP($C19,AMABat!$A$10:$BV$146,E$1,FALSE))</f>
        <v/>
      </c>
      <c r="F19" s="47" t="str">
        <f t="shared" si="25"/>
        <v/>
      </c>
      <c r="G19" s="351" t="str">
        <f t="shared" si="26"/>
        <v/>
      </c>
      <c r="H19" s="351" t="str">
        <f t="shared" si="27"/>
        <v/>
      </c>
      <c r="I19" s="352" t="str">
        <f t="shared" si="28"/>
        <v/>
      </c>
      <c r="J19" s="33" t="str">
        <f>IF($C19="","",VLOOKUP($C19,AMABat!$A$10:$BV$146,J$1,FALSE))</f>
        <v/>
      </c>
      <c r="K19" s="33" t="str">
        <f>IF($C19="","",VLOOKUP($C19,AMABat!$A$10:$BV$146,K$1,FALSE))</f>
        <v/>
      </c>
      <c r="L19" s="33" t="str">
        <f>IF($C19="","",VLOOKUP($C19,AMABat!$A$10:$BV$146,L$1,FALSE))</f>
        <v/>
      </c>
      <c r="M19" s="52" t="str">
        <f>IF($C19="","",VLOOKUP($C19,AMABat!$A$10:$BV$146,M$1,FALSE))</f>
        <v/>
      </c>
      <c r="N19" s="33" t="str">
        <f>IF($C19="","",VLOOKUP($C19,AMABat!$A$10:$BV$146,N$1,FALSE))</f>
        <v/>
      </c>
      <c r="O19" s="33" t="str">
        <f>IF($C19="","",VLOOKUP($C19,AMABat!$A$10:$BV$146,O$1,FALSE))</f>
        <v/>
      </c>
      <c r="P19" s="33" t="str">
        <f>IF($C19="","",VLOOKUP($C19,AMABat!$A$10:$BV$146,P$1,FALSE))</f>
        <v/>
      </c>
      <c r="Q19" s="33" t="str">
        <f>IF($C19="","",VLOOKUP($C19,AMABat!$A$10:$BV$146,Q$1,FALSE))</f>
        <v/>
      </c>
      <c r="R19" s="33" t="str">
        <f>IF($C19="","",VLOOKUP($C19,AMABat!$A$10:$BV$146,R$1,FALSE))</f>
        <v/>
      </c>
      <c r="S19" s="33" t="str">
        <f>IF($C19="","",VLOOKUP($C19,AMABat!$A$10:$BV$146,S$1,FALSE))</f>
        <v/>
      </c>
      <c r="T19" s="35" t="str">
        <f>IF($C19="","",VLOOKUP($C19,AMABat!$A$10:$BV$146,T$1,FALSE))</f>
        <v/>
      </c>
      <c r="U19" s="351" t="str">
        <f t="shared" si="50"/>
        <v/>
      </c>
      <c r="V19" s="351" t="str">
        <f t="shared" si="30"/>
        <v/>
      </c>
      <c r="W19" s="351" t="str">
        <f t="shared" si="31"/>
        <v/>
      </c>
      <c r="X19" s="351" t="str">
        <f t="shared" si="32"/>
        <v/>
      </c>
      <c r="Y19" s="351" t="str">
        <f t="shared" si="33"/>
        <v/>
      </c>
      <c r="Z19" s="351" t="str">
        <f t="shared" si="34"/>
        <v/>
      </c>
      <c r="AA19" s="351" t="str">
        <f t="shared" si="35"/>
        <v/>
      </c>
      <c r="AB19" s="351" t="str">
        <f t="shared" si="36"/>
        <v/>
      </c>
      <c r="AC19" s="351" t="str">
        <f t="shared" si="37"/>
        <v/>
      </c>
      <c r="AD19" s="52" t="str">
        <f>IF($C19="","",VLOOKUP($C19,AMABat!$A$10:$BV$146,AD$1,FALSE))</f>
        <v/>
      </c>
      <c r="AE19" s="33" t="str">
        <f>IF($C19="","",VLOOKUP($C19,AMABat!$A$10:$BV$146,AE$1,FALSE))</f>
        <v/>
      </c>
      <c r="AF19" s="33" t="str">
        <f>IF($C19="","",VLOOKUP($C19,AMABat!$A$10:$BV$146,AF$1,FALSE))</f>
        <v/>
      </c>
      <c r="AG19" s="33" t="str">
        <f>IF($C19="","",VLOOKUP($C19,AMABat!$A$10:$BV$146,AG$1,FALSE))</f>
        <v/>
      </c>
      <c r="AH19" s="33" t="str">
        <f>IF($C19="","",VLOOKUP($C19,AMABat!$A$10:$BV$146,AH$1,FALSE))</f>
        <v/>
      </c>
      <c r="AI19" s="33" t="str">
        <f>IF($C19="","",VLOOKUP($C19,AMABat!$A$10:$BV$146,AI$1,FALSE))</f>
        <v/>
      </c>
      <c r="AJ19" s="35" t="str">
        <f>IF($C19="","",VLOOKUP($C19,AMABat!$A$10:$BV$146,AJ$1,FALSE))</f>
        <v/>
      </c>
      <c r="AK19" s="61" t="str">
        <f t="shared" si="38"/>
        <v/>
      </c>
      <c r="AL19" s="351" t="str">
        <f t="shared" si="39"/>
        <v/>
      </c>
      <c r="AM19" s="351" t="str">
        <f t="shared" si="40"/>
        <v/>
      </c>
      <c r="AN19" s="351" t="str">
        <f t="shared" si="41"/>
        <v/>
      </c>
      <c r="AO19" s="351" t="str">
        <f t="shared" si="42"/>
        <v/>
      </c>
      <c r="AP19" s="351" t="str">
        <f t="shared" si="43"/>
        <v/>
      </c>
      <c r="AQ19" s="351" t="str">
        <f t="shared" si="44"/>
        <v/>
      </c>
      <c r="AR19" s="351" t="str">
        <f t="shared" si="45"/>
        <v/>
      </c>
      <c r="AS19" s="351" t="str">
        <f t="shared" si="46"/>
        <v/>
      </c>
      <c r="AT19" s="351" t="str">
        <f t="shared" si="47"/>
        <v/>
      </c>
      <c r="AU19" s="52" t="str">
        <f>IF($C19="","",VLOOKUP($C19,AMABat!$A$10:$BV$146,AU$1,FALSE))</f>
        <v/>
      </c>
      <c r="AV19" s="33" t="str">
        <f>IF($C19="","",VLOOKUP($C19,AMABat!$A$10:$BV$146,AV$1,FALSE))</f>
        <v/>
      </c>
      <c r="AW19" s="33" t="str">
        <f>IF($C19="","",VLOOKUP($C19,AMABat!$A$10:$BV$146,AW$1,FALSE))</f>
        <v/>
      </c>
      <c r="AX19" s="33" t="str">
        <f>IF($C19="","",VLOOKUP($C19,AMABat!$A$10:$BV$146,AX$1,FALSE))</f>
        <v/>
      </c>
      <c r="AY19" s="35" t="str">
        <f>IF($C19="","",VLOOKUP($C19,AMABat!$A$10:$BV$146,AY$1,FALSE))</f>
        <v/>
      </c>
      <c r="AZ19" s="61" t="str">
        <f t="shared" si="48"/>
        <v/>
      </c>
      <c r="BA19" s="61" t="str">
        <f t="shared" ref="BA19" si="51">IF(C19="","",AZ19-AK19)</f>
        <v/>
      </c>
    </row>
    <row r="21" spans="1:53" ht="196.5" x14ac:dyDescent="0.25">
      <c r="A21" s="18" t="s">
        <v>170</v>
      </c>
      <c r="B21" s="353" t="s">
        <v>111</v>
      </c>
      <c r="C21" s="37" t="str">
        <f>"Player ("&amp;COUNTA(C22:C24)&amp;")"</f>
        <v>Player (1)</v>
      </c>
      <c r="D21" s="37" t="s">
        <v>70</v>
      </c>
      <c r="E21" s="37" t="s">
        <v>80</v>
      </c>
      <c r="F21" s="57" t="str">
        <f>"Strong C Arm ("&amp;SUM(F22:F24)&amp;")"</f>
        <v>Strong C Arm (0)</v>
      </c>
      <c r="G21" s="41" t="s">
        <v>32</v>
      </c>
      <c r="H21" s="41" t="s">
        <v>32</v>
      </c>
      <c r="I21" s="41" t="s">
        <v>32</v>
      </c>
      <c r="J21" s="48" t="s">
        <v>114</v>
      </c>
      <c r="K21" s="40" t="s">
        <v>112</v>
      </c>
      <c r="L21" s="49" t="s">
        <v>113</v>
      </c>
      <c r="M21" s="41" t="s">
        <v>71</v>
      </c>
      <c r="N21" s="41" t="s">
        <v>73</v>
      </c>
      <c r="O21" s="41" t="s">
        <v>74</v>
      </c>
      <c r="P21" s="41" t="s">
        <v>75</v>
      </c>
      <c r="Q21" s="41" t="s">
        <v>76</v>
      </c>
      <c r="R21" s="41" t="s">
        <v>77</v>
      </c>
      <c r="S21" s="41" t="s">
        <v>78</v>
      </c>
      <c r="T21" s="42" t="s">
        <v>79</v>
      </c>
      <c r="U21" s="38" t="s">
        <v>115</v>
      </c>
      <c r="V21" s="38" t="s">
        <v>158</v>
      </c>
      <c r="W21" s="38" t="s">
        <v>116</v>
      </c>
      <c r="X21" s="38" t="s">
        <v>117</v>
      </c>
      <c r="Y21" s="38" t="s">
        <v>118</v>
      </c>
      <c r="Z21" s="38" t="s">
        <v>119</v>
      </c>
      <c r="AA21" s="38" t="s">
        <v>120</v>
      </c>
      <c r="AB21" s="38" t="s">
        <v>122</v>
      </c>
      <c r="AC21" s="53" t="s">
        <v>121</v>
      </c>
      <c r="AD21" s="41" t="s">
        <v>125</v>
      </c>
      <c r="AE21" s="41" t="s">
        <v>126</v>
      </c>
      <c r="AF21" s="41" t="s">
        <v>127</v>
      </c>
      <c r="AG21" s="41" t="s">
        <v>128</v>
      </c>
      <c r="AH21" s="41" t="s">
        <v>21</v>
      </c>
      <c r="AI21" s="41" t="s">
        <v>129</v>
      </c>
      <c r="AJ21" s="42" t="s">
        <v>130</v>
      </c>
      <c r="AK21" s="59" t="s">
        <v>134</v>
      </c>
      <c r="AL21" s="38" t="s">
        <v>115</v>
      </c>
      <c r="AM21" s="38" t="s">
        <v>158</v>
      </c>
      <c r="AN21" s="38" t="s">
        <v>116</v>
      </c>
      <c r="AO21" s="38" t="s">
        <v>117</v>
      </c>
      <c r="AP21" s="38" t="s">
        <v>118</v>
      </c>
      <c r="AQ21" s="38" t="s">
        <v>119</v>
      </c>
      <c r="AR21" s="38" t="s">
        <v>120</v>
      </c>
      <c r="AS21" s="38" t="s">
        <v>122</v>
      </c>
      <c r="AT21" s="53" t="s">
        <v>121</v>
      </c>
      <c r="AU21" s="56" t="s">
        <v>125</v>
      </c>
      <c r="AV21" s="41" t="s">
        <v>126</v>
      </c>
      <c r="AW21" s="41" t="s">
        <v>127</v>
      </c>
      <c r="AX21" s="41" t="s">
        <v>128</v>
      </c>
      <c r="AY21" s="42" t="s">
        <v>21</v>
      </c>
      <c r="AZ21" s="59" t="s">
        <v>174</v>
      </c>
      <c r="BA21" s="364" t="s">
        <v>538</v>
      </c>
    </row>
    <row r="22" spans="1:53" x14ac:dyDescent="0.25">
      <c r="A22" s="305">
        <v>1</v>
      </c>
      <c r="B22" s="29" t="s">
        <v>71</v>
      </c>
      <c r="C22" s="30" t="s">
        <v>1162</v>
      </c>
      <c r="D22" s="30">
        <f>IF($C22="","",VLOOKUP($C22,AMABat!$A$10:$BV$140,D$1,FALSE))</f>
        <v>20</v>
      </c>
      <c r="E22" s="30" t="str">
        <f>IF($C22="","",VLOOKUP($C22,AMABat!$A$10:$BV$140,E$1,FALSE))</f>
        <v>R</v>
      </c>
      <c r="F22" s="357">
        <f t="shared" ref="F22:F24" si="52">IF($C22="","",IF(AND(O22&gt;0,O22=SUM(M22:T22)),1,0))</f>
        <v>0</v>
      </c>
      <c r="G22" s="349">
        <f t="shared" ref="G22:G24" si="53">IF($C22="","",IF(Q22&lt;&gt;"-",1,0))</f>
        <v>0</v>
      </c>
      <c r="H22" s="349">
        <f t="shared" ref="H22:H24" si="54">IF($C22="","",IF(AND(K22&gt;5,P22&lt;&gt;"-"),1,0))</f>
        <v>0</v>
      </c>
      <c r="I22" s="349" t="str">
        <f t="shared" ref="I22:I24" si="55">IF($C22="","","-")</f>
        <v>-</v>
      </c>
      <c r="J22" s="51">
        <f>IF($C22="","",VLOOKUP($C22,AMABat!$A$10:$BV$140,J$1,FALSE))</f>
        <v>7</v>
      </c>
      <c r="K22" s="30">
        <f>IF($C22="","",VLOOKUP($C22,AMABat!$A$10:$BV$140,K$1,FALSE))</f>
        <v>2</v>
      </c>
      <c r="L22" s="31">
        <f>IF($C22="","",VLOOKUP($C22,AMABat!$A$10:$BV$140,L$1,FALSE))</f>
        <v>3</v>
      </c>
      <c r="M22" s="30">
        <f>IF($C22="","",VLOOKUP($C22,AMABat!$A$10:$BV$140,M$1,FALSE))</f>
        <v>3</v>
      </c>
      <c r="N22" s="30">
        <f>IF($C22="","",VLOOKUP($C22,AMABat!$A$10:$BV$140,N$1,FALSE))</f>
        <v>3</v>
      </c>
      <c r="O22" s="30" t="str">
        <f>IF($C22="","",VLOOKUP($C22,AMABat!$A$10:$BV$140,O$1,FALSE))</f>
        <v>-</v>
      </c>
      <c r="P22" s="30" t="str">
        <f>IF($C22="","",VLOOKUP($C22,AMABat!$A$10:$BV$140,P$1,FALSE))</f>
        <v>-</v>
      </c>
      <c r="Q22" s="30" t="str">
        <f>IF($C22="","",VLOOKUP($C22,AMABat!$A$10:$BV$140,Q$1,FALSE))</f>
        <v>-</v>
      </c>
      <c r="R22" s="30" t="str">
        <f>IF($C22="","",VLOOKUP($C22,AMABat!$A$10:$BV$140,R$1,FALSE))</f>
        <v>-</v>
      </c>
      <c r="S22" s="30" t="str">
        <f>IF($C22="","",VLOOKUP($C22,AMABat!$A$10:$BV$140,S$1,FALSE))</f>
        <v>-</v>
      </c>
      <c r="T22" s="31" t="str">
        <f>IF($C22="","",VLOOKUP($C22,AMABat!$A$10:$BV$140,T$1,FALSE))</f>
        <v>-</v>
      </c>
      <c r="U22" s="349">
        <f t="shared" ref="U22:U24" si="56">IF($C22="","",IF(OR(AD22+AG22&gt;14,AND(OR(AD22+AG22&gt;12,AND(AD22&gt;6,AG22&gt;6)),AI22&gt;6,OR(AJ22&gt;=AI22,AJ22&gt;6))),1,0))</f>
        <v>0</v>
      </c>
      <c r="V22" s="349">
        <f t="shared" ref="V22:V24" si="57">IF($C22="","",IF(OR(AND(AD22&gt;6,AH22&gt;6),AD22+AG22&gt;12),1,0))</f>
        <v>0</v>
      </c>
      <c r="W22" s="349">
        <f t="shared" ref="W22:W24" si="58">IF($C22="","",IF(AND(AD22&gt;6,AF22&gt;6,AG22&gt;6),1,0))</f>
        <v>0</v>
      </c>
      <c r="X22" s="349">
        <f t="shared" ref="X22:X24" si="59">IF($C22="","",IF(AND(AF22&gt;7,OR(AD22&gt;6,AG22&gt;6)),1,0))</f>
        <v>0</v>
      </c>
      <c r="Y22" s="349">
        <f t="shared" ref="Y22:Y24" si="60">IF($C22="","",IF(AND(AF22&gt;6,OR(AD22&gt;6,AG22&gt;6)),1,0))</f>
        <v>0</v>
      </c>
      <c r="Z22" s="349">
        <f t="shared" ref="Z22:Z24" si="61">IF($C22="","",IF(AND(OR(AD22&gt;6,AF22&gt;6),OR(AD22&gt;6,AG22&gt;6)),1,0))</f>
        <v>0</v>
      </c>
      <c r="AA22" s="349">
        <f t="shared" ref="AA22:AA24" si="62">IF($C22="","",IF(AND(AD22&gt;4,OR(AD22&gt;6,AF22&gt;6,AG22&gt;6)),1,0))</f>
        <v>1</v>
      </c>
      <c r="AB22" s="349">
        <f t="shared" ref="AB22:AB24" si="63">IF($C22="","",IF(AND(AD22&gt;4,OR(AD22&gt;6,AE22&gt;6,AF22&gt;6,AG22&gt;6)),1,0))</f>
        <v>1</v>
      </c>
      <c r="AC22" s="350">
        <f t="shared" ref="AC22:AC24" si="64">IF($C22="","",IF(AND(AD22&gt;4,MAX(AD22:AH22)&gt;6),1,0))</f>
        <v>1</v>
      </c>
      <c r="AD22" s="30">
        <f>IF($C22="","",VLOOKUP($C22,AMABat!$A$10:$BV$140,AD$1,FALSE))</f>
        <v>5</v>
      </c>
      <c r="AE22" s="30">
        <f>IF($C22="","",VLOOKUP($C22,AMABat!$A$10:$BV$140,AE$1,FALSE))</f>
        <v>4</v>
      </c>
      <c r="AF22" s="30">
        <f>IF($C22="","",VLOOKUP($C22,AMABat!$A$10:$BV$140,AF$1,FALSE))</f>
        <v>3</v>
      </c>
      <c r="AG22" s="30">
        <f>IF($C22="","",VLOOKUP($C22,AMABat!$A$10:$BV$140,AG$1,FALSE))</f>
        <v>7</v>
      </c>
      <c r="AH22" s="30">
        <f>IF($C22="","",VLOOKUP($C22,AMABat!$A$10:$BV$140,AH$1,FALSE))</f>
        <v>3</v>
      </c>
      <c r="AI22" s="30" t="str">
        <f>IF($C22="","",VLOOKUP($C22,AMABat!$A$10:$BV$140,AI$1,FALSE))</f>
        <v>-</v>
      </c>
      <c r="AJ22" s="31">
        <f>IF($C22="","",VLOOKUP($C22,AMABat!$A$10:$BV$140,AJ$1,FALSE))</f>
        <v>5</v>
      </c>
      <c r="AK22" s="60">
        <f t="shared" ref="AK22:AK24" si="65">IF($C22="","",(5*AD22+4*AF22+3*AG22+2*AE22+1*AH22+0.5*(AVERAGE(AD22:AE22))+0.5*AVERAGE(AD22,AH22)+1*(AVERAGE(AD22,AF22))+1*AVERAGE(AD22,AG22))/(5+4+3+2+1+0.5+0.5+1+1))</f>
        <v>4.625</v>
      </c>
      <c r="AL22" s="349">
        <f t="shared" ref="AL22:AL24" si="66">IF($C22="","",IF(AND(OR(AU22+AX22&gt;12,AND(AU22&gt;6,AX22&gt;6)),AI22&gt;6,OR(AJ22&gt;=AI22,AJ22&gt;6)),1,0))</f>
        <v>0</v>
      </c>
      <c r="AM22" s="349">
        <f t="shared" ref="AM22:AM24" si="67">IF($C22="","",IF(OR(AND(AU22&gt;6,AY22&gt;6),AU22+AX22&gt;12),1,0))</f>
        <v>1</v>
      </c>
      <c r="AN22" s="349">
        <f t="shared" ref="AN22:AN24" si="68">IF($C22="","",IF(AND(AU22&gt;6,AW22&gt;6,AX22&gt;6),1,0))</f>
        <v>0</v>
      </c>
      <c r="AO22" s="349">
        <f t="shared" ref="AO22:AO24" si="69">IF($C22="","",IF(AND(AW22&gt;7,OR(AU22&gt;6,AX22&gt;6)),1,0))</f>
        <v>0</v>
      </c>
      <c r="AP22" s="349">
        <f t="shared" ref="AP22:AP24" si="70">IF($C22="","",IF(AND(AW22&gt;6,OR(AU22&gt;6,AX22&gt;6)),1,0))</f>
        <v>0</v>
      </c>
      <c r="AQ22" s="349">
        <f t="shared" ref="AQ22:AQ24" si="71">IF($C22="","",IF(AND(OR(AU22&gt;6,AW22&gt;6),OR(AU22&gt;6,AX22&gt;6)),1,0))</f>
        <v>1</v>
      </c>
      <c r="AR22" s="349">
        <f t="shared" ref="AR22:AR24" si="72">IF($C22="","",IF(AND(AU22&gt;4,OR(AU22&gt;6,AW22&gt;6,AX22&gt;6)),1,0))</f>
        <v>1</v>
      </c>
      <c r="AS22" s="349">
        <f t="shared" ref="AS22:AS24" si="73">IF($C22="","",IF(AND(AU22&gt;4,OR(AU22&gt;6,AV22&gt;6,AW22&gt;6,AX22&gt;6)),1,0))</f>
        <v>1</v>
      </c>
      <c r="AT22" s="350">
        <f t="shared" ref="AT22:AT24" si="74">IF($C22="","",IF(AND(AU22&gt;4,MAX(AU22:AY22)&gt;6),1,0))</f>
        <v>1</v>
      </c>
      <c r="AU22" s="51">
        <f>IF($C22="","",VLOOKUP($C22,AMABat!$A$10:$BV$140,AU$1,FALSE))</f>
        <v>9</v>
      </c>
      <c r="AV22" s="30">
        <f>IF($C22="","",VLOOKUP($C22,AMABat!$A$10:$BV$140,AV$1,FALSE))</f>
        <v>4</v>
      </c>
      <c r="AW22" s="30">
        <f>IF($C22="","",VLOOKUP($C22,AMABat!$A$10:$BV$140,AW$1,FALSE))</f>
        <v>3</v>
      </c>
      <c r="AX22" s="30">
        <f>IF($C22="","",VLOOKUP($C22,AMABat!$A$10:$BV$140,AX$1,FALSE))</f>
        <v>10</v>
      </c>
      <c r="AY22" s="31">
        <f>IF($C22="","",VLOOKUP($C22,AMABat!$A$10:$BV$140,AY$1,FALSE))</f>
        <v>7</v>
      </c>
      <c r="AZ22" s="60">
        <f t="shared" ref="AZ22:AZ24" si="75">IF($C22="","",(5*AU22+4*AW22+3*AX22+2*AV22+1*AY22+0.5*(AVERAGE(AU22:AV22))+0.5*AVERAGE(AU22,AY22)+1*(AVERAGE(AU22,AW22))+1*AVERAGE(AU22,AX22))/(5+4+3+2+1+0.5+0.5+1+1))</f>
        <v>6.9305555555555554</v>
      </c>
      <c r="BA22" s="60">
        <f t="shared" ref="BA22:BA24" si="76">IF(C22="","",AZ22-AK22)</f>
        <v>2.3055555555555554</v>
      </c>
    </row>
    <row r="23" spans="1:53" x14ac:dyDescent="0.25">
      <c r="A23" s="305">
        <v>2</v>
      </c>
      <c r="B23" s="29" t="s">
        <v>80</v>
      </c>
      <c r="C23" s="30"/>
      <c r="D23" s="30" t="str">
        <f>IF($C23="","",VLOOKUP($C23,AMABat!$A$10:$BV$140,D$1,FALSE))</f>
        <v/>
      </c>
      <c r="E23" s="30" t="str">
        <f>IF($C23="","",VLOOKUP($C23,AMABat!$A$10:$BV$140,E$1,FALSE))</f>
        <v/>
      </c>
      <c r="F23" s="357" t="str">
        <f t="shared" si="52"/>
        <v/>
      </c>
      <c r="G23" s="349" t="str">
        <f t="shared" si="53"/>
        <v/>
      </c>
      <c r="H23" s="349" t="str">
        <f t="shared" si="54"/>
        <v/>
      </c>
      <c r="I23" s="349" t="str">
        <f t="shared" si="55"/>
        <v/>
      </c>
      <c r="J23" s="51" t="str">
        <f>IF($C23="","",VLOOKUP($C23,AMABat!$A$10:$BV$140,J$1,FALSE))</f>
        <v/>
      </c>
      <c r="K23" s="30" t="str">
        <f>IF($C23="","",VLOOKUP($C23,AMABat!$A$10:$BV$140,K$1,FALSE))</f>
        <v/>
      </c>
      <c r="L23" s="31" t="str">
        <f>IF($C23="","",VLOOKUP($C23,AMABat!$A$10:$BV$140,L$1,FALSE))</f>
        <v/>
      </c>
      <c r="M23" s="30" t="str">
        <f>IF($C23="","",VLOOKUP($C23,AMABat!$A$10:$BV$140,M$1,FALSE))</f>
        <v/>
      </c>
      <c r="N23" s="30" t="str">
        <f>IF($C23="","",VLOOKUP($C23,AMABat!$A$10:$BV$140,N$1,FALSE))</f>
        <v/>
      </c>
      <c r="O23" s="30" t="str">
        <f>IF($C23="","",VLOOKUP($C23,AMABat!$A$10:$BV$140,O$1,FALSE))</f>
        <v/>
      </c>
      <c r="P23" s="30" t="str">
        <f>IF($C23="","",VLOOKUP($C23,AMABat!$A$10:$BV$140,P$1,FALSE))</f>
        <v/>
      </c>
      <c r="Q23" s="30" t="str">
        <f>IF($C23="","",VLOOKUP($C23,AMABat!$A$10:$BV$140,Q$1,FALSE))</f>
        <v/>
      </c>
      <c r="R23" s="30" t="str">
        <f>IF($C23="","",VLOOKUP($C23,AMABat!$A$10:$BV$140,R$1,FALSE))</f>
        <v/>
      </c>
      <c r="S23" s="30" t="str">
        <f>IF($C23="","",VLOOKUP($C23,AMABat!$A$10:$BV$140,S$1,FALSE))</f>
        <v/>
      </c>
      <c r="T23" s="31" t="str">
        <f>IF($C23="","",VLOOKUP($C23,AMABat!$A$10:$BV$140,T$1,FALSE))</f>
        <v/>
      </c>
      <c r="U23" s="349" t="str">
        <f t="shared" si="56"/>
        <v/>
      </c>
      <c r="V23" s="349" t="str">
        <f t="shared" si="57"/>
        <v/>
      </c>
      <c r="W23" s="349" t="str">
        <f t="shared" si="58"/>
        <v/>
      </c>
      <c r="X23" s="349" t="str">
        <f t="shared" si="59"/>
        <v/>
      </c>
      <c r="Y23" s="349" t="str">
        <f t="shared" si="60"/>
        <v/>
      </c>
      <c r="Z23" s="349" t="str">
        <f t="shared" si="61"/>
        <v/>
      </c>
      <c r="AA23" s="349" t="str">
        <f t="shared" si="62"/>
        <v/>
      </c>
      <c r="AB23" s="349" t="str">
        <f t="shared" si="63"/>
        <v/>
      </c>
      <c r="AC23" s="350" t="str">
        <f t="shared" si="64"/>
        <v/>
      </c>
      <c r="AD23" s="30" t="str">
        <f>IF($C23="","",VLOOKUP($C23,AMABat!$A$10:$BV$140,AD$1,FALSE))</f>
        <v/>
      </c>
      <c r="AE23" s="30" t="str">
        <f>IF($C23="","",VLOOKUP($C23,AMABat!$A$10:$BV$140,AE$1,FALSE))</f>
        <v/>
      </c>
      <c r="AF23" s="30" t="str">
        <f>IF($C23="","",VLOOKUP($C23,AMABat!$A$10:$BV$140,AF$1,FALSE))</f>
        <v/>
      </c>
      <c r="AG23" s="30" t="str">
        <f>IF($C23="","",VLOOKUP($C23,AMABat!$A$10:$BV$140,AG$1,FALSE))</f>
        <v/>
      </c>
      <c r="AH23" s="30" t="str">
        <f>IF($C23="","",VLOOKUP($C23,AMABat!$A$10:$BV$140,AH$1,FALSE))</f>
        <v/>
      </c>
      <c r="AI23" s="30" t="str">
        <f>IF($C23="","",VLOOKUP($C23,AMABat!$A$10:$BV$140,AI$1,FALSE))</f>
        <v/>
      </c>
      <c r="AJ23" s="31" t="str">
        <f>IF($C23="","",VLOOKUP($C23,AMABat!$A$10:$BV$140,AJ$1,FALSE))</f>
        <v/>
      </c>
      <c r="AK23" s="60" t="str">
        <f t="shared" si="65"/>
        <v/>
      </c>
      <c r="AL23" s="349" t="str">
        <f t="shared" si="66"/>
        <v/>
      </c>
      <c r="AM23" s="349" t="str">
        <f t="shared" si="67"/>
        <v/>
      </c>
      <c r="AN23" s="349" t="str">
        <f t="shared" si="68"/>
        <v/>
      </c>
      <c r="AO23" s="349" t="str">
        <f t="shared" si="69"/>
        <v/>
      </c>
      <c r="AP23" s="349" t="str">
        <f t="shared" si="70"/>
        <v/>
      </c>
      <c r="AQ23" s="349" t="str">
        <f t="shared" si="71"/>
        <v/>
      </c>
      <c r="AR23" s="349" t="str">
        <f t="shared" si="72"/>
        <v/>
      </c>
      <c r="AS23" s="349" t="str">
        <f t="shared" si="73"/>
        <v/>
      </c>
      <c r="AT23" s="350" t="str">
        <f t="shared" si="74"/>
        <v/>
      </c>
      <c r="AU23" s="51" t="str">
        <f>IF($C23="","",VLOOKUP($C23,AMABat!$A$10:$BV$140,AU$1,FALSE))</f>
        <v/>
      </c>
      <c r="AV23" s="30" t="str">
        <f>IF($C23="","",VLOOKUP($C23,AMABat!$A$10:$BV$140,AV$1,FALSE))</f>
        <v/>
      </c>
      <c r="AW23" s="30" t="str">
        <f>IF($C23="","",VLOOKUP($C23,AMABat!$A$10:$BV$140,AW$1,FALSE))</f>
        <v/>
      </c>
      <c r="AX23" s="30" t="str">
        <f>IF($C23="","",VLOOKUP($C23,AMABat!$A$10:$BV$140,AX$1,FALSE))</f>
        <v/>
      </c>
      <c r="AY23" s="31" t="str">
        <f>IF($C23="","",VLOOKUP($C23,AMABat!$A$10:$BV$140,AY$1,FALSE))</f>
        <v/>
      </c>
      <c r="AZ23" s="60" t="str">
        <f t="shared" si="75"/>
        <v/>
      </c>
      <c r="BA23" s="60" t="str">
        <f t="shared" si="76"/>
        <v/>
      </c>
    </row>
    <row r="24" spans="1:53" x14ac:dyDescent="0.25">
      <c r="A24" s="305">
        <v>3</v>
      </c>
      <c r="B24" s="32" t="s">
        <v>80</v>
      </c>
      <c r="C24" s="33"/>
      <c r="D24" s="33" t="str">
        <f>IF($C24="","",VLOOKUP($C24,AMABat!$A$10:$BV$146,D$1,FALSE))</f>
        <v/>
      </c>
      <c r="E24" s="33" t="str">
        <f>IF($C24="","",VLOOKUP($C24,AMABat!$A$10:$BV$146,E$1,FALSE))</f>
        <v/>
      </c>
      <c r="F24" s="47" t="str">
        <f t="shared" si="52"/>
        <v/>
      </c>
      <c r="G24" s="351" t="str">
        <f t="shared" si="53"/>
        <v/>
      </c>
      <c r="H24" s="351" t="str">
        <f t="shared" si="54"/>
        <v/>
      </c>
      <c r="I24" s="351" t="str">
        <f t="shared" si="55"/>
        <v/>
      </c>
      <c r="J24" s="52" t="str">
        <f>IF($C24="","",VLOOKUP($C24,AMABat!$A$10:$BV$146,J$1,FALSE))</f>
        <v/>
      </c>
      <c r="K24" s="33" t="str">
        <f>IF($C24="","",VLOOKUP($C24,AMABat!$A$10:$BV$146,K$1,FALSE))</f>
        <v/>
      </c>
      <c r="L24" s="35" t="str">
        <f>IF($C24="","",VLOOKUP($C24,AMABat!$A$10:$BV$146,L$1,FALSE))</f>
        <v/>
      </c>
      <c r="M24" s="33" t="str">
        <f>IF($C24="","",VLOOKUP($C24,AMABat!$A$10:$BV$146,M$1,FALSE))</f>
        <v/>
      </c>
      <c r="N24" s="33" t="str">
        <f>IF($C24="","",VLOOKUP($C24,AMABat!$A$10:$BV$146,N$1,FALSE))</f>
        <v/>
      </c>
      <c r="O24" s="33" t="str">
        <f>IF($C24="","",VLOOKUP($C24,AMABat!$A$10:$BV$146,O$1,FALSE))</f>
        <v/>
      </c>
      <c r="P24" s="33" t="str">
        <f>IF($C24="","",VLOOKUP($C24,AMABat!$A$10:$BV$146,P$1,FALSE))</f>
        <v/>
      </c>
      <c r="Q24" s="33" t="str">
        <f>IF($C24="","",VLOOKUP($C24,AMABat!$A$10:$BV$146,Q$1,FALSE))</f>
        <v/>
      </c>
      <c r="R24" s="33" t="str">
        <f>IF($C24="","",VLOOKUP($C24,AMABat!$A$10:$BV$146,R$1,FALSE))</f>
        <v/>
      </c>
      <c r="S24" s="33" t="str">
        <f>IF($C24="","",VLOOKUP($C24,AMABat!$A$10:$BV$146,S$1,FALSE))</f>
        <v/>
      </c>
      <c r="T24" s="35" t="str">
        <f>IF($C24="","",VLOOKUP($C24,AMABat!$A$10:$BV$146,T$1,FALSE))</f>
        <v/>
      </c>
      <c r="U24" s="351" t="str">
        <f t="shared" si="56"/>
        <v/>
      </c>
      <c r="V24" s="351" t="str">
        <f t="shared" si="57"/>
        <v/>
      </c>
      <c r="W24" s="351" t="str">
        <f t="shared" si="58"/>
        <v/>
      </c>
      <c r="X24" s="351" t="str">
        <f t="shared" si="59"/>
        <v/>
      </c>
      <c r="Y24" s="351" t="str">
        <f t="shared" si="60"/>
        <v/>
      </c>
      <c r="Z24" s="351" t="str">
        <f t="shared" si="61"/>
        <v/>
      </c>
      <c r="AA24" s="351" t="str">
        <f t="shared" si="62"/>
        <v/>
      </c>
      <c r="AB24" s="351" t="str">
        <f t="shared" si="63"/>
        <v/>
      </c>
      <c r="AC24" s="352" t="str">
        <f t="shared" si="64"/>
        <v/>
      </c>
      <c r="AD24" s="33" t="str">
        <f>IF($C24="","",VLOOKUP($C24,AMABat!$A$10:$BV$146,AD$1,FALSE))</f>
        <v/>
      </c>
      <c r="AE24" s="33" t="str">
        <f>IF($C24="","",VLOOKUP($C24,AMABat!$A$10:$BV$146,AE$1,FALSE))</f>
        <v/>
      </c>
      <c r="AF24" s="33" t="str">
        <f>IF($C24="","",VLOOKUP($C24,AMABat!$A$10:$BV$146,AF$1,FALSE))</f>
        <v/>
      </c>
      <c r="AG24" s="33" t="str">
        <f>IF($C24="","",VLOOKUP($C24,AMABat!$A$10:$BV$146,AG$1,FALSE))</f>
        <v/>
      </c>
      <c r="AH24" s="33" t="str">
        <f>IF($C24="","",VLOOKUP($C24,AMABat!$A$10:$BV$146,AH$1,FALSE))</f>
        <v/>
      </c>
      <c r="AI24" s="33" t="str">
        <f>IF($C24="","",VLOOKUP($C24,AMABat!$A$10:$BV$146,AI$1,FALSE))</f>
        <v/>
      </c>
      <c r="AJ24" s="35" t="str">
        <f>IF($C24="","",VLOOKUP($C24,AMABat!$A$10:$BV$146,AJ$1,FALSE))</f>
        <v/>
      </c>
      <c r="AK24" s="61" t="str">
        <f t="shared" si="65"/>
        <v/>
      </c>
      <c r="AL24" s="351" t="str">
        <f t="shared" si="66"/>
        <v/>
      </c>
      <c r="AM24" s="351" t="str">
        <f t="shared" si="67"/>
        <v/>
      </c>
      <c r="AN24" s="351" t="str">
        <f t="shared" si="68"/>
        <v/>
      </c>
      <c r="AO24" s="351" t="str">
        <f t="shared" si="69"/>
        <v/>
      </c>
      <c r="AP24" s="351" t="str">
        <f t="shared" si="70"/>
        <v/>
      </c>
      <c r="AQ24" s="351" t="str">
        <f t="shared" si="71"/>
        <v/>
      </c>
      <c r="AR24" s="351" t="str">
        <f t="shared" si="72"/>
        <v/>
      </c>
      <c r="AS24" s="351" t="str">
        <f t="shared" si="73"/>
        <v/>
      </c>
      <c r="AT24" s="352" t="str">
        <f t="shared" si="74"/>
        <v/>
      </c>
      <c r="AU24" s="52" t="str">
        <f>IF($C24="","",VLOOKUP($C24,AMABat!$A$10:$BV$146,AU$1,FALSE))</f>
        <v/>
      </c>
      <c r="AV24" s="33" t="str">
        <f>IF($C24="","",VLOOKUP($C24,AMABat!$A$10:$BV$146,AV$1,FALSE))</f>
        <v/>
      </c>
      <c r="AW24" s="33" t="str">
        <f>IF($C24="","",VLOOKUP($C24,AMABat!$A$10:$BV$146,AW$1,FALSE))</f>
        <v/>
      </c>
      <c r="AX24" s="33" t="str">
        <f>IF($C24="","",VLOOKUP($C24,AMABat!$A$10:$BV$146,AX$1,FALSE))</f>
        <v/>
      </c>
      <c r="AY24" s="35" t="str">
        <f>IF($C24="","",VLOOKUP($C24,AMABat!$A$10:$BV$146,AY$1,FALSE))</f>
        <v/>
      </c>
      <c r="AZ24" s="61" t="str">
        <f t="shared" si="75"/>
        <v/>
      </c>
      <c r="BA24" s="61" t="str">
        <f t="shared" si="76"/>
        <v/>
      </c>
    </row>
    <row r="26" spans="1:53" s="1" customFormat="1" x14ac:dyDescent="0.25">
      <c r="B26" s="353" t="s">
        <v>347</v>
      </c>
      <c r="C26" s="37" t="s">
        <v>96</v>
      </c>
      <c r="D26" s="37" t="s">
        <v>97</v>
      </c>
      <c r="E26" s="43" t="s">
        <v>80</v>
      </c>
      <c r="F26" s="354" t="s">
        <v>133</v>
      </c>
      <c r="G26" s="354" t="s">
        <v>137</v>
      </c>
      <c r="H26" s="355" t="s">
        <v>135</v>
      </c>
      <c r="I26" s="81" t="s">
        <v>159</v>
      </c>
      <c r="J26" s="353" t="s">
        <v>71</v>
      </c>
      <c r="K26" s="354" t="s">
        <v>123</v>
      </c>
      <c r="L26" s="354" t="s">
        <v>124</v>
      </c>
      <c r="M26" s="354" t="s">
        <v>180</v>
      </c>
      <c r="N26" s="354" t="s">
        <v>72</v>
      </c>
      <c r="O26" s="353" t="s">
        <v>181</v>
      </c>
      <c r="P26" s="355" t="s">
        <v>182</v>
      </c>
      <c r="Q26" s="353" t="s">
        <v>190</v>
      </c>
      <c r="R26" s="80" t="s">
        <v>203</v>
      </c>
      <c r="T26" s="353" t="s">
        <v>97</v>
      </c>
      <c r="U26" s="353" t="s">
        <v>191</v>
      </c>
      <c r="V26" s="355" t="s">
        <v>204</v>
      </c>
      <c r="W26" s="354" t="s">
        <v>190</v>
      </c>
      <c r="X26" s="355" t="s">
        <v>203</v>
      </c>
      <c r="Z26" s="1" t="s">
        <v>336</v>
      </c>
      <c r="AG26" s="400" t="s">
        <v>346</v>
      </c>
      <c r="AH26" s="401"/>
      <c r="AI26" s="401"/>
      <c r="AJ26" s="401"/>
      <c r="AK26" s="401"/>
      <c r="AL26" s="401"/>
      <c r="AM26" s="401"/>
      <c r="AN26" s="401"/>
      <c r="AO26" s="401"/>
      <c r="AP26" s="401"/>
      <c r="AQ26" s="401"/>
      <c r="AR26" s="401"/>
      <c r="AS26" s="401"/>
      <c r="AT26" s="402"/>
    </row>
    <row r="27" spans="1:53" x14ac:dyDescent="0.25">
      <c r="B27" s="29">
        <v>1</v>
      </c>
      <c r="C27" s="50"/>
      <c r="D27" s="26" t="s">
        <v>79</v>
      </c>
      <c r="E27" s="31" t="str">
        <f t="shared" ref="E27" si="77">IF($C27="","",VLOOKUP($C27,$C$3:$AK$24,$E$1-2,FALSE))</f>
        <v/>
      </c>
      <c r="F27" s="349" t="str">
        <f t="shared" ref="F27:F35" si="78">IF($C27="","",VLOOKUP($C27,$C$3:$AK$24,18+$B27,FALSE))</f>
        <v/>
      </c>
      <c r="G27" s="349" t="str">
        <f>IF($C27="","",IF(VLOOKUP($C27,$C$3:$AK$24,18+3,FALSE)=1,3,IF(VLOOKUP($C27,$C$3:$AK$24,18+4,FALSE)=1,4,IF(VLOOKUP($C27,$C$3:$AK$24,18+1,FALSE)=1,1,IF(VLOOKUP($C27,$C$3:$AK$24,18+5,FALSE)=1,5,IF(VLOOKUP($C27,$C$3:$AK$24,18+2,FALSE)=1,2,IF(VLOOKUP($C27,$C$3:$AK$24,18+6,FALSE)=1,6,IF(VLOOKUP($C27,$C$3:$AK$24,18+7,FALSE)=1,7,IF(VLOOKUP($C27,$C$3:$AK$24,18+8,FALSE)=1,8,9)))))))))</f>
        <v/>
      </c>
      <c r="H27" s="8" t="str">
        <f>IF($C27="","",VLOOKUP($C27,$C$3:$AK$24,35,FALSE))</f>
        <v/>
      </c>
      <c r="I27" s="82">
        <v>3</v>
      </c>
      <c r="J27" s="357" t="str">
        <f>IF($C27="","",VLOOKUP($C27,$C$3:$AZ$24,17+AD$1,FALSE))</f>
        <v/>
      </c>
      <c r="K27" s="349" t="str">
        <f t="shared" ref="K27:N34" si="79">IF($C27="","",VLOOKUP($C27,$C$3:$AZ$24,17+AE$1,FALSE))</f>
        <v/>
      </c>
      <c r="L27" s="349" t="str">
        <f t="shared" si="79"/>
        <v/>
      </c>
      <c r="M27" s="349" t="str">
        <f t="shared" si="79"/>
        <v/>
      </c>
      <c r="N27" s="349" t="str">
        <f t="shared" si="79"/>
        <v/>
      </c>
      <c r="O27" s="357" t="str">
        <f t="shared" ref="O27:P35" si="80">IF($C27="","",VLOOKUP($C27,$C$3:$AZ$24,1+AI$1,FALSE))</f>
        <v/>
      </c>
      <c r="P27" s="350" t="str">
        <f t="shared" si="80"/>
        <v/>
      </c>
      <c r="Q27" s="107" t="str">
        <f t="shared" ref="Q27:Q35" si="81">IF($C27="","",IF($D27="DH","-",VLOOKUP($C27,$C$2:$AZ$24,9+VLOOKUP($D27,$T$26:$U$34,2,FALSE),FALSE)))</f>
        <v/>
      </c>
      <c r="R27" s="94" t="str">
        <f t="shared" ref="R27:R35" si="82">IF($C27="","",IF($D27="DH","-",VLOOKUP($C27,$C$2:$AZ$24,VLOOKUP($D27,$T$26:$V$34,3,FALSE),FALSE)))</f>
        <v/>
      </c>
      <c r="T27" s="357" t="s">
        <v>71</v>
      </c>
      <c r="U27" s="357">
        <v>2</v>
      </c>
      <c r="V27" s="350">
        <v>8</v>
      </c>
      <c r="W27" s="349" t="str">
        <f>VLOOKUP($T27,$D$26:$R$35,14,FALSE)</f>
        <v/>
      </c>
      <c r="X27" s="350" t="str">
        <f>VLOOKUP($T27,$D$26:$R$35,15,FALSE)</f>
        <v/>
      </c>
      <c r="Z27" s="305" t="s">
        <v>337</v>
      </c>
      <c r="AA27" s="305">
        <v>1</v>
      </c>
      <c r="AG27" s="192">
        <v>1</v>
      </c>
      <c r="AH27" s="406" t="s">
        <v>362</v>
      </c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7"/>
      <c r="AU27" s="305" t="s">
        <v>366</v>
      </c>
    </row>
    <row r="28" spans="1:53" x14ac:dyDescent="0.25">
      <c r="B28" s="29">
        <v>2</v>
      </c>
      <c r="C28" s="51"/>
      <c r="D28" s="30" t="s">
        <v>76</v>
      </c>
      <c r="E28" s="31" t="str">
        <f>IF($C28="","",VLOOKUP($C28,$C$3:$AK$24,$E$1-2,FALSE))</f>
        <v/>
      </c>
      <c r="F28" s="349" t="str">
        <f t="shared" si="78"/>
        <v/>
      </c>
      <c r="G28" s="349" t="str">
        <f t="shared" ref="G28:G35" si="83">IF($C28="","",IF(VLOOKUP($C28,$C$3:$AK$24,18+3,FALSE)=1,3,IF(VLOOKUP($C28,$C$3:$AK$24,18+4,FALSE)=1,4,IF(VLOOKUP($C28,$C$3:$AK$24,18+1,FALSE)=1,1,IF(VLOOKUP($C28,$C$3:$AK$24,18+5,FALSE)=1,5,IF(VLOOKUP($C28,$C$3:$AK$24,18+2,FALSE)=1,2,IF(VLOOKUP($C28,$C$3:$AK$24,18+6,FALSE)=1,6,IF(VLOOKUP($C28,$C$3:$AK$24,18+7,FALSE)=1,7,IF(VLOOKUP($C28,$C$3:$AK$24,18+8,FALSE)=1,8,9)))))))))</f>
        <v/>
      </c>
      <c r="H28" s="8" t="str">
        <f t="shared" ref="H28:H35" si="84">IF($C28="","",VLOOKUP($C28,$C$3:$AK$24,35,FALSE))</f>
        <v/>
      </c>
      <c r="I28" s="82">
        <v>5</v>
      </c>
      <c r="J28" s="357" t="str">
        <f t="shared" ref="J28:J34" si="85">IF($C28="","",VLOOKUP($C28,$C$3:$AZ$24,17+AD$1,FALSE))</f>
        <v/>
      </c>
      <c r="K28" s="349" t="str">
        <f t="shared" si="79"/>
        <v/>
      </c>
      <c r="L28" s="349" t="str">
        <f t="shared" si="79"/>
        <v/>
      </c>
      <c r="M28" s="349" t="str">
        <f t="shared" si="79"/>
        <v/>
      </c>
      <c r="N28" s="349" t="str">
        <f t="shared" si="79"/>
        <v/>
      </c>
      <c r="O28" s="357" t="str">
        <f t="shared" si="80"/>
        <v/>
      </c>
      <c r="P28" s="350" t="str">
        <f t="shared" si="80"/>
        <v/>
      </c>
      <c r="Q28" s="108" t="str">
        <f t="shared" si="81"/>
        <v/>
      </c>
      <c r="R28" s="94" t="str">
        <f t="shared" si="82"/>
        <v/>
      </c>
      <c r="T28" s="357" t="s">
        <v>73</v>
      </c>
      <c r="U28" s="357">
        <v>3</v>
      </c>
      <c r="V28" s="350">
        <v>9</v>
      </c>
      <c r="W28" s="349" t="str">
        <f t="shared" ref="W28:W34" si="86">VLOOKUP($T28,$D$26:$R$35,14,FALSE)</f>
        <v/>
      </c>
      <c r="X28" s="350" t="str">
        <f t="shared" ref="X28:X34" si="87">VLOOKUP($T28,$D$26:$R$35,15,FALSE)</f>
        <v/>
      </c>
      <c r="Z28" s="305" t="s">
        <v>338</v>
      </c>
      <c r="AA28" s="305">
        <v>3</v>
      </c>
      <c r="AG28" s="70">
        <v>2</v>
      </c>
      <c r="AH28" s="396" t="s">
        <v>363</v>
      </c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7"/>
      <c r="AU28" s="305" t="s">
        <v>370</v>
      </c>
    </row>
    <row r="29" spans="1:53" x14ac:dyDescent="0.25">
      <c r="B29" s="29">
        <v>3</v>
      </c>
      <c r="C29" s="51"/>
      <c r="D29" s="58" t="s">
        <v>73</v>
      </c>
      <c r="E29" s="31" t="str">
        <f t="shared" ref="E29:E35" si="88">IF($C29="","",VLOOKUP($C29,$C$3:$AK$24,$E$1-2,FALSE))</f>
        <v/>
      </c>
      <c r="F29" s="349" t="str">
        <f t="shared" si="78"/>
        <v/>
      </c>
      <c r="G29" s="349" t="str">
        <f t="shared" si="83"/>
        <v/>
      </c>
      <c r="H29" s="8" t="str">
        <f t="shared" si="84"/>
        <v/>
      </c>
      <c r="I29" s="82">
        <v>1</v>
      </c>
      <c r="J29" s="357" t="str">
        <f t="shared" si="85"/>
        <v/>
      </c>
      <c r="K29" s="349" t="str">
        <f t="shared" si="79"/>
        <v/>
      </c>
      <c r="L29" s="349" t="str">
        <f t="shared" si="79"/>
        <v/>
      </c>
      <c r="M29" s="349" t="str">
        <f t="shared" si="79"/>
        <v/>
      </c>
      <c r="N29" s="349" t="str">
        <f t="shared" si="79"/>
        <v/>
      </c>
      <c r="O29" s="357" t="str">
        <f t="shared" si="80"/>
        <v/>
      </c>
      <c r="P29" s="350" t="str">
        <f t="shared" si="80"/>
        <v/>
      </c>
      <c r="Q29" s="108" t="str">
        <f t="shared" si="81"/>
        <v/>
      </c>
      <c r="R29" s="94" t="str">
        <f t="shared" si="82"/>
        <v/>
      </c>
      <c r="T29" s="357" t="s">
        <v>74</v>
      </c>
      <c r="U29" s="357">
        <v>4</v>
      </c>
      <c r="V29" s="350">
        <v>9</v>
      </c>
      <c r="W29" s="349" t="e">
        <f t="shared" si="86"/>
        <v>#N/A</v>
      </c>
      <c r="X29" s="350" t="e">
        <f t="shared" si="87"/>
        <v>#N/A</v>
      </c>
      <c r="Z29" s="305" t="s">
        <v>341</v>
      </c>
      <c r="AA29" s="305">
        <v>5</v>
      </c>
      <c r="AG29" s="70">
        <v>3</v>
      </c>
      <c r="AH29" s="406" t="s">
        <v>369</v>
      </c>
      <c r="AI29" s="406"/>
      <c r="AJ29" s="406"/>
      <c r="AK29" s="406"/>
      <c r="AL29" s="406"/>
      <c r="AM29" s="406"/>
      <c r="AN29" s="406"/>
      <c r="AO29" s="406"/>
      <c r="AP29" s="406"/>
      <c r="AQ29" s="406"/>
      <c r="AR29" s="406"/>
      <c r="AS29" s="406"/>
      <c r="AT29" s="407"/>
      <c r="AU29" s="305" t="s">
        <v>383</v>
      </c>
    </row>
    <row r="30" spans="1:53" x14ac:dyDescent="0.25">
      <c r="B30" s="29">
        <v>4</v>
      </c>
      <c r="C30" s="51"/>
      <c r="D30" s="58" t="s">
        <v>78</v>
      </c>
      <c r="E30" s="31" t="str">
        <f t="shared" si="88"/>
        <v/>
      </c>
      <c r="F30" s="349" t="str">
        <f t="shared" si="78"/>
        <v/>
      </c>
      <c r="G30" s="349" t="str">
        <f t="shared" si="83"/>
        <v/>
      </c>
      <c r="H30" s="8" t="str">
        <f t="shared" si="84"/>
        <v/>
      </c>
      <c r="I30" s="82">
        <v>2</v>
      </c>
      <c r="J30" s="357" t="str">
        <f t="shared" si="85"/>
        <v/>
      </c>
      <c r="K30" s="349" t="str">
        <f t="shared" si="79"/>
        <v/>
      </c>
      <c r="L30" s="349" t="str">
        <f t="shared" si="79"/>
        <v/>
      </c>
      <c r="M30" s="349" t="str">
        <f t="shared" si="79"/>
        <v/>
      </c>
      <c r="N30" s="349" t="str">
        <f t="shared" si="79"/>
        <v/>
      </c>
      <c r="O30" s="357" t="str">
        <f t="shared" si="80"/>
        <v/>
      </c>
      <c r="P30" s="350" t="str">
        <f t="shared" si="80"/>
        <v/>
      </c>
      <c r="Q30" s="108" t="str">
        <f t="shared" si="81"/>
        <v/>
      </c>
      <c r="R30" s="94" t="str">
        <f t="shared" si="82"/>
        <v/>
      </c>
      <c r="T30" s="357" t="s">
        <v>75</v>
      </c>
      <c r="U30" s="357">
        <v>5</v>
      </c>
      <c r="V30" s="350">
        <v>9</v>
      </c>
      <c r="W30" s="349" t="str">
        <f t="shared" si="86"/>
        <v/>
      </c>
      <c r="X30" s="350" t="str">
        <f t="shared" si="87"/>
        <v/>
      </c>
      <c r="Z30" s="305" t="s">
        <v>340</v>
      </c>
      <c r="AA30" s="305">
        <v>2</v>
      </c>
      <c r="AG30" s="70">
        <v>4</v>
      </c>
      <c r="AH30" s="406" t="s">
        <v>368</v>
      </c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7"/>
      <c r="AU30" s="305" t="s">
        <v>373</v>
      </c>
    </row>
    <row r="31" spans="1:53" x14ac:dyDescent="0.25">
      <c r="B31" s="29">
        <v>5</v>
      </c>
      <c r="C31" s="51"/>
      <c r="D31" s="58" t="s">
        <v>79</v>
      </c>
      <c r="E31" s="31" t="str">
        <f t="shared" si="88"/>
        <v/>
      </c>
      <c r="F31" s="349" t="str">
        <f t="shared" si="78"/>
        <v/>
      </c>
      <c r="G31" s="349" t="str">
        <f t="shared" si="83"/>
        <v/>
      </c>
      <c r="H31" s="8" t="str">
        <f t="shared" si="84"/>
        <v/>
      </c>
      <c r="I31" s="82">
        <v>4</v>
      </c>
      <c r="J31" s="357" t="str">
        <f t="shared" si="85"/>
        <v/>
      </c>
      <c r="K31" s="349" t="str">
        <f t="shared" si="79"/>
        <v/>
      </c>
      <c r="L31" s="349" t="str">
        <f t="shared" si="79"/>
        <v/>
      </c>
      <c r="M31" s="349" t="str">
        <f t="shared" si="79"/>
        <v/>
      </c>
      <c r="N31" s="349" t="str">
        <f t="shared" si="79"/>
        <v/>
      </c>
      <c r="O31" s="357" t="str">
        <f t="shared" si="80"/>
        <v/>
      </c>
      <c r="P31" s="350" t="str">
        <f t="shared" si="80"/>
        <v/>
      </c>
      <c r="Q31" s="108" t="str">
        <f t="shared" si="81"/>
        <v/>
      </c>
      <c r="R31" s="94" t="str">
        <f t="shared" si="82"/>
        <v/>
      </c>
      <c r="T31" s="357" t="s">
        <v>76</v>
      </c>
      <c r="U31" s="357">
        <v>6</v>
      </c>
      <c r="V31" s="350">
        <v>9</v>
      </c>
      <c r="W31" s="349" t="str">
        <f t="shared" si="86"/>
        <v/>
      </c>
      <c r="X31" s="350" t="str">
        <f t="shared" si="87"/>
        <v/>
      </c>
      <c r="Z31" s="305" t="s">
        <v>339</v>
      </c>
      <c r="AA31" s="305">
        <v>4</v>
      </c>
      <c r="AG31" s="70">
        <v>5</v>
      </c>
      <c r="AH31" s="408" t="s">
        <v>361</v>
      </c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10"/>
    </row>
    <row r="32" spans="1:53" x14ac:dyDescent="0.25">
      <c r="B32" s="29">
        <v>6</v>
      </c>
      <c r="C32" s="51"/>
      <c r="D32" s="58" t="s">
        <v>75</v>
      </c>
      <c r="E32" s="31" t="str">
        <f t="shared" si="88"/>
        <v/>
      </c>
      <c r="F32" s="349" t="str">
        <f t="shared" si="78"/>
        <v/>
      </c>
      <c r="G32" s="349" t="str">
        <f t="shared" si="83"/>
        <v/>
      </c>
      <c r="H32" s="8" t="str">
        <f t="shared" si="84"/>
        <v/>
      </c>
      <c r="I32" s="82">
        <v>6</v>
      </c>
      <c r="J32" s="357" t="str">
        <f t="shared" si="85"/>
        <v/>
      </c>
      <c r="K32" s="349" t="str">
        <f t="shared" si="79"/>
        <v/>
      </c>
      <c r="L32" s="349" t="str">
        <f t="shared" si="79"/>
        <v/>
      </c>
      <c r="M32" s="349" t="str">
        <f t="shared" si="79"/>
        <v/>
      </c>
      <c r="N32" s="349" t="str">
        <f t="shared" si="79"/>
        <v/>
      </c>
      <c r="O32" s="357" t="str">
        <f t="shared" si="80"/>
        <v/>
      </c>
      <c r="P32" s="350" t="str">
        <f t="shared" si="80"/>
        <v/>
      </c>
      <c r="Q32" s="108" t="str">
        <f t="shared" si="81"/>
        <v/>
      </c>
      <c r="R32" s="94" t="str">
        <f t="shared" si="82"/>
        <v/>
      </c>
      <c r="T32" s="357" t="s">
        <v>77</v>
      </c>
      <c r="U32" s="357">
        <v>7</v>
      </c>
      <c r="V32" s="350">
        <v>10</v>
      </c>
      <c r="W32" s="349" t="str">
        <f t="shared" si="86"/>
        <v/>
      </c>
      <c r="X32" s="350" t="str">
        <f t="shared" si="87"/>
        <v/>
      </c>
      <c r="Z32" s="305" t="s">
        <v>343</v>
      </c>
      <c r="AA32" s="305">
        <v>6</v>
      </c>
      <c r="AG32" s="70">
        <v>6</v>
      </c>
      <c r="AH32" s="411" t="s">
        <v>364</v>
      </c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7"/>
      <c r="AU32" s="305" t="s">
        <v>376</v>
      </c>
    </row>
    <row r="33" spans="2:47" x14ac:dyDescent="0.25">
      <c r="B33" s="29">
        <v>7</v>
      </c>
      <c r="C33" s="51"/>
      <c r="D33" s="58" t="s">
        <v>71</v>
      </c>
      <c r="E33" s="31" t="str">
        <f t="shared" si="88"/>
        <v/>
      </c>
      <c r="F33" s="349" t="str">
        <f t="shared" si="78"/>
        <v/>
      </c>
      <c r="G33" s="349" t="str">
        <f t="shared" si="83"/>
        <v/>
      </c>
      <c r="H33" s="8" t="str">
        <f t="shared" si="84"/>
        <v/>
      </c>
      <c r="I33" s="82">
        <v>7</v>
      </c>
      <c r="J33" s="357" t="str">
        <f t="shared" si="85"/>
        <v/>
      </c>
      <c r="K33" s="349" t="str">
        <f t="shared" si="79"/>
        <v/>
      </c>
      <c r="L33" s="349" t="str">
        <f t="shared" si="79"/>
        <v/>
      </c>
      <c r="M33" s="349" t="str">
        <f t="shared" si="79"/>
        <v/>
      </c>
      <c r="N33" s="349" t="str">
        <f t="shared" si="79"/>
        <v/>
      </c>
      <c r="O33" s="357" t="str">
        <f t="shared" si="80"/>
        <v/>
      </c>
      <c r="P33" s="350" t="str">
        <f t="shared" si="80"/>
        <v/>
      </c>
      <c r="Q33" s="108" t="str">
        <f t="shared" si="81"/>
        <v/>
      </c>
      <c r="R33" s="94" t="str">
        <f t="shared" si="82"/>
        <v/>
      </c>
      <c r="T33" s="357" t="s">
        <v>78</v>
      </c>
      <c r="U33" s="357">
        <v>8</v>
      </c>
      <c r="V33" s="350">
        <v>10</v>
      </c>
      <c r="W33" s="349" t="str">
        <f t="shared" si="86"/>
        <v/>
      </c>
      <c r="X33" s="350" t="str">
        <f t="shared" si="87"/>
        <v/>
      </c>
      <c r="Z33" s="305" t="s">
        <v>344</v>
      </c>
      <c r="AA33" s="305">
        <v>7</v>
      </c>
      <c r="AG33" s="70">
        <v>7</v>
      </c>
      <c r="AH33" s="411" t="s">
        <v>365</v>
      </c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7"/>
      <c r="AU33" s="305" t="s">
        <v>367</v>
      </c>
    </row>
    <row r="34" spans="2:47" x14ac:dyDescent="0.25">
      <c r="B34" s="29">
        <v>8</v>
      </c>
      <c r="C34" s="51"/>
      <c r="D34" s="58" t="s">
        <v>77</v>
      </c>
      <c r="E34" s="31" t="str">
        <f t="shared" si="88"/>
        <v/>
      </c>
      <c r="F34" s="349" t="str">
        <f t="shared" si="78"/>
        <v/>
      </c>
      <c r="G34" s="349" t="str">
        <f t="shared" si="83"/>
        <v/>
      </c>
      <c r="H34" s="8" t="str">
        <f t="shared" si="84"/>
        <v/>
      </c>
      <c r="I34" s="82">
        <v>8</v>
      </c>
      <c r="J34" s="357" t="str">
        <f t="shared" si="85"/>
        <v/>
      </c>
      <c r="K34" s="349" t="str">
        <f t="shared" si="79"/>
        <v/>
      </c>
      <c r="L34" s="349" t="str">
        <f t="shared" si="79"/>
        <v/>
      </c>
      <c r="M34" s="349" t="str">
        <f t="shared" si="79"/>
        <v/>
      </c>
      <c r="N34" s="349" t="str">
        <f t="shared" si="79"/>
        <v/>
      </c>
      <c r="O34" s="357" t="str">
        <f t="shared" si="80"/>
        <v/>
      </c>
      <c r="P34" s="350" t="str">
        <f t="shared" si="80"/>
        <v/>
      </c>
      <c r="Q34" s="108" t="str">
        <f t="shared" si="81"/>
        <v/>
      </c>
      <c r="R34" s="94" t="str">
        <f t="shared" si="82"/>
        <v/>
      </c>
      <c r="T34" s="47" t="s">
        <v>79</v>
      </c>
      <c r="U34" s="47">
        <v>9</v>
      </c>
      <c r="V34" s="352">
        <v>10</v>
      </c>
      <c r="W34" s="351" t="str">
        <f t="shared" si="86"/>
        <v/>
      </c>
      <c r="X34" s="352" t="str">
        <f t="shared" si="87"/>
        <v/>
      </c>
      <c r="Z34" s="305" t="s">
        <v>345</v>
      </c>
      <c r="AA34" s="305">
        <v>8</v>
      </c>
      <c r="AG34" s="70">
        <v>8</v>
      </c>
      <c r="AH34" s="412" t="s">
        <v>374</v>
      </c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305" t="s">
        <v>375</v>
      </c>
    </row>
    <row r="35" spans="2:47" x14ac:dyDescent="0.25">
      <c r="B35" s="32">
        <v>9</v>
      </c>
      <c r="C35" s="52" t="s">
        <v>459</v>
      </c>
      <c r="D35" s="33" t="s">
        <v>74</v>
      </c>
      <c r="E35" s="35" t="e">
        <f t="shared" si="88"/>
        <v>#N/A</v>
      </c>
      <c r="F35" s="351" t="e">
        <f t="shared" si="78"/>
        <v>#N/A</v>
      </c>
      <c r="G35" s="351" t="e">
        <f t="shared" si="83"/>
        <v>#N/A</v>
      </c>
      <c r="H35" s="62" t="e">
        <f t="shared" si="84"/>
        <v>#N/A</v>
      </c>
      <c r="I35" s="83">
        <v>9</v>
      </c>
      <c r="J35" s="47" t="e">
        <f>IF($C35="","",VLOOKUP($C35,AMABat!$A$10:$BV$140,AU$1,FALSE))</f>
        <v>#N/A</v>
      </c>
      <c r="K35" s="351" t="e">
        <f>IF($C35="","",VLOOKUP($C35,AMABat!$A$10:$BV$140,AV$1,FALSE))</f>
        <v>#N/A</v>
      </c>
      <c r="L35" s="351" t="e">
        <f>IF($C35="","",VLOOKUP($C35,AMABat!$A$10:$BV$140,AW$1,FALSE))</f>
        <v>#N/A</v>
      </c>
      <c r="M35" s="351" t="e">
        <f>IF($C35="","",VLOOKUP($C35,AMABat!$A$10:$BV$140,AX$1,FALSE))</f>
        <v>#N/A</v>
      </c>
      <c r="N35" s="351" t="e">
        <f>IF($C35="","",VLOOKUP($C35,AMABat!$A$10:$BV$140,AY$1,FALSE))</f>
        <v>#N/A</v>
      </c>
      <c r="O35" s="47" t="e">
        <f t="shared" si="80"/>
        <v>#N/A</v>
      </c>
      <c r="P35" s="352" t="e">
        <f t="shared" si="80"/>
        <v>#N/A</v>
      </c>
      <c r="Q35" s="109" t="e">
        <f t="shared" si="81"/>
        <v>#N/A</v>
      </c>
      <c r="R35" s="95" t="e">
        <f t="shared" si="82"/>
        <v>#N/A</v>
      </c>
      <c r="Z35" s="305" t="s">
        <v>342</v>
      </c>
      <c r="AA35" s="305">
        <v>9</v>
      </c>
      <c r="AG35" s="70">
        <v>9</v>
      </c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7"/>
    </row>
    <row r="36" spans="2:47" x14ac:dyDescent="0.25">
      <c r="B36" s="4"/>
      <c r="C36" s="30"/>
      <c r="D36" s="30"/>
      <c r="E36" s="30"/>
      <c r="F36" s="349"/>
      <c r="G36" s="349"/>
      <c r="H36" s="9"/>
      <c r="AG36" s="71">
        <v>10</v>
      </c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9"/>
    </row>
    <row r="37" spans="2:47" s="1" customFormat="1" x14ac:dyDescent="0.25">
      <c r="B37" s="353" t="s">
        <v>348</v>
      </c>
      <c r="C37" s="37" t="s">
        <v>96</v>
      </c>
      <c r="D37" s="37" t="s">
        <v>97</v>
      </c>
      <c r="E37" s="43" t="s">
        <v>80</v>
      </c>
      <c r="F37" s="354" t="s">
        <v>133</v>
      </c>
      <c r="G37" s="354" t="s">
        <v>137</v>
      </c>
      <c r="H37" s="355" t="s">
        <v>135</v>
      </c>
      <c r="I37" s="81" t="s">
        <v>159</v>
      </c>
      <c r="J37" s="353" t="s">
        <v>71</v>
      </c>
      <c r="K37" s="354" t="s">
        <v>123</v>
      </c>
      <c r="L37" s="354" t="s">
        <v>124</v>
      </c>
      <c r="M37" s="354" t="s">
        <v>180</v>
      </c>
      <c r="N37" s="354" t="s">
        <v>72</v>
      </c>
      <c r="O37" s="353" t="s">
        <v>181</v>
      </c>
      <c r="P37" s="355" t="s">
        <v>182</v>
      </c>
      <c r="Q37" s="353" t="s">
        <v>190</v>
      </c>
      <c r="R37" s="80" t="s">
        <v>203</v>
      </c>
      <c r="T37" s="353" t="s">
        <v>97</v>
      </c>
      <c r="U37" s="353" t="s">
        <v>191</v>
      </c>
      <c r="V37" s="355" t="s">
        <v>204</v>
      </c>
      <c r="W37" s="354" t="s">
        <v>190</v>
      </c>
      <c r="X37" s="355" t="s">
        <v>203</v>
      </c>
      <c r="Z37" s="1" t="s">
        <v>336</v>
      </c>
    </row>
    <row r="38" spans="2:47" x14ac:dyDescent="0.25">
      <c r="B38" s="29">
        <v>1</v>
      </c>
      <c r="C38" s="50"/>
      <c r="D38" s="26" t="s">
        <v>79</v>
      </c>
      <c r="E38" s="31" t="str">
        <f t="shared" ref="E38" si="89">IF($C38="","",VLOOKUP($C38,$C$3:$AK$24,$E$1-2,FALSE))</f>
        <v/>
      </c>
      <c r="F38" s="349" t="str">
        <f t="shared" ref="F38:F46" si="90">IF($C38="","",VLOOKUP($C38,$C$3:$AK$24,18+$B38,FALSE))</f>
        <v/>
      </c>
      <c r="G38" s="349" t="str">
        <f>IF($C38="","",IF(VLOOKUP($C38,$C$3:$AK$24,18+3,FALSE)=1,3,IF(VLOOKUP($C38,$C$3:$AK$24,18+4,FALSE)=1,4,IF(VLOOKUP($C38,$C$3:$AK$24,18+1,FALSE)=1,1,IF(VLOOKUP($C38,$C$3:$AK$24,18+5,FALSE)=1,5,IF(VLOOKUP($C38,$C$3:$AK$24,18+2,FALSE)=1,2,IF(VLOOKUP($C38,$C$3:$AK$24,18+6,FALSE)=1,6,IF(VLOOKUP($C38,$C$3:$AK$24,18+7,FALSE)=1,7,IF(VLOOKUP($C38,$C$3:$AK$24,18+8,FALSE)=1,8,9)))))))))</f>
        <v/>
      </c>
      <c r="H38" s="8" t="str">
        <f>IF($C38="","",VLOOKUP($C38,$C$3:$AK$24,35,FALSE))</f>
        <v/>
      </c>
      <c r="I38" s="82">
        <v>3</v>
      </c>
      <c r="J38" s="357" t="str">
        <f>IF($C38="","",VLOOKUP($C38,$C$3:$AZ$24,17+AD$1,FALSE))</f>
        <v/>
      </c>
      <c r="K38" s="349" t="str">
        <f t="shared" ref="K38:N46" si="91">IF($C38="","",VLOOKUP($C38,$C$3:$AZ$24,17+AE$1,FALSE))</f>
        <v/>
      </c>
      <c r="L38" s="349" t="str">
        <f t="shared" si="91"/>
        <v/>
      </c>
      <c r="M38" s="349" t="str">
        <f t="shared" si="91"/>
        <v/>
      </c>
      <c r="N38" s="349" t="str">
        <f t="shared" si="91"/>
        <v/>
      </c>
      <c r="O38" s="357" t="str">
        <f t="shared" ref="O38:P46" si="92">IF($C38="","",VLOOKUP($C38,$C$3:$AZ$24,1+AI$1,FALSE))</f>
        <v/>
      </c>
      <c r="P38" s="350" t="str">
        <f t="shared" si="92"/>
        <v/>
      </c>
      <c r="Q38" s="107" t="str">
        <f t="shared" ref="Q38:Q46" si="93">IF($C38="","",IF($D38="DH","-",VLOOKUP($C38,$C$2:$AZ$24,9+VLOOKUP($D38,$T$26:$U$34,2,FALSE),FALSE)))</f>
        <v/>
      </c>
      <c r="R38" s="94" t="str">
        <f t="shared" ref="R38:R46" si="94">IF($C38="","",IF($D38="DH","-",VLOOKUP($C38,$C$2:$AZ$24,VLOOKUP($D38,$T$26:$V$34,3,FALSE),FALSE)))</f>
        <v/>
      </c>
      <c r="T38" s="357" t="s">
        <v>71</v>
      </c>
      <c r="U38" s="357">
        <v>2</v>
      </c>
      <c r="V38" s="350">
        <v>8</v>
      </c>
      <c r="W38" s="349" t="str">
        <f>VLOOKUP($T38,$D$37:$R$46,14,FALSE)</f>
        <v/>
      </c>
      <c r="X38" s="350" t="str">
        <f>VLOOKUP($T38,$D$37:$R$46,15,FALSE)</f>
        <v/>
      </c>
      <c r="Z38" s="305" t="s">
        <v>337</v>
      </c>
      <c r="AA38" s="305">
        <v>1</v>
      </c>
      <c r="AG38" s="400" t="s">
        <v>384</v>
      </c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2"/>
    </row>
    <row r="39" spans="2:47" x14ac:dyDescent="0.25">
      <c r="B39" s="29">
        <v>2</v>
      </c>
      <c r="C39" s="51"/>
      <c r="D39" s="30" t="s">
        <v>78</v>
      </c>
      <c r="E39" s="31" t="str">
        <f>IF($C39="","",VLOOKUP($C39,$C$3:$AK$24,$E$1-2,FALSE))</f>
        <v/>
      </c>
      <c r="F39" s="349" t="str">
        <f t="shared" si="90"/>
        <v/>
      </c>
      <c r="G39" s="349" t="str">
        <f t="shared" ref="G39:G46" si="95">IF($C39="","",IF(VLOOKUP($C39,$C$3:$AK$24,18+3,FALSE)=1,3,IF(VLOOKUP($C39,$C$3:$AK$24,18+4,FALSE)=1,4,IF(VLOOKUP($C39,$C$3:$AK$24,18+1,FALSE)=1,1,IF(VLOOKUP($C39,$C$3:$AK$24,18+5,FALSE)=1,5,IF(VLOOKUP($C39,$C$3:$AK$24,18+2,FALSE)=1,2,IF(VLOOKUP($C39,$C$3:$AK$24,18+6,FALSE)=1,6,IF(VLOOKUP($C39,$C$3:$AK$24,18+7,FALSE)=1,7,IF(VLOOKUP($C39,$C$3:$AK$24,18+8,FALSE)=1,8,9)))))))))</f>
        <v/>
      </c>
      <c r="H39" s="8" t="str">
        <f t="shared" ref="H39:H46" si="96">IF($C39="","",VLOOKUP($C39,$C$3:$AK$24,35,FALSE))</f>
        <v/>
      </c>
      <c r="I39" s="82">
        <v>5</v>
      </c>
      <c r="J39" s="357" t="str">
        <f t="shared" ref="J39:J46" si="97">IF($C39="","",VLOOKUP($C39,$C$3:$AZ$24,17+AD$1,FALSE))</f>
        <v/>
      </c>
      <c r="K39" s="349" t="str">
        <f t="shared" si="91"/>
        <v/>
      </c>
      <c r="L39" s="349" t="str">
        <f t="shared" si="91"/>
        <v/>
      </c>
      <c r="M39" s="349" t="str">
        <f t="shared" si="91"/>
        <v/>
      </c>
      <c r="N39" s="349" t="str">
        <f t="shared" si="91"/>
        <v/>
      </c>
      <c r="O39" s="357" t="str">
        <f t="shared" si="92"/>
        <v/>
      </c>
      <c r="P39" s="350" t="str">
        <f t="shared" si="92"/>
        <v/>
      </c>
      <c r="Q39" s="108" t="str">
        <f t="shared" si="93"/>
        <v/>
      </c>
      <c r="R39" s="94" t="str">
        <f t="shared" si="94"/>
        <v/>
      </c>
      <c r="T39" s="357" t="s">
        <v>73</v>
      </c>
      <c r="U39" s="357">
        <v>3</v>
      </c>
      <c r="V39" s="350">
        <v>9</v>
      </c>
      <c r="W39" s="349" t="str">
        <f t="shared" ref="W39:W45" si="98">VLOOKUP($T39,$D$37:$R$46,14,FALSE)</f>
        <v/>
      </c>
      <c r="X39" s="350" t="str">
        <f t="shared" ref="X39:X45" si="99">VLOOKUP($T39,$D$37:$R$46,15,FALSE)</f>
        <v/>
      </c>
      <c r="Z39" s="305" t="s">
        <v>338</v>
      </c>
      <c r="AA39" s="305">
        <v>3</v>
      </c>
      <c r="AG39" s="192">
        <v>1</v>
      </c>
      <c r="AH39" s="396" t="s">
        <v>368</v>
      </c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4"/>
    </row>
    <row r="40" spans="2:47" x14ac:dyDescent="0.25">
      <c r="B40" s="29">
        <v>3</v>
      </c>
      <c r="C40" s="51"/>
      <c r="D40" s="58" t="s">
        <v>73</v>
      </c>
      <c r="E40" s="31" t="str">
        <f t="shared" ref="E40:E46" si="100">IF($C40="","",VLOOKUP($C40,$C$3:$AK$24,$E$1-2,FALSE))</f>
        <v/>
      </c>
      <c r="F40" s="349" t="str">
        <f t="shared" si="90"/>
        <v/>
      </c>
      <c r="G40" s="349" t="str">
        <f t="shared" si="95"/>
        <v/>
      </c>
      <c r="H40" s="8" t="str">
        <f t="shared" si="96"/>
        <v/>
      </c>
      <c r="I40" s="82">
        <v>1</v>
      </c>
      <c r="J40" s="357" t="str">
        <f t="shared" si="97"/>
        <v/>
      </c>
      <c r="K40" s="349" t="str">
        <f t="shared" si="91"/>
        <v/>
      </c>
      <c r="L40" s="349" t="str">
        <f t="shared" si="91"/>
        <v/>
      </c>
      <c r="M40" s="349" t="str">
        <f t="shared" si="91"/>
        <v/>
      </c>
      <c r="N40" s="349" t="str">
        <f t="shared" si="91"/>
        <v/>
      </c>
      <c r="O40" s="357" t="str">
        <f t="shared" si="92"/>
        <v/>
      </c>
      <c r="P40" s="350" t="str">
        <f t="shared" si="92"/>
        <v/>
      </c>
      <c r="Q40" s="108" t="str">
        <f t="shared" si="93"/>
        <v/>
      </c>
      <c r="R40" s="94" t="str">
        <f t="shared" si="94"/>
        <v/>
      </c>
      <c r="T40" s="357" t="s">
        <v>74</v>
      </c>
      <c r="U40" s="357">
        <v>4</v>
      </c>
      <c r="V40" s="350">
        <v>9</v>
      </c>
      <c r="W40" s="349" t="str">
        <f t="shared" si="98"/>
        <v/>
      </c>
      <c r="X40" s="350" t="str">
        <f t="shared" si="99"/>
        <v/>
      </c>
      <c r="Z40" s="305" t="s">
        <v>341</v>
      </c>
      <c r="AA40" s="305">
        <v>5</v>
      </c>
      <c r="AG40" s="70">
        <v>2</v>
      </c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4"/>
    </row>
    <row r="41" spans="2:47" x14ac:dyDescent="0.25">
      <c r="B41" s="29">
        <v>4</v>
      </c>
      <c r="C41" s="51"/>
      <c r="D41" s="58" t="s">
        <v>76</v>
      </c>
      <c r="E41" s="31" t="str">
        <f t="shared" si="100"/>
        <v/>
      </c>
      <c r="F41" s="349" t="str">
        <f t="shared" si="90"/>
        <v/>
      </c>
      <c r="G41" s="349" t="str">
        <f t="shared" si="95"/>
        <v/>
      </c>
      <c r="H41" s="8" t="str">
        <f t="shared" si="96"/>
        <v/>
      </c>
      <c r="I41" s="82">
        <v>2</v>
      </c>
      <c r="J41" s="357" t="str">
        <f t="shared" si="97"/>
        <v/>
      </c>
      <c r="K41" s="349" t="str">
        <f t="shared" si="91"/>
        <v/>
      </c>
      <c r="L41" s="349" t="str">
        <f t="shared" si="91"/>
        <v/>
      </c>
      <c r="M41" s="349" t="str">
        <f t="shared" si="91"/>
        <v/>
      </c>
      <c r="N41" s="349" t="str">
        <f t="shared" si="91"/>
        <v/>
      </c>
      <c r="O41" s="357" t="str">
        <f t="shared" si="92"/>
        <v/>
      </c>
      <c r="P41" s="350" t="str">
        <f t="shared" si="92"/>
        <v/>
      </c>
      <c r="Q41" s="108" t="str">
        <f t="shared" si="93"/>
        <v/>
      </c>
      <c r="R41" s="94" t="str">
        <f t="shared" si="94"/>
        <v/>
      </c>
      <c r="T41" s="357" t="s">
        <v>75</v>
      </c>
      <c r="U41" s="357">
        <v>5</v>
      </c>
      <c r="V41" s="350">
        <v>9</v>
      </c>
      <c r="W41" s="349" t="str">
        <f t="shared" si="98"/>
        <v/>
      </c>
      <c r="X41" s="350" t="str">
        <f t="shared" si="99"/>
        <v/>
      </c>
      <c r="Z41" s="305" t="s">
        <v>340</v>
      </c>
      <c r="AA41" s="305">
        <v>2</v>
      </c>
      <c r="AG41" s="70">
        <v>3</v>
      </c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4"/>
    </row>
    <row r="42" spans="2:47" x14ac:dyDescent="0.25">
      <c r="B42" s="29">
        <v>5</v>
      </c>
      <c r="C42" s="51"/>
      <c r="D42" s="58" t="s">
        <v>71</v>
      </c>
      <c r="E42" s="31" t="str">
        <f t="shared" si="100"/>
        <v/>
      </c>
      <c r="F42" s="349" t="str">
        <f t="shared" si="90"/>
        <v/>
      </c>
      <c r="G42" s="349" t="str">
        <f t="shared" si="95"/>
        <v/>
      </c>
      <c r="H42" s="8" t="str">
        <f t="shared" si="96"/>
        <v/>
      </c>
      <c r="I42" s="82">
        <v>4</v>
      </c>
      <c r="J42" s="357" t="str">
        <f t="shared" si="97"/>
        <v/>
      </c>
      <c r="K42" s="349" t="str">
        <f t="shared" si="91"/>
        <v/>
      </c>
      <c r="L42" s="349" t="str">
        <f t="shared" si="91"/>
        <v/>
      </c>
      <c r="M42" s="349" t="str">
        <f t="shared" si="91"/>
        <v/>
      </c>
      <c r="N42" s="349" t="str">
        <f t="shared" si="91"/>
        <v/>
      </c>
      <c r="O42" s="357" t="str">
        <f t="shared" si="92"/>
        <v/>
      </c>
      <c r="P42" s="350" t="str">
        <f t="shared" si="92"/>
        <v/>
      </c>
      <c r="Q42" s="108" t="str">
        <f t="shared" si="93"/>
        <v/>
      </c>
      <c r="R42" s="94" t="str">
        <f t="shared" si="94"/>
        <v/>
      </c>
      <c r="T42" s="357" t="s">
        <v>76</v>
      </c>
      <c r="U42" s="357">
        <v>6</v>
      </c>
      <c r="V42" s="350">
        <v>9</v>
      </c>
      <c r="W42" s="349" t="str">
        <f t="shared" si="98"/>
        <v/>
      </c>
      <c r="X42" s="350" t="str">
        <f t="shared" si="99"/>
        <v/>
      </c>
      <c r="Z42" s="305" t="s">
        <v>339</v>
      </c>
      <c r="AA42" s="305">
        <v>4</v>
      </c>
      <c r="AG42" s="70">
        <v>4</v>
      </c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4"/>
    </row>
    <row r="43" spans="2:47" x14ac:dyDescent="0.25">
      <c r="B43" s="29">
        <v>6</v>
      </c>
      <c r="C43" s="51"/>
      <c r="D43" s="58" t="s">
        <v>77</v>
      </c>
      <c r="E43" s="31" t="str">
        <f t="shared" si="100"/>
        <v/>
      </c>
      <c r="F43" s="349" t="str">
        <f t="shared" si="90"/>
        <v/>
      </c>
      <c r="G43" s="349" t="str">
        <f t="shared" si="95"/>
        <v/>
      </c>
      <c r="H43" s="8" t="str">
        <f t="shared" si="96"/>
        <v/>
      </c>
      <c r="I43" s="82">
        <v>6</v>
      </c>
      <c r="J43" s="357" t="str">
        <f t="shared" si="97"/>
        <v/>
      </c>
      <c r="K43" s="349" t="str">
        <f t="shared" si="91"/>
        <v/>
      </c>
      <c r="L43" s="349" t="str">
        <f t="shared" si="91"/>
        <v/>
      </c>
      <c r="M43" s="349" t="str">
        <f t="shared" si="91"/>
        <v/>
      </c>
      <c r="N43" s="349" t="str">
        <f t="shared" si="91"/>
        <v/>
      </c>
      <c r="O43" s="357" t="str">
        <f t="shared" si="92"/>
        <v/>
      </c>
      <c r="P43" s="350" t="str">
        <f t="shared" si="92"/>
        <v/>
      </c>
      <c r="Q43" s="108" t="str">
        <f t="shared" si="93"/>
        <v/>
      </c>
      <c r="R43" s="94" t="str">
        <f t="shared" si="94"/>
        <v/>
      </c>
      <c r="T43" s="357" t="s">
        <v>77</v>
      </c>
      <c r="U43" s="357">
        <v>7</v>
      </c>
      <c r="V43" s="350">
        <v>10</v>
      </c>
      <c r="W43" s="349" t="str">
        <f t="shared" si="98"/>
        <v/>
      </c>
      <c r="X43" s="350" t="str">
        <f t="shared" si="99"/>
        <v/>
      </c>
      <c r="Z43" s="305" t="s">
        <v>343</v>
      </c>
      <c r="AA43" s="305">
        <v>6</v>
      </c>
      <c r="AG43" s="70">
        <v>5</v>
      </c>
      <c r="AH43" s="403"/>
      <c r="AI43" s="404"/>
      <c r="AJ43" s="404"/>
      <c r="AK43" s="404"/>
      <c r="AL43" s="404"/>
      <c r="AM43" s="404"/>
      <c r="AN43" s="404"/>
      <c r="AO43" s="404"/>
      <c r="AP43" s="404"/>
      <c r="AQ43" s="404"/>
      <c r="AR43" s="404"/>
      <c r="AS43" s="404"/>
      <c r="AT43" s="405"/>
    </row>
    <row r="44" spans="2:47" x14ac:dyDescent="0.25">
      <c r="B44" s="29">
        <v>7</v>
      </c>
      <c r="C44" s="51"/>
      <c r="D44" s="58" t="s">
        <v>10</v>
      </c>
      <c r="E44" s="31" t="str">
        <f t="shared" si="100"/>
        <v/>
      </c>
      <c r="F44" s="349" t="str">
        <f t="shared" si="90"/>
        <v/>
      </c>
      <c r="G44" s="349" t="str">
        <f t="shared" si="95"/>
        <v/>
      </c>
      <c r="H44" s="8" t="str">
        <f t="shared" si="96"/>
        <v/>
      </c>
      <c r="I44" s="82">
        <v>7</v>
      </c>
      <c r="J44" s="357" t="str">
        <f t="shared" si="97"/>
        <v/>
      </c>
      <c r="K44" s="349" t="str">
        <f t="shared" si="91"/>
        <v/>
      </c>
      <c r="L44" s="349" t="str">
        <f t="shared" si="91"/>
        <v/>
      </c>
      <c r="M44" s="349" t="str">
        <f t="shared" si="91"/>
        <v/>
      </c>
      <c r="N44" s="349" t="str">
        <f t="shared" si="91"/>
        <v/>
      </c>
      <c r="O44" s="357" t="str">
        <f t="shared" si="92"/>
        <v/>
      </c>
      <c r="P44" s="350" t="str">
        <f t="shared" si="92"/>
        <v/>
      </c>
      <c r="Q44" s="108" t="str">
        <f t="shared" si="93"/>
        <v/>
      </c>
      <c r="R44" s="94" t="str">
        <f t="shared" si="94"/>
        <v/>
      </c>
      <c r="T44" s="357" t="s">
        <v>78</v>
      </c>
      <c r="U44" s="357">
        <v>8</v>
      </c>
      <c r="V44" s="350">
        <v>10</v>
      </c>
      <c r="W44" s="349" t="str">
        <f t="shared" si="98"/>
        <v/>
      </c>
      <c r="X44" s="350" t="str">
        <f t="shared" si="99"/>
        <v/>
      </c>
      <c r="Z44" s="305" t="s">
        <v>344</v>
      </c>
      <c r="AA44" s="305">
        <v>7</v>
      </c>
      <c r="AG44" s="70">
        <v>6</v>
      </c>
      <c r="AH44" s="392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4"/>
    </row>
    <row r="45" spans="2:47" x14ac:dyDescent="0.25">
      <c r="B45" s="29">
        <v>8</v>
      </c>
      <c r="C45" s="51"/>
      <c r="D45" s="58" t="s">
        <v>74</v>
      </c>
      <c r="E45" s="31" t="str">
        <f t="shared" si="100"/>
        <v/>
      </c>
      <c r="F45" s="349" t="str">
        <f t="shared" si="90"/>
        <v/>
      </c>
      <c r="G45" s="349" t="str">
        <f t="shared" si="95"/>
        <v/>
      </c>
      <c r="H45" s="8" t="str">
        <f t="shared" si="96"/>
        <v/>
      </c>
      <c r="I45" s="82">
        <v>8</v>
      </c>
      <c r="J45" s="357" t="str">
        <f t="shared" si="97"/>
        <v/>
      </c>
      <c r="K45" s="349" t="str">
        <f t="shared" si="91"/>
        <v/>
      </c>
      <c r="L45" s="349" t="str">
        <f t="shared" si="91"/>
        <v/>
      </c>
      <c r="M45" s="349" t="str">
        <f t="shared" si="91"/>
        <v/>
      </c>
      <c r="N45" s="349" t="str">
        <f t="shared" si="91"/>
        <v/>
      </c>
      <c r="O45" s="357" t="str">
        <f t="shared" si="92"/>
        <v/>
      </c>
      <c r="P45" s="350" t="str">
        <f t="shared" si="92"/>
        <v/>
      </c>
      <c r="Q45" s="108" t="str">
        <f t="shared" si="93"/>
        <v/>
      </c>
      <c r="R45" s="94" t="str">
        <f t="shared" si="94"/>
        <v/>
      </c>
      <c r="T45" s="47" t="s">
        <v>79</v>
      </c>
      <c r="U45" s="47">
        <v>9</v>
      </c>
      <c r="V45" s="352">
        <v>10</v>
      </c>
      <c r="W45" s="351" t="str">
        <f t="shared" si="98"/>
        <v/>
      </c>
      <c r="X45" s="352" t="str">
        <f t="shared" si="99"/>
        <v/>
      </c>
      <c r="Z45" s="305" t="s">
        <v>345</v>
      </c>
      <c r="AA45" s="305">
        <v>8</v>
      </c>
      <c r="AG45" s="70">
        <v>7</v>
      </c>
      <c r="AH45" s="392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4"/>
    </row>
    <row r="46" spans="2:47" x14ac:dyDescent="0.25">
      <c r="B46" s="32">
        <v>9</v>
      </c>
      <c r="C46" s="52"/>
      <c r="D46" s="33" t="s">
        <v>75</v>
      </c>
      <c r="E46" s="35" t="str">
        <f t="shared" si="100"/>
        <v/>
      </c>
      <c r="F46" s="351" t="str">
        <f t="shared" si="90"/>
        <v/>
      </c>
      <c r="G46" s="351" t="str">
        <f t="shared" si="95"/>
        <v/>
      </c>
      <c r="H46" s="62" t="str">
        <f t="shared" si="96"/>
        <v/>
      </c>
      <c r="I46" s="83">
        <v>9</v>
      </c>
      <c r="J46" s="47" t="str">
        <f t="shared" si="97"/>
        <v/>
      </c>
      <c r="K46" s="351" t="str">
        <f t="shared" si="91"/>
        <v/>
      </c>
      <c r="L46" s="351" t="str">
        <f t="shared" si="91"/>
        <v/>
      </c>
      <c r="M46" s="351" t="str">
        <f t="shared" si="91"/>
        <v/>
      </c>
      <c r="N46" s="351" t="str">
        <f t="shared" si="91"/>
        <v/>
      </c>
      <c r="O46" s="47" t="str">
        <f t="shared" si="92"/>
        <v/>
      </c>
      <c r="P46" s="352" t="str">
        <f t="shared" si="92"/>
        <v/>
      </c>
      <c r="Q46" s="109" t="str">
        <f t="shared" si="93"/>
        <v/>
      </c>
      <c r="R46" s="95" t="str">
        <f t="shared" si="94"/>
        <v/>
      </c>
      <c r="Z46" s="305" t="s">
        <v>342</v>
      </c>
      <c r="AA46" s="305">
        <v>9</v>
      </c>
      <c r="AG46" s="70">
        <v>8</v>
      </c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</row>
    <row r="47" spans="2:47" x14ac:dyDescent="0.25">
      <c r="B47" s="4"/>
      <c r="C47" s="30"/>
      <c r="D47" s="30"/>
      <c r="E47" s="30"/>
      <c r="F47" s="349"/>
      <c r="G47" s="349"/>
      <c r="H47" s="9"/>
      <c r="AG47" s="70">
        <v>9</v>
      </c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T47" s="397"/>
    </row>
    <row r="48" spans="2:47" x14ac:dyDescent="0.25">
      <c r="B48" s="25" t="s">
        <v>171</v>
      </c>
      <c r="C48" s="28">
        <f>COUNTA(C3:C11,C14:C19,C22:C24)</f>
        <v>9</v>
      </c>
      <c r="D48" s="250">
        <f>C48/$C$50</f>
        <v>0.6428571428571429</v>
      </c>
      <c r="E48" s="30"/>
      <c r="F48" s="349"/>
      <c r="G48" s="349"/>
      <c r="H48" s="9"/>
      <c r="AG48" s="71">
        <v>10</v>
      </c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9"/>
    </row>
    <row r="49" spans="1:34" x14ac:dyDescent="0.25">
      <c r="B49" s="29" t="s">
        <v>172</v>
      </c>
      <c r="C49" s="31">
        <f>COUNTA(C53:C58,C61:C62,C65:C74)</f>
        <v>5</v>
      </c>
      <c r="D49" s="250">
        <f>C49/$C$50</f>
        <v>0.35714285714285715</v>
      </c>
      <c r="E49" s="30"/>
      <c r="F49" s="349"/>
      <c r="G49" s="349"/>
      <c r="H49" s="9"/>
    </row>
    <row r="50" spans="1:34" x14ac:dyDescent="0.25">
      <c r="B50" s="32" t="s">
        <v>173</v>
      </c>
      <c r="C50" s="35">
        <f>C48+C49</f>
        <v>14</v>
      </c>
      <c r="D50" s="30"/>
      <c r="E50" s="30"/>
      <c r="F50" s="349"/>
      <c r="G50" s="349"/>
      <c r="H50" s="9"/>
    </row>
    <row r="51" spans="1:34" x14ac:dyDescent="0.25">
      <c r="I51" s="305">
        <v>12</v>
      </c>
      <c r="K51" s="305">
        <v>20</v>
      </c>
      <c r="L51" s="305">
        <v>21</v>
      </c>
      <c r="M51" s="305">
        <v>22</v>
      </c>
      <c r="N51" s="305">
        <v>24</v>
      </c>
      <c r="O51" s="305">
        <v>26</v>
      </c>
      <c r="P51" s="305">
        <v>28</v>
      </c>
      <c r="Q51" s="305">
        <v>30</v>
      </c>
      <c r="R51" s="305">
        <v>32</v>
      </c>
      <c r="S51" s="305">
        <v>34</v>
      </c>
      <c r="T51" s="305">
        <v>36</v>
      </c>
      <c r="U51" s="305">
        <v>38</v>
      </c>
      <c r="V51" s="305">
        <v>40</v>
      </c>
      <c r="W51" s="305">
        <v>42</v>
      </c>
      <c r="X51" s="305">
        <v>44</v>
      </c>
      <c r="Y51" s="305">
        <v>46</v>
      </c>
      <c r="Z51" s="305">
        <v>47</v>
      </c>
      <c r="AA51" s="305">
        <v>48</v>
      </c>
      <c r="AB51" s="305">
        <v>49</v>
      </c>
      <c r="AC51" s="305">
        <v>55</v>
      </c>
      <c r="AD51" s="305">
        <v>17</v>
      </c>
      <c r="AE51" s="305">
        <v>18</v>
      </c>
      <c r="AF51" s="305">
        <v>19</v>
      </c>
      <c r="AG51" s="305">
        <v>53</v>
      </c>
    </row>
    <row r="52" spans="1:34" s="349" customFormat="1" ht="74.25" x14ac:dyDescent="0.25">
      <c r="A52" s="66" t="s">
        <v>170</v>
      </c>
      <c r="B52" s="353" t="s">
        <v>104</v>
      </c>
      <c r="C52" s="37" t="s">
        <v>96</v>
      </c>
      <c r="D52" s="37" t="s">
        <v>70</v>
      </c>
      <c r="E52" s="43" t="s">
        <v>81</v>
      </c>
      <c r="F52" s="39" t="s">
        <v>160</v>
      </c>
      <c r="G52" s="39" t="s">
        <v>161</v>
      </c>
      <c r="H52" s="39" t="s">
        <v>162</v>
      </c>
      <c r="I52" s="69" t="s">
        <v>189</v>
      </c>
      <c r="J52" s="69" t="s">
        <v>166</v>
      </c>
      <c r="K52" s="67" t="s">
        <v>163</v>
      </c>
      <c r="L52" s="67" t="s">
        <v>164</v>
      </c>
      <c r="M52" s="68" t="s">
        <v>165</v>
      </c>
      <c r="N52" s="67" t="s">
        <v>40</v>
      </c>
      <c r="O52" s="67" t="s">
        <v>42</v>
      </c>
      <c r="P52" s="67" t="s">
        <v>44</v>
      </c>
      <c r="Q52" s="67" t="s">
        <v>46</v>
      </c>
      <c r="R52" s="67" t="s">
        <v>48</v>
      </c>
      <c r="S52" s="67" t="s">
        <v>87</v>
      </c>
      <c r="T52" s="67" t="s">
        <v>51</v>
      </c>
      <c r="U52" s="67" t="s">
        <v>53</v>
      </c>
      <c r="V52" s="67" t="s">
        <v>55</v>
      </c>
      <c r="W52" s="67" t="s">
        <v>57</v>
      </c>
      <c r="X52" s="67" t="s">
        <v>59</v>
      </c>
      <c r="Y52" s="68" t="s">
        <v>61</v>
      </c>
      <c r="Z52" s="72" t="s">
        <v>176</v>
      </c>
      <c r="AA52" s="67" t="s">
        <v>175</v>
      </c>
      <c r="AB52" s="68" t="s">
        <v>177</v>
      </c>
      <c r="AC52" s="251" t="s">
        <v>174</v>
      </c>
      <c r="AD52" s="67" t="s">
        <v>163</v>
      </c>
      <c r="AE52" s="67" t="s">
        <v>164</v>
      </c>
      <c r="AF52" s="68" t="s">
        <v>165</v>
      </c>
      <c r="AG52" s="251" t="s">
        <v>354</v>
      </c>
      <c r="AH52" s="359" t="s">
        <v>538</v>
      </c>
    </row>
    <row r="53" spans="1:34" x14ac:dyDescent="0.25">
      <c r="A53" s="349">
        <v>1</v>
      </c>
      <c r="B53" s="29" t="s">
        <v>87</v>
      </c>
      <c r="C53" s="356" t="s">
        <v>1168</v>
      </c>
      <c r="D53" s="30">
        <f>IF($C53="","",VLOOKUP($C53,AMAPit!$A$10:$BJ$122,D$1-2,FALSE))</f>
        <v>22</v>
      </c>
      <c r="E53" s="31" t="str">
        <f>IF($C53="","",VLOOKUP($C53,AMAPit!$A$10:$BJ$122,E$1-1,FALSE))</f>
        <v>L</v>
      </c>
      <c r="F53" s="349">
        <f t="shared" ref="F53:F58" si="101">IF($C53="","",IF(AVERAGE(K53:M53)&gt;7,1,0))</f>
        <v>0</v>
      </c>
      <c r="G53" s="349">
        <f t="shared" ref="G53:G58" si="102">IF($C53="","",IF(AVERAGE(K53:M53)&gt;6.5,1,0))</f>
        <v>1</v>
      </c>
      <c r="H53" s="349">
        <f t="shared" ref="H53:H58" si="103">IF($C53="","",IF(AVERAGE(K53:M53)&gt;6,1,0))</f>
        <v>1</v>
      </c>
      <c r="I53" s="91" t="str">
        <f>IF($C53="","",VLOOKUP($C53,AMAPit!$A$10:$BJ$122,I$51,FALSE))</f>
        <v>L</v>
      </c>
      <c r="J53" s="70">
        <f t="shared" ref="J53:J58" si="104">IF($C53="","",COUNT(N53:Y53))</f>
        <v>4</v>
      </c>
      <c r="K53" s="349">
        <f>IF($C53="","",VLOOKUP($C53,AMAPit!$A$10:$BJ$122,K$51,FALSE))</f>
        <v>8</v>
      </c>
      <c r="L53" s="349">
        <f>IF($C53="","",VLOOKUP($C53,AMAPit!$A$10:$BJ$122,L$51,FALSE))</f>
        <v>4</v>
      </c>
      <c r="M53" s="350">
        <f>IF($C53="","",VLOOKUP($C53,AMAPit!$A$10:$BJ$122,M$51,FALSE))</f>
        <v>8</v>
      </c>
      <c r="N53" s="349">
        <f>IF($C53="","",VLOOKUP($C53,AMAPit!$A$10:$BJ$122,N$51,FALSE))</f>
        <v>9</v>
      </c>
      <c r="O53" s="349" t="str">
        <f>IF($C53="","",VLOOKUP($C53,AMAPit!$A$10:$BJ$122,O$51,FALSE))</f>
        <v>-</v>
      </c>
      <c r="P53" s="349" t="str">
        <f>IF($C53="","",VLOOKUP($C53,AMAPit!$A$10:$BJ$122,P$51,FALSE))</f>
        <v>-</v>
      </c>
      <c r="Q53" s="349">
        <f>IF($C53="","",VLOOKUP($C53,AMAPit!$A$10:$BJ$122,Q$51,FALSE))</f>
        <v>8</v>
      </c>
      <c r="R53" s="349" t="str">
        <f>IF($C53="","",VLOOKUP($C53,AMAPit!$A$10:$BJ$122,R$51,FALSE))</f>
        <v>-</v>
      </c>
      <c r="S53" s="349">
        <f>IF($C53="","",VLOOKUP($C53,AMAPit!$A$10:$BJ$122,S$51,FALSE))</f>
        <v>5</v>
      </c>
      <c r="T53" s="349" t="str">
        <f>IF($C53="","",VLOOKUP($C53,AMAPit!$A$10:$BJ$122,T$51,FALSE))</f>
        <v>-</v>
      </c>
      <c r="U53" s="349" t="str">
        <f>IF($C53="","",VLOOKUP($C53,AMAPit!$A$10:$BJ$122,U$51,FALSE))</f>
        <v>-</v>
      </c>
      <c r="V53" s="349">
        <f>IF($C53="","",VLOOKUP($C53,AMAPit!$A$10:$BJ$122,V$51,FALSE))</f>
        <v>10</v>
      </c>
      <c r="W53" s="349" t="str">
        <f>IF($C53="","",VLOOKUP($C53,AMAPit!$A$10:$BJ$122,W$51,FALSE))</f>
        <v>-</v>
      </c>
      <c r="X53" s="349" t="str">
        <f>IF($C53="","",VLOOKUP($C53,AMAPit!$A$10:$BJ$122,X$51,FALSE))</f>
        <v>-</v>
      </c>
      <c r="Y53" s="350" t="str">
        <f>IF($C53="","",VLOOKUP($C53,AMAPit!$A$10:$BJ$122,Y$51,FALSE))</f>
        <v>-</v>
      </c>
      <c r="Z53" s="357" t="str">
        <f>IF($C53="","",VLOOKUP($C53,AMAPit!$A$10:$BJ$122,Z$51,FALSE))</f>
        <v>96-98 Mph</v>
      </c>
      <c r="AA53" s="349">
        <f>IF($C53="","",VLOOKUP($C53,AMAPit!$A$10:$BJ$122,AA$51,FALSE))</f>
        <v>6</v>
      </c>
      <c r="AB53" s="73" t="str">
        <f>IF($C53="","",VLOOKUP($C53,AMAPit!$A$10:$BJ$122,AB$51,FALSE))</f>
        <v>NEU</v>
      </c>
      <c r="AC53" s="252">
        <f>IF($C53="","",VLOOKUP($C53,AMAPit!$A$10:$BJ$122,AC$51,FALSE))</f>
        <v>7.416666666666667</v>
      </c>
      <c r="AD53" s="349">
        <f>IF($C53="","",VLOOKUP($C53,AMAPit!$A$10:$BJ$122,AD$51,FALSE))</f>
        <v>7</v>
      </c>
      <c r="AE53" s="349">
        <f>IF($C53="","",VLOOKUP($C53,AMAPit!$A$10:$BJ$122,AE$51,FALSE))</f>
        <v>3</v>
      </c>
      <c r="AF53" s="350">
        <f>IF($C53="","",VLOOKUP($C53,AMAPit!$A$10:$BJ$122,AF$51,FALSE))</f>
        <v>6</v>
      </c>
      <c r="AG53" s="252">
        <f>IF($C53="","",VLOOKUP($C53,AMAPit!$A$10:$BJ$122,AG$51,FALSE))</f>
        <v>6.083333333333333</v>
      </c>
      <c r="AH53" s="362">
        <f>AC53-AG53</f>
        <v>1.3333333333333339</v>
      </c>
    </row>
    <row r="54" spans="1:34" x14ac:dyDescent="0.25">
      <c r="A54" s="349">
        <v>2</v>
      </c>
      <c r="B54" s="29" t="s">
        <v>87</v>
      </c>
      <c r="C54" s="58" t="s">
        <v>541</v>
      </c>
      <c r="D54" s="30">
        <f>IF($C54="","",VLOOKUP($C54,AMAPit!$A$10:$BJ$122,D$1-2,FALSE))</f>
        <v>27</v>
      </c>
      <c r="E54" s="31" t="str">
        <f>IF($C54="","",VLOOKUP($C54,AMAPit!$A$10:$BJ$122,E$1-1,FALSE))</f>
        <v>R</v>
      </c>
      <c r="F54" s="349">
        <f t="shared" si="101"/>
        <v>1</v>
      </c>
      <c r="G54" s="349">
        <f t="shared" si="102"/>
        <v>1</v>
      </c>
      <c r="H54" s="349">
        <f t="shared" si="103"/>
        <v>1</v>
      </c>
      <c r="I54" s="92" t="str">
        <f>IF($C54="","",VLOOKUP($C54,AMAPit!$A$10:$BJ$122,I$51,FALSE))</f>
        <v>R</v>
      </c>
      <c r="J54" s="70">
        <f t="shared" si="104"/>
        <v>5</v>
      </c>
      <c r="K54" s="349">
        <f>IF($C54="","",VLOOKUP($C54,AMAPit!$A$10:$BJ$122,K$51,FALSE))</f>
        <v>7</v>
      </c>
      <c r="L54" s="349">
        <f>IF($C54="","",VLOOKUP($C54,AMAPit!$A$10:$BJ$122,L$51,FALSE))</f>
        <v>7</v>
      </c>
      <c r="M54" s="350">
        <f>IF($C54="","",VLOOKUP($C54,AMAPit!$A$10:$BJ$122,M$51,FALSE))</f>
        <v>8</v>
      </c>
      <c r="N54" s="349">
        <f>IF($C54="","",VLOOKUP($C54,AMAPit!$A$10:$BJ$122,N$51,FALSE))</f>
        <v>7</v>
      </c>
      <c r="O54" s="349">
        <f>IF($C54="","",VLOOKUP($C54,AMAPit!$A$10:$BJ$122,O$51,FALSE))</f>
        <v>3</v>
      </c>
      <c r="P54" s="349">
        <f>IF($C54="","",VLOOKUP($C54,AMAPit!$A$10:$BJ$122,P$51,FALSE))</f>
        <v>8</v>
      </c>
      <c r="Q54" s="349" t="str">
        <f>IF($C54="","",VLOOKUP($C54,AMAPit!$A$10:$BJ$122,Q$51,FALSE))</f>
        <v>-</v>
      </c>
      <c r="R54" s="349">
        <f>IF($C54="","",VLOOKUP($C54,AMAPit!$A$10:$BJ$122,R$51,FALSE))</f>
        <v>8</v>
      </c>
      <c r="S54" s="349" t="str">
        <f>IF($C54="","",VLOOKUP($C54,AMAPit!$A$10:$BJ$122,S$51,FALSE))</f>
        <v>-</v>
      </c>
      <c r="T54" s="349" t="str">
        <f>IF($C54="","",VLOOKUP($C54,AMAPit!$A$10:$BJ$122,T$51,FALSE))</f>
        <v>-</v>
      </c>
      <c r="U54" s="349">
        <f>IF($C54="","",VLOOKUP($C54,AMAPit!$A$10:$BJ$122,U$51,FALSE))</f>
        <v>8</v>
      </c>
      <c r="V54" s="349" t="str">
        <f>IF($C54="","",VLOOKUP($C54,AMAPit!$A$10:$BJ$122,V$51,FALSE))</f>
        <v>-</v>
      </c>
      <c r="W54" s="349" t="str">
        <f>IF($C54="","",VLOOKUP($C54,AMAPit!$A$10:$BJ$122,W$51,FALSE))</f>
        <v>-</v>
      </c>
      <c r="X54" s="349" t="str">
        <f>IF($C54="","",VLOOKUP($C54,AMAPit!$A$10:$BJ$122,X$51,FALSE))</f>
        <v>-</v>
      </c>
      <c r="Y54" s="350" t="str">
        <f>IF($C54="","",VLOOKUP($C54,AMAPit!$A$10:$BJ$122,Y$51,FALSE))</f>
        <v>-</v>
      </c>
      <c r="Z54" s="357" t="str">
        <f>IF($C54="","",VLOOKUP($C54,AMAPit!$A$10:$BJ$122,Z$51,FALSE))</f>
        <v>96-98 Mph</v>
      </c>
      <c r="AA54" s="349">
        <f>IF($C54="","",VLOOKUP($C54,AMAPit!$A$10:$BJ$122,AA$51,FALSE))</f>
        <v>9</v>
      </c>
      <c r="AB54" s="73" t="str">
        <f>IF($C54="","",VLOOKUP($C54,AMAPit!$A$10:$BJ$122,AB$51,FALSE))</f>
        <v>NEU</v>
      </c>
      <c r="AC54" s="60">
        <f>IF($C54="","",VLOOKUP($C54,AMAPit!$A$10:$BJ$122,AC$51,FALSE))</f>
        <v>8.3333333333333321</v>
      </c>
      <c r="AD54" s="349">
        <f>IF($C54="","",VLOOKUP($C54,AMAPit!$A$10:$BJ$122,AD$51,FALSE))</f>
        <v>7</v>
      </c>
      <c r="AE54" s="349">
        <f>IF($C54="","",VLOOKUP($C54,AMAPit!$A$10:$BJ$122,AE$51,FALSE))</f>
        <v>7</v>
      </c>
      <c r="AF54" s="350">
        <f>IF($C54="","",VLOOKUP($C54,AMAPit!$A$10:$BJ$122,AF$51,FALSE))</f>
        <v>7</v>
      </c>
      <c r="AG54" s="60">
        <f>IF($C54="","",VLOOKUP($C54,AMAPit!$A$10:$BJ$122,AG$51,FALSE))</f>
        <v>8</v>
      </c>
      <c r="AH54" s="360">
        <f t="shared" ref="AH54:AH58" si="105">AC54-AG54</f>
        <v>0.33333333333333215</v>
      </c>
    </row>
    <row r="55" spans="1:34" x14ac:dyDescent="0.25">
      <c r="A55" s="349">
        <v>3</v>
      </c>
      <c r="B55" s="29" t="s">
        <v>87</v>
      </c>
      <c r="C55" s="58" t="s">
        <v>742</v>
      </c>
      <c r="D55" s="30">
        <f>IF($C55="","",VLOOKUP($C55,AMAPit!$A$10:$BJ$122,D$1-2,FALSE))</f>
        <v>24</v>
      </c>
      <c r="E55" s="31" t="str">
        <f>IF($C55="","",VLOOKUP($C55,AMAPit!$A$10:$BJ$122,E$1-1,FALSE))</f>
        <v>R</v>
      </c>
      <c r="F55" s="349">
        <f t="shared" si="101"/>
        <v>0</v>
      </c>
      <c r="G55" s="349">
        <f t="shared" si="102"/>
        <v>1</v>
      </c>
      <c r="H55" s="349">
        <f t="shared" si="103"/>
        <v>1</v>
      </c>
      <c r="I55" s="92" t="str">
        <f>IF($C55="","",VLOOKUP($C55,AMAPit!$A$10:$BJ$122,I$51,FALSE))</f>
        <v>R</v>
      </c>
      <c r="J55" s="70">
        <f t="shared" si="104"/>
        <v>5</v>
      </c>
      <c r="K55" s="349">
        <f>IF($C55="","",VLOOKUP($C55,AMAPit!$A$10:$BJ$122,K$51,FALSE))</f>
        <v>9</v>
      </c>
      <c r="L55" s="349">
        <f>IF($C55="","",VLOOKUP($C55,AMAPit!$A$10:$BJ$122,L$51,FALSE))</f>
        <v>4</v>
      </c>
      <c r="M55" s="350">
        <f>IF($C55="","",VLOOKUP($C55,AMAPit!$A$10:$BJ$122,M$51,FALSE))</f>
        <v>8</v>
      </c>
      <c r="N55" s="349">
        <f>IF($C55="","",VLOOKUP($C55,AMAPit!$A$10:$BJ$122,N$51,FALSE))</f>
        <v>8</v>
      </c>
      <c r="O55" s="349">
        <f>IF($C55="","",VLOOKUP($C55,AMAPit!$A$10:$BJ$122,O$51,FALSE))</f>
        <v>8</v>
      </c>
      <c r="P55" s="349">
        <f>IF($C55="","",VLOOKUP($C55,AMAPit!$A$10:$BJ$122,P$51,FALSE))</f>
        <v>10</v>
      </c>
      <c r="Q55" s="349">
        <f>IF($C55="","",VLOOKUP($C55,AMAPit!$A$10:$BJ$122,Q$51,FALSE))</f>
        <v>3</v>
      </c>
      <c r="R55" s="349" t="str">
        <f>IF($C55="","",VLOOKUP($C55,AMAPit!$A$10:$BJ$122,R$51,FALSE))</f>
        <v>-</v>
      </c>
      <c r="S55" s="349" t="str">
        <f>IF($C55="","",VLOOKUP($C55,AMAPit!$A$10:$BJ$122,S$51,FALSE))</f>
        <v>-</v>
      </c>
      <c r="T55" s="349">
        <f>IF($C55="","",VLOOKUP($C55,AMAPit!$A$10:$BJ$122,T$51,FALSE))</f>
        <v>8</v>
      </c>
      <c r="U55" s="349" t="str">
        <f>IF($C55="","",VLOOKUP($C55,AMAPit!$A$10:$BJ$122,U$51,FALSE))</f>
        <v>-</v>
      </c>
      <c r="V55" s="349" t="str">
        <f>IF($C55="","",VLOOKUP($C55,AMAPit!$A$10:$BJ$122,V$51,FALSE))</f>
        <v>-</v>
      </c>
      <c r="W55" s="349" t="str">
        <f>IF($C55="","",VLOOKUP($C55,AMAPit!$A$10:$BJ$122,W$51,FALSE))</f>
        <v>-</v>
      </c>
      <c r="X55" s="349" t="str">
        <f>IF($C55="","",VLOOKUP($C55,AMAPit!$A$10:$BJ$122,X$51,FALSE))</f>
        <v>-</v>
      </c>
      <c r="Y55" s="350" t="str">
        <f>IF($C55="","",VLOOKUP($C55,AMAPit!$A$10:$BJ$122,Y$51,FALSE))</f>
        <v>-</v>
      </c>
      <c r="Z55" s="357" t="str">
        <f>IF($C55="","",VLOOKUP($C55,AMAPit!$A$10:$BJ$122,Z$51,FALSE))</f>
        <v>93-95 Mph</v>
      </c>
      <c r="AA55" s="349">
        <f>IF($C55="","",VLOOKUP($C55,AMAPit!$A$10:$BJ$122,AA$51,FALSE))</f>
        <v>6</v>
      </c>
      <c r="AB55" s="73" t="str">
        <f>IF($C55="","",VLOOKUP($C55,AMAPit!$A$10:$BJ$122,AB$51,FALSE))</f>
        <v>NEU</v>
      </c>
      <c r="AC55" s="60">
        <f>IF($C55="","",VLOOKUP($C55,AMAPit!$A$10:$BJ$122,AC$51,FALSE))</f>
        <v>8</v>
      </c>
      <c r="AD55" s="349">
        <f>IF($C55="","",VLOOKUP($C55,AMAPit!$A$10:$BJ$122,AD$51,FALSE))</f>
        <v>9</v>
      </c>
      <c r="AE55" s="349">
        <f>IF($C55="","",VLOOKUP($C55,AMAPit!$A$10:$BJ$122,AE$51,FALSE))</f>
        <v>4</v>
      </c>
      <c r="AF55" s="350">
        <f>IF($C55="","",VLOOKUP($C55,AMAPit!$A$10:$BJ$122,AF$51,FALSE))</f>
        <v>7</v>
      </c>
      <c r="AG55" s="60">
        <f>IF($C55="","",VLOOKUP($C55,AMAPit!$A$10:$BJ$122,AG$51,FALSE))</f>
        <v>7.666666666666667</v>
      </c>
      <c r="AH55" s="360">
        <f t="shared" si="105"/>
        <v>0.33333333333333304</v>
      </c>
    </row>
    <row r="56" spans="1:34" x14ac:dyDescent="0.25">
      <c r="A56" s="349">
        <v>4</v>
      </c>
      <c r="B56" s="29" t="s">
        <v>87</v>
      </c>
      <c r="C56" s="58" t="s">
        <v>1169</v>
      </c>
      <c r="D56" s="30">
        <f>IF($C56="","",VLOOKUP($C56,AMAPit!$A$10:$BJ$122,D$1-2,FALSE))</f>
        <v>23</v>
      </c>
      <c r="E56" s="31" t="str">
        <f>IF($C56="","",VLOOKUP($C56,AMAPit!$A$10:$BJ$122,E$1-1,FALSE))</f>
        <v>R</v>
      </c>
      <c r="F56" s="349">
        <f t="shared" si="101"/>
        <v>0</v>
      </c>
      <c r="G56" s="349">
        <f t="shared" si="102"/>
        <v>0</v>
      </c>
      <c r="H56" s="349">
        <f t="shared" si="103"/>
        <v>0</v>
      </c>
      <c r="I56" s="92" t="str">
        <f>IF($C56="","",VLOOKUP($C56,AMAPit!$A$10:$BJ$122,I$51,FALSE))</f>
        <v>R</v>
      </c>
      <c r="J56" s="70">
        <f t="shared" si="104"/>
        <v>3</v>
      </c>
      <c r="K56" s="349">
        <f>IF($C56="","",VLOOKUP($C56,AMAPit!$A$10:$BJ$122,K$51,FALSE))</f>
        <v>6</v>
      </c>
      <c r="L56" s="349">
        <f>IF($C56="","",VLOOKUP($C56,AMAPit!$A$10:$BJ$122,L$51,FALSE))</f>
        <v>6</v>
      </c>
      <c r="M56" s="350">
        <f>IF($C56="","",VLOOKUP($C56,AMAPit!$A$10:$BJ$122,M$51,FALSE))</f>
        <v>5</v>
      </c>
      <c r="N56" s="349">
        <f>IF($C56="","",VLOOKUP($C56,AMAPit!$A$10:$BJ$122,N$51,FALSE))</f>
        <v>8</v>
      </c>
      <c r="O56" s="349">
        <f>IF($C56="","",VLOOKUP($C56,AMAPit!$A$10:$BJ$122,O$51,FALSE))</f>
        <v>7</v>
      </c>
      <c r="P56" s="349" t="str">
        <f>IF($C56="","",VLOOKUP($C56,AMAPit!$A$10:$BJ$122,P$51,FALSE))</f>
        <v>-</v>
      </c>
      <c r="Q56" s="349">
        <f>IF($C56="","",VLOOKUP($C56,AMAPit!$A$10:$BJ$122,Q$51,FALSE))</f>
        <v>7</v>
      </c>
      <c r="R56" s="349" t="str">
        <f>IF($C56="","",VLOOKUP($C56,AMAPit!$A$10:$BJ$122,R$51,FALSE))</f>
        <v>-</v>
      </c>
      <c r="S56" s="349" t="str">
        <f>IF($C56="","",VLOOKUP($C56,AMAPit!$A$10:$BJ$122,S$51,FALSE))</f>
        <v>-</v>
      </c>
      <c r="T56" s="349" t="str">
        <f>IF($C56="","",VLOOKUP($C56,AMAPit!$A$10:$BJ$122,T$51,FALSE))</f>
        <v>-</v>
      </c>
      <c r="U56" s="349" t="str">
        <f>IF($C56="","",VLOOKUP($C56,AMAPit!$A$10:$BJ$122,U$51,FALSE))</f>
        <v>-</v>
      </c>
      <c r="V56" s="349" t="str">
        <f>IF($C56="","",VLOOKUP($C56,AMAPit!$A$10:$BJ$122,V$51,FALSE))</f>
        <v>-</v>
      </c>
      <c r="W56" s="349" t="str">
        <f>IF($C56="","",VLOOKUP($C56,AMAPit!$A$10:$BJ$122,W$51,FALSE))</f>
        <v>-</v>
      </c>
      <c r="X56" s="349" t="str">
        <f>IF($C56="","",VLOOKUP($C56,AMAPit!$A$10:$BJ$122,X$51,FALSE))</f>
        <v>-</v>
      </c>
      <c r="Y56" s="350" t="str">
        <f>IF($C56="","",VLOOKUP($C56,AMAPit!$A$10:$BJ$122,Y$51,FALSE))</f>
        <v>-</v>
      </c>
      <c r="Z56" s="357" t="str">
        <f>IF($C56="","",VLOOKUP($C56,AMAPit!$A$10:$BJ$122,Z$51,FALSE))</f>
        <v>97-99 Mph</v>
      </c>
      <c r="AA56" s="349">
        <f>IF($C56="","",VLOOKUP($C56,AMAPit!$A$10:$BJ$122,AA$51,FALSE))</f>
        <v>6</v>
      </c>
      <c r="AB56" s="73" t="str">
        <f>IF($C56="","",VLOOKUP($C56,AMAPit!$A$10:$BJ$122,AB$51,FALSE))</f>
        <v>GB</v>
      </c>
      <c r="AC56" s="60">
        <f>IF($C56="","",VLOOKUP($C56,AMAPit!$A$10:$BJ$122,AC$51,FALSE))</f>
        <v>6.166666666666667</v>
      </c>
      <c r="AD56" s="349">
        <f>IF($C56="","",VLOOKUP($C56,AMAPit!$A$10:$BJ$122,AD$51,FALSE))</f>
        <v>5</v>
      </c>
      <c r="AE56" s="349">
        <f>IF($C56="","",VLOOKUP($C56,AMAPit!$A$10:$BJ$122,AE$51,FALSE))</f>
        <v>4</v>
      </c>
      <c r="AF56" s="350">
        <f>IF($C56="","",VLOOKUP($C56,AMAPit!$A$10:$BJ$122,AF$51,FALSE))</f>
        <v>2</v>
      </c>
      <c r="AG56" s="60">
        <f>IF($C56="","",VLOOKUP($C56,AMAPit!$A$10:$BJ$122,AG$51,FALSE))</f>
        <v>4.1666666666666661</v>
      </c>
      <c r="AH56" s="360">
        <f t="shared" si="105"/>
        <v>2.0000000000000009</v>
      </c>
    </row>
    <row r="57" spans="1:34" x14ac:dyDescent="0.25">
      <c r="A57" s="349">
        <v>5</v>
      </c>
      <c r="B57" s="29" t="s">
        <v>87</v>
      </c>
      <c r="C57" s="58" t="s">
        <v>1157</v>
      </c>
      <c r="D57" s="30">
        <f>IF($C57="","",VLOOKUP($C57,AMAPit!$A$10:$BJ$122,D$1-2,FALSE))</f>
        <v>23</v>
      </c>
      <c r="E57" s="31" t="str">
        <f>IF($C57="","",VLOOKUP($C57,AMAPit!$A$10:$BJ$122,E$1-1,FALSE))</f>
        <v>R</v>
      </c>
      <c r="F57" s="349">
        <f t="shared" si="101"/>
        <v>0</v>
      </c>
      <c r="G57" s="349">
        <f t="shared" si="102"/>
        <v>1</v>
      </c>
      <c r="H57" s="349">
        <f t="shared" si="103"/>
        <v>1</v>
      </c>
      <c r="I57" s="92" t="str">
        <f>IF($C57="","",VLOOKUP($C57,AMAPit!$A$10:$BJ$122,I$51,FALSE))</f>
        <v>R</v>
      </c>
      <c r="J57" s="70">
        <f t="shared" si="104"/>
        <v>3</v>
      </c>
      <c r="K57" s="349">
        <f>IF($C57="","",VLOOKUP($C57,AMAPit!$A$10:$BJ$122,K$51,FALSE))</f>
        <v>6</v>
      </c>
      <c r="L57" s="349">
        <f>IF($C57="","",VLOOKUP($C57,AMAPit!$A$10:$BJ$122,L$51,FALSE))</f>
        <v>6</v>
      </c>
      <c r="M57" s="350">
        <f>IF($C57="","",VLOOKUP($C57,AMAPit!$A$10:$BJ$122,M$51,FALSE))</f>
        <v>8</v>
      </c>
      <c r="N57" s="349">
        <f>IF($C57="","",VLOOKUP($C57,AMAPit!$A$10:$BJ$122,N$51,FALSE))</f>
        <v>8</v>
      </c>
      <c r="O57" s="349">
        <f>IF($C57="","",VLOOKUP($C57,AMAPit!$A$10:$BJ$122,O$51,FALSE))</f>
        <v>9</v>
      </c>
      <c r="P57" s="349" t="str">
        <f>IF($C57="","",VLOOKUP($C57,AMAPit!$A$10:$BJ$122,P$51,FALSE))</f>
        <v>-</v>
      </c>
      <c r="Q57" s="349">
        <f>IF($C57="","",VLOOKUP($C57,AMAPit!$A$10:$BJ$122,Q$51,FALSE))</f>
        <v>7</v>
      </c>
      <c r="R57" s="349" t="str">
        <f>IF($C57="","",VLOOKUP($C57,AMAPit!$A$10:$BJ$122,R$51,FALSE))</f>
        <v>-</v>
      </c>
      <c r="S57" s="349" t="str">
        <f>IF($C57="","",VLOOKUP($C57,AMAPit!$A$10:$BJ$122,S$51,FALSE))</f>
        <v>-</v>
      </c>
      <c r="T57" s="349" t="str">
        <f>IF($C57="","",VLOOKUP($C57,AMAPit!$A$10:$BJ$122,T$51,FALSE))</f>
        <v>-</v>
      </c>
      <c r="U57" s="349" t="str">
        <f>IF($C57="","",VLOOKUP($C57,AMAPit!$A$10:$BJ$122,U$51,FALSE))</f>
        <v>-</v>
      </c>
      <c r="V57" s="349" t="str">
        <f>IF($C57="","",VLOOKUP($C57,AMAPit!$A$10:$BJ$122,V$51,FALSE))</f>
        <v>-</v>
      </c>
      <c r="W57" s="349" t="str">
        <f>IF($C57="","",VLOOKUP($C57,AMAPit!$A$10:$BJ$122,W$51,FALSE))</f>
        <v>-</v>
      </c>
      <c r="X57" s="349" t="str">
        <f>IF($C57="","",VLOOKUP($C57,AMAPit!$A$10:$BJ$122,X$51,FALSE))</f>
        <v>-</v>
      </c>
      <c r="Y57" s="350" t="str">
        <f>IF($C57="","",VLOOKUP($C57,AMAPit!$A$10:$BJ$122,Y$51,FALSE))</f>
        <v>-</v>
      </c>
      <c r="Z57" s="357" t="str">
        <f>IF($C57="","",VLOOKUP($C57,AMAPit!$A$10:$BJ$122,Z$51,FALSE))</f>
        <v>93-95 Mph</v>
      </c>
      <c r="AA57" s="349">
        <f>IF($C57="","",VLOOKUP($C57,AMAPit!$A$10:$BJ$122,AA$51,FALSE))</f>
        <v>6</v>
      </c>
      <c r="AB57" s="73" t="str">
        <f>IF($C57="","",VLOOKUP($C57,AMAPit!$A$10:$BJ$122,AB$51,FALSE))</f>
        <v>NEU</v>
      </c>
      <c r="AC57" s="60">
        <f>IF($C57="","",VLOOKUP($C57,AMAPit!$A$10:$BJ$122,AC$51,FALSE))</f>
        <v>7.166666666666667</v>
      </c>
      <c r="AD57" s="349">
        <f>IF($C57="","",VLOOKUP($C57,AMAPit!$A$10:$BJ$122,AD$51,FALSE))</f>
        <v>6</v>
      </c>
      <c r="AE57" s="349">
        <f>IF($C57="","",VLOOKUP($C57,AMAPit!$A$10:$BJ$122,AE$51,FALSE))</f>
        <v>6</v>
      </c>
      <c r="AF57" s="350">
        <f>IF($C57="","",VLOOKUP($C57,AMAPit!$A$10:$BJ$122,AF$51,FALSE))</f>
        <v>7</v>
      </c>
      <c r="AG57" s="60">
        <f>IF($C57="","",VLOOKUP($C57,AMAPit!$A$10:$BJ$122,AG$51,FALSE))</f>
        <v>6.833333333333333</v>
      </c>
      <c r="AH57" s="360">
        <f t="shared" si="105"/>
        <v>0.33333333333333393</v>
      </c>
    </row>
    <row r="58" spans="1:34" x14ac:dyDescent="0.25">
      <c r="A58" s="349">
        <v>6</v>
      </c>
      <c r="B58" s="32" t="s">
        <v>105</v>
      </c>
      <c r="C58" s="279"/>
      <c r="D58" s="33" t="str">
        <f>IF($C58="","",VLOOKUP($C58,AMAPit!$A$10:$BJ$122,D$1-2,FALSE))</f>
        <v/>
      </c>
      <c r="E58" s="35" t="str">
        <f>IF($C58="","",VLOOKUP($C58,AMAPit!$A$10:$BJ$122,E$1-1,FALSE))</f>
        <v/>
      </c>
      <c r="F58" s="351" t="str">
        <f t="shared" si="101"/>
        <v/>
      </c>
      <c r="G58" s="351" t="str">
        <f t="shared" si="102"/>
        <v/>
      </c>
      <c r="H58" s="351" t="str">
        <f t="shared" si="103"/>
        <v/>
      </c>
      <c r="I58" s="93" t="str">
        <f>IF($C58="","",VLOOKUP($C58,AMAPit!$A$10:$BJ$122,I$51,FALSE))</f>
        <v/>
      </c>
      <c r="J58" s="71" t="str">
        <f t="shared" si="104"/>
        <v/>
      </c>
      <c r="K58" s="351" t="str">
        <f>IF($C58="","",VLOOKUP($C58,AMAPit!$A$10:$BJ$122,K$51,FALSE))</f>
        <v/>
      </c>
      <c r="L58" s="351" t="str">
        <f>IF($C58="","",VLOOKUP($C58,AMAPit!$A$10:$BJ$122,L$51,FALSE))</f>
        <v/>
      </c>
      <c r="M58" s="352" t="str">
        <f>IF($C58="","",VLOOKUP($C58,AMAPit!$A$10:$BJ$122,M$51,FALSE))</f>
        <v/>
      </c>
      <c r="N58" s="351" t="str">
        <f>IF($C58="","",VLOOKUP($C58,AMAPit!$A$10:$BJ$122,N$51,FALSE))</f>
        <v/>
      </c>
      <c r="O58" s="351" t="str">
        <f>IF($C58="","",VLOOKUP($C58,AMAPit!$A$10:$BJ$122,O$51,FALSE))</f>
        <v/>
      </c>
      <c r="P58" s="351" t="str">
        <f>IF($C58="","",VLOOKUP($C58,AMAPit!$A$10:$BJ$122,P$51,FALSE))</f>
        <v/>
      </c>
      <c r="Q58" s="351" t="str">
        <f>IF($C58="","",VLOOKUP($C58,AMAPit!$A$10:$BJ$122,Q$51,FALSE))</f>
        <v/>
      </c>
      <c r="R58" s="351" t="str">
        <f>IF($C58="","",VLOOKUP($C58,AMAPit!$A$10:$BJ$122,R$51,FALSE))</f>
        <v/>
      </c>
      <c r="S58" s="351" t="str">
        <f>IF($C58="","",VLOOKUP($C58,AMAPit!$A$10:$BJ$122,S$51,FALSE))</f>
        <v/>
      </c>
      <c r="T58" s="351" t="str">
        <f>IF($C58="","",VLOOKUP($C58,AMAPit!$A$10:$BJ$122,T$51,FALSE))</f>
        <v/>
      </c>
      <c r="U58" s="351" t="str">
        <f>IF($C58="","",VLOOKUP($C58,AMAPit!$A$10:$BJ$122,U$51,FALSE))</f>
        <v/>
      </c>
      <c r="V58" s="351" t="str">
        <f>IF($C58="","",VLOOKUP($C58,AMAPit!$A$10:$BJ$122,V$51,FALSE))</f>
        <v/>
      </c>
      <c r="W58" s="351" t="str">
        <f>IF($C58="","",VLOOKUP($C58,AMAPit!$A$10:$BJ$122,W$51,FALSE))</f>
        <v/>
      </c>
      <c r="X58" s="351" t="str">
        <f>IF($C58="","",VLOOKUP($C58,AMAPit!$A$10:$BJ$122,X$51,FALSE))</f>
        <v/>
      </c>
      <c r="Y58" s="352" t="str">
        <f>IF($C58="","",VLOOKUP($C58,AMAPit!$A$10:$BJ$122,Y$51,FALSE))</f>
        <v/>
      </c>
      <c r="Z58" s="47" t="str">
        <f>IF($C58="","",VLOOKUP($C58,AMAPit!$A$10:$BJ$122,Z$51,FALSE))</f>
        <v/>
      </c>
      <c r="AA58" s="351" t="str">
        <f>IF($C58="","",VLOOKUP($C58,AMAPit!$A$10:$BJ$122,AA$51,FALSE))</f>
        <v/>
      </c>
      <c r="AB58" s="74" t="str">
        <f>IF($C58="","",VLOOKUP($C58,AMAPit!$A$10:$BJ$122,AB$51,FALSE))</f>
        <v/>
      </c>
      <c r="AC58" s="61" t="str">
        <f>IF($C58="","",VLOOKUP($C58,AMAPit!$A$10:$BJ$122,AC$51,FALSE))</f>
        <v/>
      </c>
      <c r="AD58" s="351" t="str">
        <f>IF($C58="","",VLOOKUP($C58,AMAPit!$A$10:$BJ$122,AD$51,FALSE))</f>
        <v/>
      </c>
      <c r="AE58" s="351" t="str">
        <f>IF($C58="","",VLOOKUP($C58,AMAPit!$A$10:$BJ$122,AE$51,FALSE))</f>
        <v/>
      </c>
      <c r="AF58" s="352" t="str">
        <f>IF($C58="","",VLOOKUP($C58,AMAPit!$A$10:$BJ$122,AF$51,FALSE))</f>
        <v/>
      </c>
      <c r="AG58" s="61" t="str">
        <f>IF($C58="","",VLOOKUP($C58,AMAPit!$A$10:$BJ$122,AG$51,FALSE))</f>
        <v/>
      </c>
      <c r="AH58" s="361" t="e">
        <f t="shared" si="105"/>
        <v>#VALUE!</v>
      </c>
    </row>
    <row r="59" spans="1:34" x14ac:dyDescent="0.25">
      <c r="C59" s="280"/>
      <c r="Z59" s="349"/>
      <c r="AA59" s="349"/>
      <c r="AB59" s="349"/>
    </row>
    <row r="60" spans="1:34" ht="57" x14ac:dyDescent="0.25">
      <c r="A60" s="18" t="s">
        <v>170</v>
      </c>
      <c r="B60" s="353" t="s">
        <v>106</v>
      </c>
      <c r="C60" s="281" t="s">
        <v>96</v>
      </c>
      <c r="D60" s="37" t="s">
        <v>70</v>
      </c>
      <c r="E60" s="37" t="s">
        <v>81</v>
      </c>
      <c r="F60" s="48" t="s">
        <v>167</v>
      </c>
      <c r="G60" s="40" t="s">
        <v>168</v>
      </c>
      <c r="H60" s="49" t="s">
        <v>169</v>
      </c>
      <c r="I60" s="69" t="s">
        <v>189</v>
      </c>
      <c r="J60" s="40" t="s">
        <v>166</v>
      </c>
      <c r="K60" s="72" t="s">
        <v>163</v>
      </c>
      <c r="L60" s="67" t="s">
        <v>164</v>
      </c>
      <c r="M60" s="68" t="s">
        <v>165</v>
      </c>
      <c r="N60" s="67" t="s">
        <v>40</v>
      </c>
      <c r="O60" s="67" t="s">
        <v>42</v>
      </c>
      <c r="P60" s="67" t="s">
        <v>44</v>
      </c>
      <c r="Q60" s="67" t="s">
        <v>46</v>
      </c>
      <c r="R60" s="67" t="s">
        <v>48</v>
      </c>
      <c r="S60" s="67" t="s">
        <v>87</v>
      </c>
      <c r="T60" s="67" t="s">
        <v>51</v>
      </c>
      <c r="U60" s="67" t="s">
        <v>53</v>
      </c>
      <c r="V60" s="67" t="s">
        <v>55</v>
      </c>
      <c r="W60" s="67" t="s">
        <v>57</v>
      </c>
      <c r="X60" s="67" t="s">
        <v>59</v>
      </c>
      <c r="Y60" s="68" t="s">
        <v>61</v>
      </c>
      <c r="Z60" s="72" t="s">
        <v>176</v>
      </c>
      <c r="AA60" s="67" t="s">
        <v>175</v>
      </c>
      <c r="AB60" s="68" t="s">
        <v>177</v>
      </c>
      <c r="AC60" s="251" t="s">
        <v>174</v>
      </c>
      <c r="AD60" s="67" t="s">
        <v>163</v>
      </c>
      <c r="AE60" s="67" t="s">
        <v>164</v>
      </c>
      <c r="AF60" s="68" t="s">
        <v>165</v>
      </c>
      <c r="AG60" s="251" t="s">
        <v>354</v>
      </c>
      <c r="AH60" s="359" t="s">
        <v>538</v>
      </c>
    </row>
    <row r="61" spans="1:34" x14ac:dyDescent="0.25">
      <c r="A61" s="305">
        <v>1</v>
      </c>
      <c r="B61" s="29" t="s">
        <v>88</v>
      </c>
      <c r="C61" s="58"/>
      <c r="D61" s="30" t="str">
        <f>IF($C61="","",VLOOKUP($C61,AMAPit!$A$10:$BJ$122,D$1-2,FALSE))</f>
        <v/>
      </c>
      <c r="E61" s="30" t="str">
        <f>IF($C61="","",VLOOKUP($C61,AMAPit!$A$10:$BJ$122,E$1-1,FALSE))</f>
        <v/>
      </c>
      <c r="F61" s="357" t="str">
        <f t="shared" ref="F61:F62" si="106">IF($C61="","",IF(AVERAGE(K61:M61)&gt;7,1,0))</f>
        <v/>
      </c>
      <c r="G61" s="349" t="str">
        <f t="shared" ref="G61:G62" si="107">IF($C61="","",IF(AVERAGE(K61:M61)&gt;6.5,1,0))</f>
        <v/>
      </c>
      <c r="H61" s="350" t="str">
        <f t="shared" ref="H61:H62" si="108">IF($C61="","",IF(AVERAGE(K61:M61)&gt;6,1,0))</f>
        <v/>
      </c>
      <c r="I61" s="91" t="str">
        <f>IF($C61="","",VLOOKUP($C61,AMAPit!$A$10:$BJ$122,I$51,FALSE))</f>
        <v/>
      </c>
      <c r="J61" s="349" t="str">
        <f t="shared" ref="J61:J62" si="109">IF($C61="","",COUNT(N61:Y61))</f>
        <v/>
      </c>
      <c r="K61" s="357" t="str">
        <f>IF($C61="","",VLOOKUP($C61,AMAPit!$A$10:$BJ$122,K$51,FALSE))</f>
        <v/>
      </c>
      <c r="L61" s="349" t="str">
        <f>IF($C61="","",VLOOKUP($C61,AMAPit!$A$10:$BJ$122,L$51,FALSE))</f>
        <v/>
      </c>
      <c r="M61" s="350" t="str">
        <f>IF($C61="","",VLOOKUP($C61,AMAPit!$A$10:$BJ$122,M$51,FALSE))</f>
        <v/>
      </c>
      <c r="N61" s="349" t="str">
        <f>IF($C61="","",VLOOKUP($C61,AMAPit!$A$10:$BJ$122,N$51,FALSE))</f>
        <v/>
      </c>
      <c r="O61" s="349" t="str">
        <f>IF($C61="","",VLOOKUP($C61,AMAPit!$A$10:$BJ$122,O$51,FALSE))</f>
        <v/>
      </c>
      <c r="P61" s="349" t="str">
        <f>IF($C61="","",VLOOKUP($C61,AMAPit!$A$10:$BJ$122,P$51,FALSE))</f>
        <v/>
      </c>
      <c r="Q61" s="349" t="str">
        <f>IF($C61="","",VLOOKUP($C61,AMAPit!$A$10:$BJ$122,Q$51,FALSE))</f>
        <v/>
      </c>
      <c r="R61" s="349" t="str">
        <f>IF($C61="","",VLOOKUP($C61,AMAPit!$A$10:$BJ$122,R$51,FALSE))</f>
        <v/>
      </c>
      <c r="S61" s="349" t="str">
        <f>IF($C61="","",VLOOKUP($C61,AMAPit!$A$10:$BJ$122,S$51,FALSE))</f>
        <v/>
      </c>
      <c r="T61" s="349" t="str">
        <f>IF($C61="","",VLOOKUP($C61,AMAPit!$A$10:$BJ$122,T$51,FALSE))</f>
        <v/>
      </c>
      <c r="U61" s="349" t="str">
        <f>IF($C61="","",VLOOKUP($C61,AMAPit!$A$10:$BJ$122,U$51,FALSE))</f>
        <v/>
      </c>
      <c r="V61" s="349" t="str">
        <f>IF($C61="","",VLOOKUP($C61,AMAPit!$A$10:$BJ$122,V$51,FALSE))</f>
        <v/>
      </c>
      <c r="W61" s="349" t="str">
        <f>IF($C61="","",VLOOKUP($C61,AMAPit!$A$10:$BJ$122,W$51,FALSE))</f>
        <v/>
      </c>
      <c r="X61" s="349" t="str">
        <f>IF($C61="","",VLOOKUP($C61,AMAPit!$A$10:$BJ$122,X$51,FALSE))</f>
        <v/>
      </c>
      <c r="Y61" s="350" t="str">
        <f>IF($C61="","",VLOOKUP($C61,AMAPit!$A$10:$BJ$122,Y$51,FALSE))</f>
        <v/>
      </c>
      <c r="Z61" s="357" t="str">
        <f>IF($C61="","",VLOOKUP($C61,AMAPit!$A$10:$BJ$122,Z$51,FALSE))</f>
        <v/>
      </c>
      <c r="AA61" s="349" t="str">
        <f>IF($C61="","",VLOOKUP($C61,AMAPit!$A$10:$BJ$122,AA$51,FALSE))</f>
        <v/>
      </c>
      <c r="AB61" s="73" t="str">
        <f>IF($C61="","",VLOOKUP($C61,AMAPit!$A$10:$BJ$122,AB$51,FALSE))</f>
        <v/>
      </c>
      <c r="AC61" s="252" t="str">
        <f>IF($C61="","",VLOOKUP($C61,AMAPit!$A$10:$BJ$122,AC$51,FALSE))</f>
        <v/>
      </c>
      <c r="AD61" s="349" t="str">
        <f>IF($C61="","",VLOOKUP($C61,AMAPit!$A$10:$BJ$122,AD$51,FALSE))</f>
        <v/>
      </c>
      <c r="AE61" s="349" t="str">
        <f>IF($C61="","",VLOOKUP($C61,AMAPit!$A$10:$BJ$122,AE$51,FALSE))</f>
        <v/>
      </c>
      <c r="AF61" s="350" t="str">
        <f>IF($C61="","",VLOOKUP($C61,AMAPit!$A$10:$BJ$122,AF$51,FALSE))</f>
        <v/>
      </c>
      <c r="AG61" s="252" t="str">
        <f>IF($C61="","",VLOOKUP($C61,AMAPit!$A$10:$BJ$122,AG$51,FALSE))</f>
        <v/>
      </c>
      <c r="AH61" s="362" t="e">
        <f t="shared" ref="AH61:AH62" si="110">AC61-AG61</f>
        <v>#VALUE!</v>
      </c>
    </row>
    <row r="62" spans="1:34" x14ac:dyDescent="0.25">
      <c r="A62" s="305">
        <v>2</v>
      </c>
      <c r="B62" s="32" t="s">
        <v>107</v>
      </c>
      <c r="C62" s="282"/>
      <c r="D62" s="33" t="str">
        <f>IF($C62="","",VLOOKUP($C62,AMAPit!$A$10:$BJ$122,D$1-2,FALSE))</f>
        <v/>
      </c>
      <c r="E62" s="33" t="str">
        <f>IF($C62="","",VLOOKUP($C62,AMAPit!$A$10:$BJ$122,E$1-1,FALSE))</f>
        <v/>
      </c>
      <c r="F62" s="47" t="str">
        <f t="shared" si="106"/>
        <v/>
      </c>
      <c r="G62" s="351" t="str">
        <f t="shared" si="107"/>
        <v/>
      </c>
      <c r="H62" s="352" t="str">
        <f t="shared" si="108"/>
        <v/>
      </c>
      <c r="I62" s="93" t="str">
        <f>IF($C62="","",VLOOKUP($C62,AMAPit!$A$10:$BJ$122,I$51,FALSE))</f>
        <v/>
      </c>
      <c r="J62" s="351" t="str">
        <f t="shared" si="109"/>
        <v/>
      </c>
      <c r="K62" s="47" t="str">
        <f>IF($C62="","",VLOOKUP($C62,AMAPit!$A$10:$BJ$122,K$51,FALSE))</f>
        <v/>
      </c>
      <c r="L62" s="351" t="str">
        <f>IF($C62="","",VLOOKUP($C62,AMAPit!$A$10:$BJ$122,L$51,FALSE))</f>
        <v/>
      </c>
      <c r="M62" s="352" t="str">
        <f>IF($C62="","",VLOOKUP($C62,AMAPit!$A$10:$BJ$122,M$51,FALSE))</f>
        <v/>
      </c>
      <c r="N62" s="351" t="str">
        <f>IF($C62="","",VLOOKUP($C62,AMAPit!$A$10:$BJ$122,N$51,FALSE))</f>
        <v/>
      </c>
      <c r="O62" s="351" t="str">
        <f>IF($C62="","",VLOOKUP($C62,AMAPit!$A$10:$BJ$122,O$51,FALSE))</f>
        <v/>
      </c>
      <c r="P62" s="351" t="str">
        <f>IF($C62="","",VLOOKUP($C62,AMAPit!$A$10:$BJ$122,P$51,FALSE))</f>
        <v/>
      </c>
      <c r="Q62" s="351" t="str">
        <f>IF($C62="","",VLOOKUP($C62,AMAPit!$A$10:$BJ$122,Q$51,FALSE))</f>
        <v/>
      </c>
      <c r="R62" s="351" t="str">
        <f>IF($C62="","",VLOOKUP($C62,AMAPit!$A$10:$BJ$122,R$51,FALSE))</f>
        <v/>
      </c>
      <c r="S62" s="351" t="str">
        <f>IF($C62="","",VLOOKUP($C62,AMAPit!$A$10:$BJ$122,S$51,FALSE))</f>
        <v/>
      </c>
      <c r="T62" s="351" t="str">
        <f>IF($C62="","",VLOOKUP($C62,AMAPit!$A$10:$BJ$122,T$51,FALSE))</f>
        <v/>
      </c>
      <c r="U62" s="351" t="str">
        <f>IF($C62="","",VLOOKUP($C62,AMAPit!$A$10:$BJ$122,U$51,FALSE))</f>
        <v/>
      </c>
      <c r="V62" s="351" t="str">
        <f>IF($C62="","",VLOOKUP($C62,AMAPit!$A$10:$BJ$122,V$51,FALSE))</f>
        <v/>
      </c>
      <c r="W62" s="351" t="str">
        <f>IF($C62="","",VLOOKUP($C62,AMAPit!$A$10:$BJ$122,W$51,FALSE))</f>
        <v/>
      </c>
      <c r="X62" s="351" t="str">
        <f>IF($C62="","",VLOOKUP($C62,AMAPit!$A$10:$BJ$122,X$51,FALSE))</f>
        <v/>
      </c>
      <c r="Y62" s="352" t="str">
        <f>IF($C62="","",VLOOKUP($C62,AMAPit!$A$10:$BJ$122,Y$51,FALSE))</f>
        <v/>
      </c>
      <c r="Z62" s="47" t="str">
        <f>IF($C62="","",VLOOKUP($C62,AMAPit!$A$10:$BJ$122,Z$51,FALSE))</f>
        <v/>
      </c>
      <c r="AA62" s="351" t="str">
        <f>IF($C62="","",VLOOKUP($C62,AMAPit!$A$10:$BJ$122,AA$51,FALSE))</f>
        <v/>
      </c>
      <c r="AB62" s="74" t="str">
        <f>IF($C62="","",VLOOKUP($C62,AMAPit!$A$10:$BJ$122,AB$51,FALSE))</f>
        <v/>
      </c>
      <c r="AC62" s="61" t="str">
        <f>IF($C62="","",VLOOKUP($C62,AMAPit!$A$10:$BJ$122,AC$51,FALSE))</f>
        <v/>
      </c>
      <c r="AD62" s="351" t="str">
        <f>IF($C62="","",VLOOKUP($C62,AMAPit!$A$10:$BJ$122,AD$51,FALSE))</f>
        <v/>
      </c>
      <c r="AE62" s="351" t="str">
        <f>IF($C62="","",VLOOKUP($C62,AMAPit!$A$10:$BJ$122,AE$51,FALSE))</f>
        <v/>
      </c>
      <c r="AF62" s="352" t="str">
        <f>IF($C62="","",VLOOKUP($C62,AMAPit!$A$10:$BJ$122,AF$51,FALSE))</f>
        <v/>
      </c>
      <c r="AG62" s="61" t="str">
        <f>IF($C62="","",VLOOKUP($C62,AMAPit!$A$10:$BJ$122,AG$51,FALSE))</f>
        <v/>
      </c>
      <c r="AH62" s="361" t="e">
        <f t="shared" si="110"/>
        <v>#VALUE!</v>
      </c>
    </row>
    <row r="63" spans="1:34" x14ac:dyDescent="0.25">
      <c r="C63" s="280"/>
      <c r="Z63" s="349"/>
      <c r="AA63" s="349"/>
      <c r="AB63" s="349"/>
    </row>
    <row r="64" spans="1:34" ht="57" x14ac:dyDescent="0.25">
      <c r="A64" s="18" t="s">
        <v>170</v>
      </c>
      <c r="B64" s="353" t="s">
        <v>108</v>
      </c>
      <c r="C64" s="281" t="s">
        <v>96</v>
      </c>
      <c r="D64" s="37" t="s">
        <v>70</v>
      </c>
      <c r="E64" s="37" t="s">
        <v>81</v>
      </c>
      <c r="F64" s="48" t="s">
        <v>167</v>
      </c>
      <c r="G64" s="40" t="s">
        <v>168</v>
      </c>
      <c r="H64" s="49" t="s">
        <v>169</v>
      </c>
      <c r="I64" s="69" t="s">
        <v>189</v>
      </c>
      <c r="J64" s="40" t="s">
        <v>166</v>
      </c>
      <c r="K64" s="72" t="s">
        <v>163</v>
      </c>
      <c r="L64" s="67" t="s">
        <v>164</v>
      </c>
      <c r="M64" s="68" t="s">
        <v>165</v>
      </c>
      <c r="N64" s="67" t="s">
        <v>40</v>
      </c>
      <c r="O64" s="67" t="s">
        <v>42</v>
      </c>
      <c r="P64" s="67" t="s">
        <v>44</v>
      </c>
      <c r="Q64" s="67" t="s">
        <v>46</v>
      </c>
      <c r="R64" s="67" t="s">
        <v>48</v>
      </c>
      <c r="S64" s="67" t="s">
        <v>87</v>
      </c>
      <c r="T64" s="67" t="s">
        <v>51</v>
      </c>
      <c r="U64" s="67" t="s">
        <v>53</v>
      </c>
      <c r="V64" s="67" t="s">
        <v>55</v>
      </c>
      <c r="W64" s="67" t="s">
        <v>57</v>
      </c>
      <c r="X64" s="67" t="s">
        <v>59</v>
      </c>
      <c r="Y64" s="68" t="s">
        <v>61</v>
      </c>
      <c r="Z64" s="72" t="s">
        <v>176</v>
      </c>
      <c r="AA64" s="67" t="s">
        <v>175</v>
      </c>
      <c r="AB64" s="68" t="s">
        <v>177</v>
      </c>
      <c r="AC64" s="251" t="s">
        <v>174</v>
      </c>
      <c r="AD64" s="67" t="s">
        <v>163</v>
      </c>
      <c r="AE64" s="67" t="s">
        <v>164</v>
      </c>
      <c r="AF64" s="68" t="s">
        <v>165</v>
      </c>
      <c r="AG64" s="251" t="s">
        <v>354</v>
      </c>
      <c r="AH64" s="359" t="s">
        <v>538</v>
      </c>
    </row>
    <row r="65" spans="1:34" x14ac:dyDescent="0.25">
      <c r="A65" s="305">
        <v>1</v>
      </c>
      <c r="B65" s="29" t="s">
        <v>109</v>
      </c>
      <c r="C65" s="58"/>
      <c r="D65" s="30" t="str">
        <f>IF($C65="","",VLOOKUP($C65,AMAPit!$A$10:$BJ$122,D$1-2,FALSE))</f>
        <v/>
      </c>
      <c r="E65" s="30" t="str">
        <f>IF($C65="","",VLOOKUP($C65,AMAPit!$A$10:$BJ$122,E$1-1,FALSE))</f>
        <v/>
      </c>
      <c r="F65" s="357" t="str">
        <f t="shared" ref="F65:F74" si="111">IF($C65="","",IF(AVERAGE(K65:M65)&gt;7,1,0))</f>
        <v/>
      </c>
      <c r="G65" s="349" t="str">
        <f t="shared" ref="G65:G74" si="112">IF($C65="","",IF(AVERAGE(K65:M65)&gt;6.5,1,0))</f>
        <v/>
      </c>
      <c r="H65" s="350" t="str">
        <f t="shared" ref="H65:H74" si="113">IF($C65="","",IF(AVERAGE(K65:M65)&gt;6,1,0))</f>
        <v/>
      </c>
      <c r="I65" s="92" t="str">
        <f>IF($C65="","",VLOOKUP($C65,AMAPit!$A$10:$BJ$122,I$51,FALSE))</f>
        <v/>
      </c>
      <c r="J65" s="349" t="str">
        <f t="shared" ref="J65:J74" si="114">IF($C65="","",COUNT(N65:Y65))</f>
        <v/>
      </c>
      <c r="K65" s="357" t="str">
        <f>IF($C65="","",VLOOKUP($C65,AMAPit!$A$10:$BJ$122,K$51,FALSE))</f>
        <v/>
      </c>
      <c r="L65" s="349" t="str">
        <f>IF($C65="","",VLOOKUP($C65,AMAPit!$A$10:$BJ$122,L$51,FALSE))</f>
        <v/>
      </c>
      <c r="M65" s="350" t="str">
        <f>IF($C65="","",VLOOKUP($C65,AMAPit!$A$10:$BJ$122,M$51,FALSE))</f>
        <v/>
      </c>
      <c r="N65" s="349" t="str">
        <f>IF($C65="","",VLOOKUP($C65,AMAPit!$A$10:$BJ$122,N$51,FALSE))</f>
        <v/>
      </c>
      <c r="O65" s="349" t="str">
        <f>IF($C65="","",VLOOKUP($C65,AMAPit!$A$10:$BJ$122,O$51,FALSE))</f>
        <v/>
      </c>
      <c r="P65" s="349" t="str">
        <f>IF($C65="","",VLOOKUP($C65,AMAPit!$A$10:$BJ$122,P$51,FALSE))</f>
        <v/>
      </c>
      <c r="Q65" s="349" t="str">
        <f>IF($C65="","",VLOOKUP($C65,AMAPit!$A$10:$BJ$122,Q$51,FALSE))</f>
        <v/>
      </c>
      <c r="R65" s="349" t="str">
        <f>IF($C65="","",VLOOKUP($C65,AMAPit!$A$10:$BJ$122,R$51,FALSE))</f>
        <v/>
      </c>
      <c r="S65" s="349" t="str">
        <f>IF($C65="","",VLOOKUP($C65,AMAPit!$A$10:$BJ$122,S$51,FALSE))</f>
        <v/>
      </c>
      <c r="T65" s="349" t="str">
        <f>IF($C65="","",VLOOKUP($C65,AMAPit!$A$10:$BJ$122,T$51,FALSE))</f>
        <v/>
      </c>
      <c r="U65" s="349" t="str">
        <f>IF($C65="","",VLOOKUP($C65,AMAPit!$A$10:$BJ$122,U$51,FALSE))</f>
        <v/>
      </c>
      <c r="V65" s="349" t="str">
        <f>IF($C65="","",VLOOKUP($C65,AMAPit!$A$10:$BJ$122,V$51,FALSE))</f>
        <v/>
      </c>
      <c r="W65" s="349" t="str">
        <f>IF($C65="","",VLOOKUP($C65,AMAPit!$A$10:$BJ$122,W$51,FALSE))</f>
        <v/>
      </c>
      <c r="X65" s="349" t="str">
        <f>IF($C65="","",VLOOKUP($C65,AMAPit!$A$10:$BJ$122,X$51,FALSE))</f>
        <v/>
      </c>
      <c r="Y65" s="350" t="str">
        <f>IF($C65="","",VLOOKUP($C65,AMAPit!$A$10:$BJ$122,Y$51,FALSE))</f>
        <v/>
      </c>
      <c r="Z65" s="357" t="str">
        <f>IF($C65="","",VLOOKUP($C65,AMAPit!$A$10:$BJ$122,Z$51,FALSE))</f>
        <v/>
      </c>
      <c r="AA65" s="349" t="str">
        <f>IF($C65="","",VLOOKUP($C65,AMAPit!$A$10:$BJ$122,AA$51,FALSE))</f>
        <v/>
      </c>
      <c r="AB65" s="73" t="str">
        <f>IF($C65="","",VLOOKUP($C65,AMAPit!$A$10:$BJ$122,AB$51,FALSE))</f>
        <v/>
      </c>
      <c r="AC65" s="252" t="str">
        <f>IF($C65="","",VLOOKUP($C65,AMAPit!$A$10:$BJ$122,AC$51,FALSE))</f>
        <v/>
      </c>
      <c r="AD65" s="349" t="str">
        <f>IF($C65="","",VLOOKUP($C65,AMAPit!$A$10:$BJ$122,AD$51,FALSE))</f>
        <v/>
      </c>
      <c r="AE65" s="349" t="str">
        <f>IF($C65="","",VLOOKUP($C65,AMAPit!$A$10:$BJ$122,AE$51,FALSE))</f>
        <v/>
      </c>
      <c r="AF65" s="350" t="str">
        <f>IF($C65="","",VLOOKUP($C65,AMAPit!$A$10:$BJ$122,AF$51,FALSE))</f>
        <v/>
      </c>
      <c r="AG65" s="252" t="str">
        <f>IF($C65="","",VLOOKUP($C65,AMAPit!$A$10:$BJ$122,AG$51,FALSE))</f>
        <v/>
      </c>
      <c r="AH65" s="362" t="e">
        <f t="shared" ref="AH65:AH74" si="115">AC65-AG65</f>
        <v>#VALUE!</v>
      </c>
    </row>
    <row r="66" spans="1:34" x14ac:dyDescent="0.25">
      <c r="A66" s="305">
        <v>2</v>
      </c>
      <c r="B66" s="29" t="s">
        <v>110</v>
      </c>
      <c r="C66" s="58"/>
      <c r="D66" s="30" t="str">
        <f>IF($C66="","",VLOOKUP($C66,AMAPit!$A$10:$BJ$122,D$1-2,FALSE))</f>
        <v/>
      </c>
      <c r="E66" s="30" t="str">
        <f>IF($C66="","",VLOOKUP($C66,AMAPit!$A$10:$BJ$122,E$1-1,FALSE))</f>
        <v/>
      </c>
      <c r="F66" s="357" t="str">
        <f t="shared" si="111"/>
        <v/>
      </c>
      <c r="G66" s="349" t="str">
        <f t="shared" si="112"/>
        <v/>
      </c>
      <c r="H66" s="350" t="str">
        <f t="shared" si="113"/>
        <v/>
      </c>
      <c r="I66" s="92" t="str">
        <f>IF($C66="","",VLOOKUP($C66,AMAPit!$A$10:$BJ$122,I$51,FALSE))</f>
        <v/>
      </c>
      <c r="J66" s="349" t="str">
        <f t="shared" si="114"/>
        <v/>
      </c>
      <c r="K66" s="357" t="str">
        <f>IF($C66="","",VLOOKUP($C66,AMAPit!$A$10:$BJ$122,K$51,FALSE))</f>
        <v/>
      </c>
      <c r="L66" s="349" t="str">
        <f>IF($C66="","",VLOOKUP($C66,AMAPit!$A$10:$BJ$122,L$51,FALSE))</f>
        <v/>
      </c>
      <c r="M66" s="350" t="str">
        <f>IF($C66="","",VLOOKUP($C66,AMAPit!$A$10:$BJ$122,M$51,FALSE))</f>
        <v/>
      </c>
      <c r="N66" s="349" t="str">
        <f>IF($C66="","",VLOOKUP($C66,AMAPit!$A$10:$BJ$122,N$51,FALSE))</f>
        <v/>
      </c>
      <c r="O66" s="349" t="str">
        <f>IF($C66="","",VLOOKUP($C66,AMAPit!$A$10:$BJ$122,O$51,FALSE))</f>
        <v/>
      </c>
      <c r="P66" s="349" t="str">
        <f>IF($C66="","",VLOOKUP($C66,AMAPit!$A$10:$BJ$122,P$51,FALSE))</f>
        <v/>
      </c>
      <c r="Q66" s="349" t="str">
        <f>IF($C66="","",VLOOKUP($C66,AMAPit!$A$10:$BJ$122,Q$51,FALSE))</f>
        <v/>
      </c>
      <c r="R66" s="349" t="str">
        <f>IF($C66="","",VLOOKUP($C66,AMAPit!$A$10:$BJ$122,R$51,FALSE))</f>
        <v/>
      </c>
      <c r="S66" s="349" t="str">
        <f>IF($C66="","",VLOOKUP($C66,AMAPit!$A$10:$BJ$122,S$51,FALSE))</f>
        <v/>
      </c>
      <c r="T66" s="349" t="str">
        <f>IF($C66="","",VLOOKUP($C66,AMAPit!$A$10:$BJ$122,T$51,FALSE))</f>
        <v/>
      </c>
      <c r="U66" s="349" t="str">
        <f>IF($C66="","",VLOOKUP($C66,AMAPit!$A$10:$BJ$122,U$51,FALSE))</f>
        <v/>
      </c>
      <c r="V66" s="349" t="str">
        <f>IF($C66="","",VLOOKUP($C66,AMAPit!$A$10:$BJ$122,V$51,FALSE))</f>
        <v/>
      </c>
      <c r="W66" s="349" t="str">
        <f>IF($C66="","",VLOOKUP($C66,AMAPit!$A$10:$BJ$122,W$51,FALSE))</f>
        <v/>
      </c>
      <c r="X66" s="349" t="str">
        <f>IF($C66="","",VLOOKUP($C66,AMAPit!$A$10:$BJ$122,X$51,FALSE))</f>
        <v/>
      </c>
      <c r="Y66" s="350" t="str">
        <f>IF($C66="","",VLOOKUP($C66,AMAPit!$A$10:$BJ$122,Y$51,FALSE))</f>
        <v/>
      </c>
      <c r="Z66" s="357" t="str">
        <f>IF($C66="","",VLOOKUP($C66,AMAPit!$A$10:$BJ$122,Z$51,FALSE))</f>
        <v/>
      </c>
      <c r="AA66" s="349" t="str">
        <f>IF($C66="","",VLOOKUP($C66,AMAPit!$A$10:$BJ$122,AA$51,FALSE))</f>
        <v/>
      </c>
      <c r="AB66" s="73" t="str">
        <f>IF($C66="","",VLOOKUP($C66,AMAPit!$A$10:$BJ$122,AB$51,FALSE))</f>
        <v/>
      </c>
      <c r="AC66" s="60" t="str">
        <f>IF($C66="","",VLOOKUP($C66,AMAPit!$A$10:$BJ$122,AC$51,FALSE))</f>
        <v/>
      </c>
      <c r="AD66" s="349" t="str">
        <f>IF($C66="","",VLOOKUP($C66,AMAPit!$A$10:$BJ$122,AD$51,FALSE))</f>
        <v/>
      </c>
      <c r="AE66" s="349" t="str">
        <f>IF($C66="","",VLOOKUP($C66,AMAPit!$A$10:$BJ$122,AE$51,FALSE))</f>
        <v/>
      </c>
      <c r="AF66" s="350" t="str">
        <f>IF($C66="","",VLOOKUP($C66,AMAPit!$A$10:$BJ$122,AF$51,FALSE))</f>
        <v/>
      </c>
      <c r="AG66" s="60" t="str">
        <f>IF($C66="","",VLOOKUP($C66,AMAPit!$A$10:$BJ$122,AG$51,FALSE))</f>
        <v/>
      </c>
      <c r="AH66" s="360" t="e">
        <f t="shared" si="115"/>
        <v>#VALUE!</v>
      </c>
    </row>
    <row r="67" spans="1:34" x14ac:dyDescent="0.25">
      <c r="A67" s="305">
        <v>3</v>
      </c>
      <c r="B67" s="29" t="s">
        <v>11</v>
      </c>
      <c r="C67" s="58"/>
      <c r="D67" s="30" t="str">
        <f>IF($C67="","",VLOOKUP($C67,AMAPit!$A$10:$BJ$122,D$1-2,FALSE))</f>
        <v/>
      </c>
      <c r="E67" s="30" t="str">
        <f>IF($C67="","",VLOOKUP($C67,AMAPit!$A$10:$BJ$122,E$1-1,FALSE))</f>
        <v/>
      </c>
      <c r="F67" s="357" t="str">
        <f t="shared" si="111"/>
        <v/>
      </c>
      <c r="G67" s="349" t="str">
        <f t="shared" si="112"/>
        <v/>
      </c>
      <c r="H67" s="350" t="str">
        <f t="shared" si="113"/>
        <v/>
      </c>
      <c r="I67" s="92" t="str">
        <f>IF($C67="","",VLOOKUP($C67,AMAPit!$A$10:$BJ$122,I$51,FALSE))</f>
        <v/>
      </c>
      <c r="J67" s="349" t="str">
        <f t="shared" si="114"/>
        <v/>
      </c>
      <c r="K67" s="357" t="str">
        <f>IF($C67="","",VLOOKUP($C67,AMAPit!$A$10:$BJ$122,K$51,FALSE))</f>
        <v/>
      </c>
      <c r="L67" s="349" t="str">
        <f>IF($C67="","",VLOOKUP($C67,AMAPit!$A$10:$BJ$122,L$51,FALSE))</f>
        <v/>
      </c>
      <c r="M67" s="350" t="str">
        <f>IF($C67="","",VLOOKUP($C67,AMAPit!$A$10:$BJ$122,M$51,FALSE))</f>
        <v/>
      </c>
      <c r="N67" s="349" t="str">
        <f>IF($C67="","",VLOOKUP($C67,AMAPit!$A$10:$BJ$122,N$51,FALSE))</f>
        <v/>
      </c>
      <c r="O67" s="349" t="str">
        <f>IF($C67="","",VLOOKUP($C67,AMAPit!$A$10:$BJ$122,O$51,FALSE))</f>
        <v/>
      </c>
      <c r="P67" s="349" t="str">
        <f>IF($C67="","",VLOOKUP($C67,AMAPit!$A$10:$BJ$122,P$51,FALSE))</f>
        <v/>
      </c>
      <c r="Q67" s="349" t="str">
        <f>IF($C67="","",VLOOKUP($C67,AMAPit!$A$10:$BJ$122,Q$51,FALSE))</f>
        <v/>
      </c>
      <c r="R67" s="349" t="str">
        <f>IF($C67="","",VLOOKUP($C67,AMAPit!$A$10:$BJ$122,R$51,FALSE))</f>
        <v/>
      </c>
      <c r="S67" s="349" t="str">
        <f>IF($C67="","",VLOOKUP($C67,AMAPit!$A$10:$BJ$122,S$51,FALSE))</f>
        <v/>
      </c>
      <c r="T67" s="349" t="str">
        <f>IF($C67="","",VLOOKUP($C67,AMAPit!$A$10:$BJ$122,T$51,FALSE))</f>
        <v/>
      </c>
      <c r="U67" s="349" t="str">
        <f>IF($C67="","",VLOOKUP($C67,AMAPit!$A$10:$BJ$122,U$51,FALSE))</f>
        <v/>
      </c>
      <c r="V67" s="349" t="str">
        <f>IF($C67="","",VLOOKUP($C67,AMAPit!$A$10:$BJ$122,V$51,FALSE))</f>
        <v/>
      </c>
      <c r="W67" s="349" t="str">
        <f>IF($C67="","",VLOOKUP($C67,AMAPit!$A$10:$BJ$122,W$51,FALSE))</f>
        <v/>
      </c>
      <c r="X67" s="349" t="str">
        <f>IF($C67="","",VLOOKUP($C67,AMAPit!$A$10:$BJ$122,X$51,FALSE))</f>
        <v/>
      </c>
      <c r="Y67" s="350" t="str">
        <f>IF($C67="","",VLOOKUP($C67,AMAPit!$A$10:$BJ$122,Y$51,FALSE))</f>
        <v/>
      </c>
      <c r="Z67" s="357" t="str">
        <f>IF($C67="","",VLOOKUP($C67,AMAPit!$A$10:$BJ$122,Z$51,FALSE))</f>
        <v/>
      </c>
      <c r="AA67" s="349" t="str">
        <f>IF($C67="","",VLOOKUP($C67,AMAPit!$A$10:$BJ$122,AA$51,FALSE))</f>
        <v/>
      </c>
      <c r="AB67" s="73" t="str">
        <f>IF($C67="","",VLOOKUP($C67,AMAPit!$A$10:$BJ$122,AB$51,FALSE))</f>
        <v/>
      </c>
      <c r="AC67" s="60" t="str">
        <f>IF($C67="","",VLOOKUP($C67,AMAPit!$A$10:$BJ$122,AC$51,FALSE))</f>
        <v/>
      </c>
      <c r="AD67" s="349" t="str">
        <f>IF($C67="","",VLOOKUP($C67,AMAPit!$A$10:$BJ$122,AD$51,FALSE))</f>
        <v/>
      </c>
      <c r="AE67" s="349" t="str">
        <f>IF($C67="","",VLOOKUP($C67,AMAPit!$A$10:$BJ$122,AE$51,FALSE))</f>
        <v/>
      </c>
      <c r="AF67" s="350" t="str">
        <f>IF($C67="","",VLOOKUP($C67,AMAPit!$A$10:$BJ$122,AF$51,FALSE))</f>
        <v/>
      </c>
      <c r="AG67" s="60" t="str">
        <f>IF($C67="","",VLOOKUP($C67,AMAPit!$A$10:$BJ$122,AG$51,FALSE))</f>
        <v/>
      </c>
      <c r="AH67" s="360" t="e">
        <f t="shared" si="115"/>
        <v>#VALUE!</v>
      </c>
    </row>
    <row r="68" spans="1:34" x14ac:dyDescent="0.25">
      <c r="A68" s="305">
        <v>4</v>
      </c>
      <c r="B68" s="29" t="s">
        <v>11</v>
      </c>
      <c r="C68" s="58"/>
      <c r="D68" s="30" t="str">
        <f>IF($C68="","",VLOOKUP($C68,AMAPit!$A$10:$BJ$122,D$1-2,FALSE))</f>
        <v/>
      </c>
      <c r="E68" s="30" t="str">
        <f>IF($C68="","",VLOOKUP($C68,AMAPit!$A$10:$BJ$122,E$1-1,FALSE))</f>
        <v/>
      </c>
      <c r="F68" s="357" t="str">
        <f t="shared" si="111"/>
        <v/>
      </c>
      <c r="G68" s="349" t="str">
        <f t="shared" si="112"/>
        <v/>
      </c>
      <c r="H68" s="350" t="str">
        <f t="shared" si="113"/>
        <v/>
      </c>
      <c r="I68" s="92" t="str">
        <f>IF($C68="","",VLOOKUP($C68,AMAPit!$A$10:$BJ$122,I$51,FALSE))</f>
        <v/>
      </c>
      <c r="J68" s="349" t="str">
        <f t="shared" si="114"/>
        <v/>
      </c>
      <c r="K68" s="357" t="str">
        <f>IF($C68="","",VLOOKUP($C68,AMAPit!$A$10:$BJ$122,K$51,FALSE))</f>
        <v/>
      </c>
      <c r="L68" s="349" t="str">
        <f>IF($C68="","",VLOOKUP($C68,AMAPit!$A$10:$BJ$122,L$51,FALSE))</f>
        <v/>
      </c>
      <c r="M68" s="350" t="str">
        <f>IF($C68="","",VLOOKUP($C68,AMAPit!$A$10:$BJ$122,M$51,FALSE))</f>
        <v/>
      </c>
      <c r="N68" s="349" t="str">
        <f>IF($C68="","",VLOOKUP($C68,AMAPit!$A$10:$BJ$122,N$51,FALSE))</f>
        <v/>
      </c>
      <c r="O68" s="349" t="str">
        <f>IF($C68="","",VLOOKUP($C68,AMAPit!$A$10:$BJ$122,O$51,FALSE))</f>
        <v/>
      </c>
      <c r="P68" s="349" t="str">
        <f>IF($C68="","",VLOOKUP($C68,AMAPit!$A$10:$BJ$122,P$51,FALSE))</f>
        <v/>
      </c>
      <c r="Q68" s="349" t="str">
        <f>IF($C68="","",VLOOKUP($C68,AMAPit!$A$10:$BJ$122,Q$51,FALSE))</f>
        <v/>
      </c>
      <c r="R68" s="349" t="str">
        <f>IF($C68="","",VLOOKUP($C68,AMAPit!$A$10:$BJ$122,R$51,FALSE))</f>
        <v/>
      </c>
      <c r="S68" s="349" t="str">
        <f>IF($C68="","",VLOOKUP($C68,AMAPit!$A$10:$BJ$122,S$51,FALSE))</f>
        <v/>
      </c>
      <c r="T68" s="349" t="str">
        <f>IF($C68="","",VLOOKUP($C68,AMAPit!$A$10:$BJ$122,T$51,FALSE))</f>
        <v/>
      </c>
      <c r="U68" s="349" t="str">
        <f>IF($C68="","",VLOOKUP($C68,AMAPit!$A$10:$BJ$122,U$51,FALSE))</f>
        <v/>
      </c>
      <c r="V68" s="349" t="str">
        <f>IF($C68="","",VLOOKUP($C68,AMAPit!$A$10:$BJ$122,V$51,FALSE))</f>
        <v/>
      </c>
      <c r="W68" s="349" t="str">
        <f>IF($C68="","",VLOOKUP($C68,AMAPit!$A$10:$BJ$122,W$51,FALSE))</f>
        <v/>
      </c>
      <c r="X68" s="349" t="str">
        <f>IF($C68="","",VLOOKUP($C68,AMAPit!$A$10:$BJ$122,X$51,FALSE))</f>
        <v/>
      </c>
      <c r="Y68" s="350" t="str">
        <f>IF($C68="","",VLOOKUP($C68,AMAPit!$A$10:$BJ$122,Y$51,FALSE))</f>
        <v/>
      </c>
      <c r="Z68" s="357" t="str">
        <f>IF($C68="","",VLOOKUP($C68,AMAPit!$A$10:$BJ$122,Z$51,FALSE))</f>
        <v/>
      </c>
      <c r="AA68" s="349" t="str">
        <f>IF($C68="","",VLOOKUP($C68,AMAPit!$A$10:$BJ$122,AA$51,FALSE))</f>
        <v/>
      </c>
      <c r="AB68" s="73" t="str">
        <f>IF($C68="","",VLOOKUP($C68,AMAPit!$A$10:$BJ$122,AB$51,FALSE))</f>
        <v/>
      </c>
      <c r="AC68" s="60" t="str">
        <f>IF($C68="","",VLOOKUP($C68,AMAPit!$A$10:$BJ$122,AC$51,FALSE))</f>
        <v/>
      </c>
      <c r="AD68" s="349" t="str">
        <f>IF($C68="","",VLOOKUP($C68,AMAPit!$A$10:$BJ$122,AD$51,FALSE))</f>
        <v/>
      </c>
      <c r="AE68" s="349" t="str">
        <f>IF($C68="","",VLOOKUP($C68,AMAPit!$A$10:$BJ$122,AE$51,FALSE))</f>
        <v/>
      </c>
      <c r="AF68" s="350" t="str">
        <f>IF($C68="","",VLOOKUP($C68,AMAPit!$A$10:$BJ$122,AF$51,FALSE))</f>
        <v/>
      </c>
      <c r="AG68" s="60" t="str">
        <f>IF($C68="","",VLOOKUP($C68,AMAPit!$A$10:$BJ$122,AG$51,FALSE))</f>
        <v/>
      </c>
      <c r="AH68" s="360" t="e">
        <f t="shared" si="115"/>
        <v>#VALUE!</v>
      </c>
    </row>
    <row r="69" spans="1:34" x14ac:dyDescent="0.25">
      <c r="A69" s="305">
        <v>5</v>
      </c>
      <c r="B69" s="29" t="s">
        <v>11</v>
      </c>
      <c r="C69" s="58"/>
      <c r="D69" s="30" t="str">
        <f>IF($C69="","",VLOOKUP($C69,AMAPit!$A$10:$BJ$122,D$1-2,FALSE))</f>
        <v/>
      </c>
      <c r="E69" s="30" t="str">
        <f>IF($C69="","",VLOOKUP($C69,AMAPit!$A$10:$BJ$122,E$1-1,FALSE))</f>
        <v/>
      </c>
      <c r="F69" s="357" t="str">
        <f t="shared" si="111"/>
        <v/>
      </c>
      <c r="G69" s="349" t="str">
        <f t="shared" si="112"/>
        <v/>
      </c>
      <c r="H69" s="350" t="str">
        <f t="shared" si="113"/>
        <v/>
      </c>
      <c r="I69" s="92" t="str">
        <f>IF($C69="","",VLOOKUP($C69,AMAPit!$A$10:$BJ$122,I$51,FALSE))</f>
        <v/>
      </c>
      <c r="J69" s="349" t="str">
        <f t="shared" si="114"/>
        <v/>
      </c>
      <c r="K69" s="357" t="str">
        <f>IF($C69="","",VLOOKUP($C69,AMAPit!$A$10:$BJ$122,K$51,FALSE))</f>
        <v/>
      </c>
      <c r="L69" s="349" t="str">
        <f>IF($C69="","",VLOOKUP($C69,AMAPit!$A$10:$BJ$122,L$51,FALSE))</f>
        <v/>
      </c>
      <c r="M69" s="350" t="str">
        <f>IF($C69="","",VLOOKUP($C69,AMAPit!$A$10:$BJ$122,M$51,FALSE))</f>
        <v/>
      </c>
      <c r="N69" s="349" t="str">
        <f>IF($C69="","",VLOOKUP($C69,AMAPit!$A$10:$BJ$122,N$51,FALSE))</f>
        <v/>
      </c>
      <c r="O69" s="349" t="str">
        <f>IF($C69="","",VLOOKUP($C69,AMAPit!$A$10:$BJ$122,O$51,FALSE))</f>
        <v/>
      </c>
      <c r="P69" s="349" t="str">
        <f>IF($C69="","",VLOOKUP($C69,AMAPit!$A$10:$BJ$122,P$51,FALSE))</f>
        <v/>
      </c>
      <c r="Q69" s="349" t="str">
        <f>IF($C69="","",VLOOKUP($C69,AMAPit!$A$10:$BJ$122,Q$51,FALSE))</f>
        <v/>
      </c>
      <c r="R69" s="349" t="str">
        <f>IF($C69="","",VLOOKUP($C69,AMAPit!$A$10:$BJ$122,R$51,FALSE))</f>
        <v/>
      </c>
      <c r="S69" s="349" t="str">
        <f>IF($C69="","",VLOOKUP($C69,AMAPit!$A$10:$BJ$122,S$51,FALSE))</f>
        <v/>
      </c>
      <c r="T69" s="349" t="str">
        <f>IF($C69="","",VLOOKUP($C69,AMAPit!$A$10:$BJ$122,T$51,FALSE))</f>
        <v/>
      </c>
      <c r="U69" s="349" t="str">
        <f>IF($C69="","",VLOOKUP($C69,AMAPit!$A$10:$BJ$122,U$51,FALSE))</f>
        <v/>
      </c>
      <c r="V69" s="349" t="str">
        <f>IF($C69="","",VLOOKUP($C69,AMAPit!$A$10:$BJ$122,V$51,FALSE))</f>
        <v/>
      </c>
      <c r="W69" s="349" t="str">
        <f>IF($C69="","",VLOOKUP($C69,AMAPit!$A$10:$BJ$122,W$51,FALSE))</f>
        <v/>
      </c>
      <c r="X69" s="349" t="str">
        <f>IF($C69="","",VLOOKUP($C69,AMAPit!$A$10:$BJ$122,X$51,FALSE))</f>
        <v/>
      </c>
      <c r="Y69" s="350" t="str">
        <f>IF($C69="","",VLOOKUP($C69,AMAPit!$A$10:$BJ$122,Y$51,FALSE))</f>
        <v/>
      </c>
      <c r="Z69" s="357" t="str">
        <f>IF($C69="","",VLOOKUP($C69,AMAPit!$A$10:$BJ$122,Z$51,FALSE))</f>
        <v/>
      </c>
      <c r="AA69" s="349" t="str">
        <f>IF($C69="","",VLOOKUP($C69,AMAPit!$A$10:$BJ$122,AA$51,FALSE))</f>
        <v/>
      </c>
      <c r="AB69" s="73" t="str">
        <f>IF($C69="","",VLOOKUP($C69,AMAPit!$A$10:$BJ$122,AB$51,FALSE))</f>
        <v/>
      </c>
      <c r="AC69" s="60" t="str">
        <f>IF($C69="","",VLOOKUP($C69,AMAPit!$A$10:$BJ$122,AC$51,FALSE))</f>
        <v/>
      </c>
      <c r="AD69" s="349" t="str">
        <f>IF($C69="","",VLOOKUP($C69,AMAPit!$A$10:$BJ$122,AD$51,FALSE))</f>
        <v/>
      </c>
      <c r="AE69" s="349" t="str">
        <f>IF($C69="","",VLOOKUP($C69,AMAPit!$A$10:$BJ$122,AE$51,FALSE))</f>
        <v/>
      </c>
      <c r="AF69" s="350" t="str">
        <f>IF($C69="","",VLOOKUP($C69,AMAPit!$A$10:$BJ$122,AF$51,FALSE))</f>
        <v/>
      </c>
      <c r="AG69" s="60" t="str">
        <f>IF($C69="","",VLOOKUP($C69,AMAPit!$A$10:$BJ$122,AG$51,FALSE))</f>
        <v/>
      </c>
      <c r="AH69" s="360" t="e">
        <f t="shared" si="115"/>
        <v>#VALUE!</v>
      </c>
    </row>
    <row r="70" spans="1:34" x14ac:dyDescent="0.25">
      <c r="A70" s="305">
        <v>6</v>
      </c>
      <c r="B70" s="29" t="s">
        <v>11</v>
      </c>
      <c r="C70" s="58"/>
      <c r="D70" s="30" t="str">
        <f>IF($C70="","",VLOOKUP($C70,AMAPit!$A$10:$BJ$122,D$1-2,FALSE))</f>
        <v/>
      </c>
      <c r="E70" s="30" t="str">
        <f>IF($C70="","",VLOOKUP($C70,AMAPit!$A$10:$BJ$122,E$1-1,FALSE))</f>
        <v/>
      </c>
      <c r="F70" s="357" t="str">
        <f t="shared" si="111"/>
        <v/>
      </c>
      <c r="G70" s="349" t="str">
        <f t="shared" si="112"/>
        <v/>
      </c>
      <c r="H70" s="350" t="str">
        <f t="shared" si="113"/>
        <v/>
      </c>
      <c r="I70" s="92" t="str">
        <f>IF($C70="","",VLOOKUP($C70,AMAPit!$A$10:$BJ$122,I$51,FALSE))</f>
        <v/>
      </c>
      <c r="J70" s="349" t="str">
        <f t="shared" si="114"/>
        <v/>
      </c>
      <c r="K70" s="357" t="str">
        <f>IF($C70="","",VLOOKUP($C70,AMAPit!$A$10:$BJ$122,K$51,FALSE))</f>
        <v/>
      </c>
      <c r="L70" s="349" t="str">
        <f>IF($C70="","",VLOOKUP($C70,AMAPit!$A$10:$BJ$122,L$51,FALSE))</f>
        <v/>
      </c>
      <c r="M70" s="350" t="str">
        <f>IF($C70="","",VLOOKUP($C70,AMAPit!$A$10:$BJ$122,M$51,FALSE))</f>
        <v/>
      </c>
      <c r="N70" s="349" t="str">
        <f>IF($C70="","",VLOOKUP($C70,AMAPit!$A$10:$BJ$122,N$51,FALSE))</f>
        <v/>
      </c>
      <c r="O70" s="349" t="str">
        <f>IF($C70="","",VLOOKUP($C70,AMAPit!$A$10:$BJ$122,O$51,FALSE))</f>
        <v/>
      </c>
      <c r="P70" s="349" t="str">
        <f>IF($C70="","",VLOOKUP($C70,AMAPit!$A$10:$BJ$122,P$51,FALSE))</f>
        <v/>
      </c>
      <c r="Q70" s="349" t="str">
        <f>IF($C70="","",VLOOKUP($C70,AMAPit!$A$10:$BJ$122,Q$51,FALSE))</f>
        <v/>
      </c>
      <c r="R70" s="349" t="str">
        <f>IF($C70="","",VLOOKUP($C70,AMAPit!$A$10:$BJ$122,R$51,FALSE))</f>
        <v/>
      </c>
      <c r="S70" s="349" t="str">
        <f>IF($C70="","",VLOOKUP($C70,AMAPit!$A$10:$BJ$122,S$51,FALSE))</f>
        <v/>
      </c>
      <c r="T70" s="349" t="str">
        <f>IF($C70="","",VLOOKUP($C70,AMAPit!$A$10:$BJ$122,T$51,FALSE))</f>
        <v/>
      </c>
      <c r="U70" s="349" t="str">
        <f>IF($C70="","",VLOOKUP($C70,AMAPit!$A$10:$BJ$122,U$51,FALSE))</f>
        <v/>
      </c>
      <c r="V70" s="349" t="str">
        <f>IF($C70="","",VLOOKUP($C70,AMAPit!$A$10:$BJ$122,V$51,FALSE))</f>
        <v/>
      </c>
      <c r="W70" s="349" t="str">
        <f>IF($C70="","",VLOOKUP($C70,AMAPit!$A$10:$BJ$122,W$51,FALSE))</f>
        <v/>
      </c>
      <c r="X70" s="349" t="str">
        <f>IF($C70="","",VLOOKUP($C70,AMAPit!$A$10:$BJ$122,X$51,FALSE))</f>
        <v/>
      </c>
      <c r="Y70" s="350" t="str">
        <f>IF($C70="","",VLOOKUP($C70,AMAPit!$A$10:$BJ$122,Y$51,FALSE))</f>
        <v/>
      </c>
      <c r="Z70" s="357" t="str">
        <f>IF($C70="","",VLOOKUP($C70,AMAPit!$A$10:$BJ$122,Z$51,FALSE))</f>
        <v/>
      </c>
      <c r="AA70" s="349" t="str">
        <f>IF($C70="","",VLOOKUP($C70,AMAPit!$A$10:$BJ$122,AA$51,FALSE))</f>
        <v/>
      </c>
      <c r="AB70" s="73" t="str">
        <f>IF($C70="","",VLOOKUP($C70,AMAPit!$A$10:$BJ$122,AB$51,FALSE))</f>
        <v/>
      </c>
      <c r="AC70" s="60" t="str">
        <f>IF($C70="","",VLOOKUP($C70,AMAPit!$A$10:$BJ$122,AC$51,FALSE))</f>
        <v/>
      </c>
      <c r="AD70" s="349" t="str">
        <f>IF($C70="","",VLOOKUP($C70,AMAPit!$A$10:$BJ$122,AD$51,FALSE))</f>
        <v/>
      </c>
      <c r="AE70" s="349" t="str">
        <f>IF($C70="","",VLOOKUP($C70,AMAPit!$A$10:$BJ$122,AE$51,FALSE))</f>
        <v/>
      </c>
      <c r="AF70" s="350" t="str">
        <f>IF($C70="","",VLOOKUP($C70,AMAPit!$A$10:$BJ$122,AF$51,FALSE))</f>
        <v/>
      </c>
      <c r="AG70" s="60" t="str">
        <f>IF($C70="","",VLOOKUP($C70,AMAPit!$A$10:$BJ$122,AG$51,FALSE))</f>
        <v/>
      </c>
      <c r="AH70" s="360" t="e">
        <f t="shared" si="115"/>
        <v>#VALUE!</v>
      </c>
    </row>
    <row r="71" spans="1:34" x14ac:dyDescent="0.25">
      <c r="A71" s="305">
        <v>7</v>
      </c>
      <c r="B71" s="29" t="s">
        <v>11</v>
      </c>
      <c r="C71" s="58"/>
      <c r="D71" s="30" t="str">
        <f>IF($C71="","",VLOOKUP($C71,AMAPit!$A$10:$BJ$122,D$1-2,FALSE))</f>
        <v/>
      </c>
      <c r="E71" s="30" t="str">
        <f>IF($C71="","",VLOOKUP($C71,AMAPit!$A$10:$BJ$122,E$1-1,FALSE))</f>
        <v/>
      </c>
      <c r="F71" s="357" t="str">
        <f t="shared" si="111"/>
        <v/>
      </c>
      <c r="G71" s="349" t="str">
        <f t="shared" si="112"/>
        <v/>
      </c>
      <c r="H71" s="350" t="str">
        <f t="shared" si="113"/>
        <v/>
      </c>
      <c r="I71" s="92" t="str">
        <f>IF($C71="","",VLOOKUP($C71,AMAPit!$A$10:$BJ$122,I$51,FALSE))</f>
        <v/>
      </c>
      <c r="J71" s="349" t="str">
        <f t="shared" si="114"/>
        <v/>
      </c>
      <c r="K71" s="357" t="str">
        <f>IF($C71="","",VLOOKUP($C71,AMAPit!$A$10:$BJ$122,K$51,FALSE))</f>
        <v/>
      </c>
      <c r="L71" s="349" t="str">
        <f>IF($C71="","",VLOOKUP($C71,AMAPit!$A$10:$BJ$122,L$51,FALSE))</f>
        <v/>
      </c>
      <c r="M71" s="350" t="str">
        <f>IF($C71="","",VLOOKUP($C71,AMAPit!$A$10:$BJ$122,M$51,FALSE))</f>
        <v/>
      </c>
      <c r="N71" s="349" t="str">
        <f>IF($C71="","",VLOOKUP($C71,AMAPit!$A$10:$BJ$122,N$51,FALSE))</f>
        <v/>
      </c>
      <c r="O71" s="349" t="str">
        <f>IF($C71="","",VLOOKUP($C71,AMAPit!$A$10:$BJ$122,O$51,FALSE))</f>
        <v/>
      </c>
      <c r="P71" s="349" t="str">
        <f>IF($C71="","",VLOOKUP($C71,AMAPit!$A$10:$BJ$122,P$51,FALSE))</f>
        <v/>
      </c>
      <c r="Q71" s="349" t="str">
        <f>IF($C71="","",VLOOKUP($C71,AMAPit!$A$10:$BJ$122,Q$51,FALSE))</f>
        <v/>
      </c>
      <c r="R71" s="349" t="str">
        <f>IF($C71="","",VLOOKUP($C71,AMAPit!$A$10:$BJ$122,R$51,FALSE))</f>
        <v/>
      </c>
      <c r="S71" s="349" t="str">
        <f>IF($C71="","",VLOOKUP($C71,AMAPit!$A$10:$BJ$122,S$51,FALSE))</f>
        <v/>
      </c>
      <c r="T71" s="349" t="str">
        <f>IF($C71="","",VLOOKUP($C71,AMAPit!$A$10:$BJ$122,T$51,FALSE))</f>
        <v/>
      </c>
      <c r="U71" s="349" t="str">
        <f>IF($C71="","",VLOOKUP($C71,AMAPit!$A$10:$BJ$122,U$51,FALSE))</f>
        <v/>
      </c>
      <c r="V71" s="349" t="str">
        <f>IF($C71="","",VLOOKUP($C71,AMAPit!$A$10:$BJ$122,V$51,FALSE))</f>
        <v/>
      </c>
      <c r="W71" s="349" t="str">
        <f>IF($C71="","",VLOOKUP($C71,AMAPit!$A$10:$BJ$122,W$51,FALSE))</f>
        <v/>
      </c>
      <c r="X71" s="349" t="str">
        <f>IF($C71="","",VLOOKUP($C71,AMAPit!$A$10:$BJ$122,X$51,FALSE))</f>
        <v/>
      </c>
      <c r="Y71" s="350" t="str">
        <f>IF($C71="","",VLOOKUP($C71,AMAPit!$A$10:$BJ$122,Y$51,FALSE))</f>
        <v/>
      </c>
      <c r="Z71" s="357" t="str">
        <f>IF($C71="","",VLOOKUP($C71,AMAPit!$A$10:$BJ$122,Z$51,FALSE))</f>
        <v/>
      </c>
      <c r="AA71" s="349" t="str">
        <f>IF($C71="","",VLOOKUP($C71,AMAPit!$A$10:$BJ$122,AA$51,FALSE))</f>
        <v/>
      </c>
      <c r="AB71" s="73" t="str">
        <f>IF($C71="","",VLOOKUP($C71,AMAPit!$A$10:$BJ$122,AB$51,FALSE))</f>
        <v/>
      </c>
      <c r="AC71" s="60" t="str">
        <f>IF($C71="","",VLOOKUP($C71,AMAPit!$A$10:$BJ$122,AC$51,FALSE))</f>
        <v/>
      </c>
      <c r="AD71" s="349" t="str">
        <f>IF($C71="","",VLOOKUP($C71,AMAPit!$A$10:$BJ$122,AD$51,FALSE))</f>
        <v/>
      </c>
      <c r="AE71" s="349" t="str">
        <f>IF($C71="","",VLOOKUP($C71,AMAPit!$A$10:$BJ$122,AE$51,FALSE))</f>
        <v/>
      </c>
      <c r="AF71" s="350" t="str">
        <f>IF($C71="","",VLOOKUP($C71,AMAPit!$A$10:$BJ$122,AF$51,FALSE))</f>
        <v/>
      </c>
      <c r="AG71" s="60" t="str">
        <f>IF($C71="","",VLOOKUP($C71,AMAPit!$A$10:$BJ$122,AG$51,FALSE))</f>
        <v/>
      </c>
      <c r="AH71" s="360" t="e">
        <f t="shared" si="115"/>
        <v>#VALUE!</v>
      </c>
    </row>
    <row r="72" spans="1:34" x14ac:dyDescent="0.25">
      <c r="A72" s="305">
        <v>8</v>
      </c>
      <c r="B72" s="29" t="s">
        <v>11</v>
      </c>
      <c r="C72" s="58"/>
      <c r="D72" s="30" t="str">
        <f>IF($C72="","",VLOOKUP($C72,AMAPit!$A$10:$BJ$122,D$1-2,FALSE))</f>
        <v/>
      </c>
      <c r="E72" s="30" t="str">
        <f>IF($C72="","",VLOOKUP($C72,AMAPit!$A$10:$BJ$122,E$1-1,FALSE))</f>
        <v/>
      </c>
      <c r="F72" s="357" t="str">
        <f t="shared" si="111"/>
        <v/>
      </c>
      <c r="G72" s="349" t="str">
        <f t="shared" si="112"/>
        <v/>
      </c>
      <c r="H72" s="350" t="str">
        <f t="shared" si="113"/>
        <v/>
      </c>
      <c r="I72" s="92" t="str">
        <f>IF($C72="","",VLOOKUP($C72,AMAPit!$A$10:$BJ$122,I$51,FALSE))</f>
        <v/>
      </c>
      <c r="J72" s="349" t="str">
        <f t="shared" si="114"/>
        <v/>
      </c>
      <c r="K72" s="357" t="str">
        <f>IF($C72="","",VLOOKUP($C72,AMAPit!$A$10:$BJ$122,K$51,FALSE))</f>
        <v/>
      </c>
      <c r="L72" s="349" t="str">
        <f>IF($C72="","",VLOOKUP($C72,AMAPit!$A$10:$BJ$122,L$51,FALSE))</f>
        <v/>
      </c>
      <c r="M72" s="350" t="str">
        <f>IF($C72="","",VLOOKUP($C72,AMAPit!$A$10:$BJ$122,M$51,FALSE))</f>
        <v/>
      </c>
      <c r="N72" s="349" t="str">
        <f>IF($C72="","",VLOOKUP($C72,AMAPit!$A$10:$BJ$122,N$51,FALSE))</f>
        <v/>
      </c>
      <c r="O72" s="349" t="str">
        <f>IF($C72="","",VLOOKUP($C72,AMAPit!$A$10:$BJ$122,O$51,FALSE))</f>
        <v/>
      </c>
      <c r="P72" s="349" t="str">
        <f>IF($C72="","",VLOOKUP($C72,AMAPit!$A$10:$BJ$122,P$51,FALSE))</f>
        <v/>
      </c>
      <c r="Q72" s="349" t="str">
        <f>IF($C72="","",VLOOKUP($C72,AMAPit!$A$10:$BJ$122,Q$51,FALSE))</f>
        <v/>
      </c>
      <c r="R72" s="349" t="str">
        <f>IF($C72="","",VLOOKUP($C72,AMAPit!$A$10:$BJ$122,R$51,FALSE))</f>
        <v/>
      </c>
      <c r="S72" s="349" t="str">
        <f>IF($C72="","",VLOOKUP($C72,AMAPit!$A$10:$BJ$122,S$51,FALSE))</f>
        <v/>
      </c>
      <c r="T72" s="349" t="str">
        <f>IF($C72="","",VLOOKUP($C72,AMAPit!$A$10:$BJ$122,T$51,FALSE))</f>
        <v/>
      </c>
      <c r="U72" s="349" t="str">
        <f>IF($C72="","",VLOOKUP($C72,AMAPit!$A$10:$BJ$122,U$51,FALSE))</f>
        <v/>
      </c>
      <c r="V72" s="349" t="str">
        <f>IF($C72="","",VLOOKUP($C72,AMAPit!$A$10:$BJ$122,V$51,FALSE))</f>
        <v/>
      </c>
      <c r="W72" s="349" t="str">
        <f>IF($C72="","",VLOOKUP($C72,AMAPit!$A$10:$BJ$122,W$51,FALSE))</f>
        <v/>
      </c>
      <c r="X72" s="349" t="str">
        <f>IF($C72="","",VLOOKUP($C72,AMAPit!$A$10:$BJ$122,X$51,FALSE))</f>
        <v/>
      </c>
      <c r="Y72" s="350" t="str">
        <f>IF($C72="","",VLOOKUP($C72,AMAPit!$A$10:$BJ$122,Y$51,FALSE))</f>
        <v/>
      </c>
      <c r="Z72" s="357" t="str">
        <f>IF($C72="","",VLOOKUP($C72,AMAPit!$A$10:$BJ$122,Z$51,FALSE))</f>
        <v/>
      </c>
      <c r="AA72" s="349" t="str">
        <f>IF($C72="","",VLOOKUP($C72,AMAPit!$A$10:$BJ$122,AA$51,FALSE))</f>
        <v/>
      </c>
      <c r="AB72" s="73" t="str">
        <f>IF($C72="","",VLOOKUP($C72,AMAPit!$A$10:$BJ$122,AB$51,FALSE))</f>
        <v/>
      </c>
      <c r="AC72" s="60" t="str">
        <f>IF($C72="","",VLOOKUP($C72,AMAPit!$A$10:$BJ$122,AC$51,FALSE))</f>
        <v/>
      </c>
      <c r="AD72" s="349" t="str">
        <f>IF($C72="","",VLOOKUP($C72,AMAPit!$A$10:$BJ$122,AD$51,FALSE))</f>
        <v/>
      </c>
      <c r="AE72" s="349" t="str">
        <f>IF($C72="","",VLOOKUP($C72,AMAPit!$A$10:$BJ$122,AE$51,FALSE))</f>
        <v/>
      </c>
      <c r="AF72" s="350" t="str">
        <f>IF($C72="","",VLOOKUP($C72,AMAPit!$A$10:$BJ$122,AF$51,FALSE))</f>
        <v/>
      </c>
      <c r="AG72" s="60" t="str">
        <f>IF($C72="","",VLOOKUP($C72,AMAPit!$A$10:$BJ$122,AG$51,FALSE))</f>
        <v/>
      </c>
      <c r="AH72" s="360" t="e">
        <f t="shared" si="115"/>
        <v>#VALUE!</v>
      </c>
    </row>
    <row r="73" spans="1:34" x14ac:dyDescent="0.25">
      <c r="A73" s="305">
        <v>9</v>
      </c>
      <c r="B73" s="29" t="s">
        <v>11</v>
      </c>
      <c r="C73" s="58"/>
      <c r="D73" s="30" t="str">
        <f>IF($C73="","",VLOOKUP($C73,AMAPit!$A$10:$BJ$122,D$1-2,FALSE))</f>
        <v/>
      </c>
      <c r="E73" s="30" t="str">
        <f>IF($C73="","",VLOOKUP($C73,AMAPit!$A$10:$BJ$122,E$1-1,FALSE))</f>
        <v/>
      </c>
      <c r="F73" s="357" t="str">
        <f t="shared" si="111"/>
        <v/>
      </c>
      <c r="G73" s="349" t="str">
        <f t="shared" si="112"/>
        <v/>
      </c>
      <c r="H73" s="350" t="str">
        <f t="shared" si="113"/>
        <v/>
      </c>
      <c r="I73" s="92" t="str">
        <f>IF($C73="","",VLOOKUP($C73,AMAPit!$A$10:$BJ$122,I$51,FALSE))</f>
        <v/>
      </c>
      <c r="J73" s="349" t="str">
        <f t="shared" si="114"/>
        <v/>
      </c>
      <c r="K73" s="357" t="str">
        <f>IF($C73="","",VLOOKUP($C73,AMAPit!$A$10:$BJ$122,K$51,FALSE))</f>
        <v/>
      </c>
      <c r="L73" s="349" t="str">
        <f>IF($C73="","",VLOOKUP($C73,AMAPit!$A$10:$BJ$122,L$51,FALSE))</f>
        <v/>
      </c>
      <c r="M73" s="350" t="str">
        <f>IF($C73="","",VLOOKUP($C73,AMAPit!$A$10:$BJ$122,M$51,FALSE))</f>
        <v/>
      </c>
      <c r="N73" s="349" t="str">
        <f>IF($C73="","",VLOOKUP($C73,AMAPit!$A$10:$BJ$122,N$51,FALSE))</f>
        <v/>
      </c>
      <c r="O73" s="349" t="str">
        <f>IF($C73="","",VLOOKUP($C73,AMAPit!$A$10:$BJ$122,O$51,FALSE))</f>
        <v/>
      </c>
      <c r="P73" s="349" t="str">
        <f>IF($C73="","",VLOOKUP($C73,AMAPit!$A$10:$BJ$122,P$51,FALSE))</f>
        <v/>
      </c>
      <c r="Q73" s="349" t="str">
        <f>IF($C73="","",VLOOKUP($C73,AMAPit!$A$10:$BJ$122,Q$51,FALSE))</f>
        <v/>
      </c>
      <c r="R73" s="349" t="str">
        <f>IF($C73="","",VLOOKUP($C73,AMAPit!$A$10:$BJ$122,R$51,FALSE))</f>
        <v/>
      </c>
      <c r="S73" s="349" t="str">
        <f>IF($C73="","",VLOOKUP($C73,AMAPit!$A$10:$BJ$122,S$51,FALSE))</f>
        <v/>
      </c>
      <c r="T73" s="349" t="str">
        <f>IF($C73="","",VLOOKUP($C73,AMAPit!$A$10:$BJ$122,T$51,FALSE))</f>
        <v/>
      </c>
      <c r="U73" s="349" t="str">
        <f>IF($C73="","",VLOOKUP($C73,AMAPit!$A$10:$BJ$122,U$51,FALSE))</f>
        <v/>
      </c>
      <c r="V73" s="349" t="str">
        <f>IF($C73="","",VLOOKUP($C73,AMAPit!$A$10:$BJ$122,V$51,FALSE))</f>
        <v/>
      </c>
      <c r="W73" s="349" t="str">
        <f>IF($C73="","",VLOOKUP($C73,AMAPit!$A$10:$BJ$122,W$51,FALSE))</f>
        <v/>
      </c>
      <c r="X73" s="349" t="str">
        <f>IF($C73="","",VLOOKUP($C73,AMAPit!$A$10:$BJ$122,X$51,FALSE))</f>
        <v/>
      </c>
      <c r="Y73" s="350" t="str">
        <f>IF($C73="","",VLOOKUP($C73,AMAPit!$A$10:$BJ$122,Y$51,FALSE))</f>
        <v/>
      </c>
      <c r="Z73" s="357" t="str">
        <f>IF($C73="","",VLOOKUP($C73,AMAPit!$A$10:$BJ$122,Z$51,FALSE))</f>
        <v/>
      </c>
      <c r="AA73" s="349" t="str">
        <f>IF($C73="","",VLOOKUP($C73,AMAPit!$A$10:$BJ$122,AA$51,FALSE))</f>
        <v/>
      </c>
      <c r="AB73" s="73" t="str">
        <f>IF($C73="","",VLOOKUP($C73,AMAPit!$A$10:$BJ$122,AB$51,FALSE))</f>
        <v/>
      </c>
      <c r="AC73" s="60" t="str">
        <f>IF($C73="","",VLOOKUP($C73,AMAPit!$A$10:$BJ$122,AC$51,FALSE))</f>
        <v/>
      </c>
      <c r="AD73" s="349" t="str">
        <f>IF($C73="","",VLOOKUP($C73,AMAPit!$A$10:$BJ$122,AD$51,FALSE))</f>
        <v/>
      </c>
      <c r="AE73" s="349" t="str">
        <f>IF($C73="","",VLOOKUP($C73,AMAPit!$A$10:$BJ$122,AE$51,FALSE))</f>
        <v/>
      </c>
      <c r="AF73" s="350" t="str">
        <f>IF($C73="","",VLOOKUP($C73,AMAPit!$A$10:$BJ$122,AF$51,FALSE))</f>
        <v/>
      </c>
      <c r="AG73" s="60" t="str">
        <f>IF($C73="","",VLOOKUP($C73,AMAPit!$A$10:$BJ$122,AG$51,FALSE))</f>
        <v/>
      </c>
      <c r="AH73" s="360" t="e">
        <f t="shared" si="115"/>
        <v>#VALUE!</v>
      </c>
    </row>
    <row r="74" spans="1:34" x14ac:dyDescent="0.25">
      <c r="A74" s="305">
        <v>10</v>
      </c>
      <c r="B74" s="32" t="s">
        <v>11</v>
      </c>
      <c r="C74" s="33"/>
      <c r="D74" s="33" t="str">
        <f>IF($C74="","",VLOOKUP($C74,AMAPit!$A$10:$BJ$122,D$1-2,FALSE))</f>
        <v/>
      </c>
      <c r="E74" s="33" t="str">
        <f>IF($C74="","",VLOOKUP($C74,AMAPit!$A$10:$BJ$122,E$1-1,FALSE))</f>
        <v/>
      </c>
      <c r="F74" s="47" t="str">
        <f t="shared" si="111"/>
        <v/>
      </c>
      <c r="G74" s="351" t="str">
        <f t="shared" si="112"/>
        <v/>
      </c>
      <c r="H74" s="352" t="str">
        <f t="shared" si="113"/>
        <v/>
      </c>
      <c r="I74" s="93" t="str">
        <f>IF($C74="","",VLOOKUP($C74,AMAPit!$A$10:$BJ$122,I$51,FALSE))</f>
        <v/>
      </c>
      <c r="J74" s="351" t="str">
        <f t="shared" si="114"/>
        <v/>
      </c>
      <c r="K74" s="47" t="str">
        <f>IF($C74="","",VLOOKUP($C74,AMAPit!$A$10:$BJ$122,K$51,FALSE))</f>
        <v/>
      </c>
      <c r="L74" s="351" t="str">
        <f>IF($C74="","",VLOOKUP($C74,AMAPit!$A$10:$BJ$122,L$51,FALSE))</f>
        <v/>
      </c>
      <c r="M74" s="352" t="str">
        <f>IF($C74="","",VLOOKUP($C74,AMAPit!$A$10:$BJ$122,M$51,FALSE))</f>
        <v/>
      </c>
      <c r="N74" s="351" t="str">
        <f>IF($C74="","",VLOOKUP($C74,AMAPit!$A$10:$BJ$122,N$51,FALSE))</f>
        <v/>
      </c>
      <c r="O74" s="351" t="str">
        <f>IF($C74="","",VLOOKUP($C74,AMAPit!$A$10:$BJ$122,O$51,FALSE))</f>
        <v/>
      </c>
      <c r="P74" s="351" t="str">
        <f>IF($C74="","",VLOOKUP($C74,AMAPit!$A$10:$BJ$125,P$51,FALSE))</f>
        <v/>
      </c>
      <c r="Q74" s="351" t="str">
        <f>IF($C74="","",VLOOKUP($C74,AMAPit!$A$10:$BJ$125,Q$51,FALSE))</f>
        <v/>
      </c>
      <c r="R74" s="351" t="str">
        <f>IF($C74="","",VLOOKUP($C74,AMAPit!$A$10:$BJ$125,R$51,FALSE))</f>
        <v/>
      </c>
      <c r="S74" s="351" t="str">
        <f>IF($C74="","",VLOOKUP($C74,AMAPit!$A$10:$BJ$125,S$51,FALSE))</f>
        <v/>
      </c>
      <c r="T74" s="351" t="str">
        <f>IF($C74="","",VLOOKUP($C74,AMAPit!$A$10:$BJ$125,T$51,FALSE))</f>
        <v/>
      </c>
      <c r="U74" s="351" t="str">
        <f>IF($C74="","",VLOOKUP($C74,AMAPit!$A$10:$BJ$125,U$51,FALSE))</f>
        <v/>
      </c>
      <c r="V74" s="351" t="str">
        <f>IF($C74="","",VLOOKUP($C74,AMAPit!$A$10:$BJ$125,V$51,FALSE))</f>
        <v/>
      </c>
      <c r="W74" s="351" t="str">
        <f>IF($C74="","",VLOOKUP($C74,AMAPit!$A$10:$BJ$125,W$51,FALSE))</f>
        <v/>
      </c>
      <c r="X74" s="351" t="str">
        <f>IF($C74="","",VLOOKUP($C74,AMAPit!$A$10:$BJ$125,X$51,FALSE))</f>
        <v/>
      </c>
      <c r="Y74" s="352" t="str">
        <f>IF($C74="","",VLOOKUP($C74,AMAPit!$A$10:$BJ$125,Y$51,FALSE))</f>
        <v/>
      </c>
      <c r="Z74" s="47" t="str">
        <f>IF($C74="","",VLOOKUP($C74,AMAPit!$A$10:$BJ$125,Z$51,FALSE))</f>
        <v/>
      </c>
      <c r="AA74" s="351" t="str">
        <f>IF($C74="","",VLOOKUP($C74,AMAPit!$A$10:$BJ$125,AA$51,FALSE))</f>
        <v/>
      </c>
      <c r="AB74" s="74" t="str">
        <f>IF($C74="","",VLOOKUP($C74,AMAPit!$A$10:$BJ$125,AB$51,FALSE))</f>
        <v/>
      </c>
      <c r="AC74" s="61" t="str">
        <f>IF($C74="","",VLOOKUP($C74,AMAPit!$A$10:$BJ$125,AC$51,FALSE))</f>
        <v/>
      </c>
      <c r="AD74" s="351" t="str">
        <f>IF($C74="","",VLOOKUP($C74,AMAPit!$A$10:$BJ$125,AD$51,FALSE))</f>
        <v/>
      </c>
      <c r="AE74" s="351" t="str">
        <f>IF($C74="","",VLOOKUP($C74,AMAPit!$A$10:$BJ$125,AE$51,FALSE))</f>
        <v/>
      </c>
      <c r="AF74" s="352" t="str">
        <f>IF($C74="","",VLOOKUP($C74,AMAPit!$A$10:$BJ$125,AF$51,FALSE))</f>
        <v/>
      </c>
      <c r="AG74" s="61" t="str">
        <f>IF($C74="","",VLOOKUP($C74,AMAPit!$A$10:$BJ$125,AG$51,FALSE))</f>
        <v/>
      </c>
      <c r="AH74" s="361" t="e">
        <f t="shared" si="115"/>
        <v>#VALUE!</v>
      </c>
    </row>
  </sheetData>
  <mergeCells count="22">
    <mergeCell ref="AG38:AT38"/>
    <mergeCell ref="AG26:AT26"/>
    <mergeCell ref="AH27:AT27"/>
    <mergeCell ref="AH28:AT28"/>
    <mergeCell ref="AH29:AT29"/>
    <mergeCell ref="AH30:AT30"/>
    <mergeCell ref="AH31:AT31"/>
    <mergeCell ref="AH32:AT32"/>
    <mergeCell ref="AH33:AT33"/>
    <mergeCell ref="AH34:AT34"/>
    <mergeCell ref="AH35:AT35"/>
    <mergeCell ref="AH36:AT36"/>
    <mergeCell ref="AH45:AT45"/>
    <mergeCell ref="AH46:AT46"/>
    <mergeCell ref="AH47:AT47"/>
    <mergeCell ref="AH48:AT48"/>
    <mergeCell ref="AH39:AT39"/>
    <mergeCell ref="AH40:AT40"/>
    <mergeCell ref="AH41:AT41"/>
    <mergeCell ref="AH42:AT42"/>
    <mergeCell ref="AH43:AT43"/>
    <mergeCell ref="AH44:AT44"/>
  </mergeCells>
  <conditionalFormatting sqref="G13">
    <cfRule type="expression" dxfId="108" priority="15">
      <formula>IF(SUM(G14:G19)&gt;1,1,0)</formula>
    </cfRule>
  </conditionalFormatting>
  <conditionalFormatting sqref="H13">
    <cfRule type="expression" dxfId="107" priority="14">
      <formula>IF(SUM(H14:H19)&gt;1,1,0)</formula>
    </cfRule>
  </conditionalFormatting>
  <conditionalFormatting sqref="F13">
    <cfRule type="expression" dxfId="106" priority="13">
      <formula>IF(SUM(F14:F19)&gt;1,1,0)</formula>
    </cfRule>
  </conditionalFormatting>
  <conditionalFormatting sqref="I2">
    <cfRule type="expression" dxfId="105" priority="12">
      <formula>-IF(SUM(I3:I11)&gt;1,1,0)</formula>
    </cfRule>
  </conditionalFormatting>
  <conditionalFormatting sqref="H2">
    <cfRule type="expression" dxfId="104" priority="11">
      <formula>-IF(SUM(H3:H11)&gt;1,1,0)</formula>
    </cfRule>
  </conditionalFormatting>
  <conditionalFormatting sqref="F21">
    <cfRule type="expression" dxfId="103" priority="10">
      <formula>IF(SUM($F$22:$F$24)&gt;1,1,0)</formula>
    </cfRule>
  </conditionalFormatting>
  <conditionalFormatting sqref="F52">
    <cfRule type="expression" dxfId="102" priority="9">
      <formula>IF(SUM($F$53:$F$58)&gt;1,1,0)</formula>
    </cfRule>
  </conditionalFormatting>
  <conditionalFormatting sqref="H52">
    <cfRule type="expression" dxfId="101" priority="8">
      <formula>IF(SUM($H$53:$H$58)&gt;3,1,0)</formula>
    </cfRule>
  </conditionalFormatting>
  <conditionalFormatting sqref="G52">
    <cfRule type="expression" dxfId="100" priority="7">
      <formula>IF(SUM($G$53:$G$58)&gt;2,1,0)</formula>
    </cfRule>
  </conditionalFormatting>
  <conditionalFormatting sqref="C22:C24 C14:C19 C3:C11">
    <cfRule type="expression" dxfId="99" priority="5">
      <formula>IF($AK3&lt;4.5,1,0)</formula>
    </cfRule>
    <cfRule type="expression" dxfId="98" priority="6">
      <formula>IF($AK3&gt;7,1,0)</formula>
    </cfRule>
  </conditionalFormatting>
  <conditionalFormatting sqref="C15">
    <cfRule type="expression" dxfId="97" priority="3">
      <formula>IF($AK15&lt;4.5,1,0)</formula>
    </cfRule>
    <cfRule type="expression" dxfId="96" priority="4">
      <formula>IF($AK15&gt;7,1,0)</formula>
    </cfRule>
  </conditionalFormatting>
  <conditionalFormatting sqref="F2">
    <cfRule type="expression" dxfId="95" priority="2">
      <formula>IF(SUM(F3:F11)&gt;1,1,0)</formula>
    </cfRule>
  </conditionalFormatting>
  <conditionalFormatting sqref="G2">
    <cfRule type="expression" dxfId="94" priority="1">
      <formula>IF(SUM(G3:G11)&gt;1,1,0)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theme="2" tint="-0.499984740745262"/>
  </sheetPr>
  <dimension ref="A1:AZ74"/>
  <sheetViews>
    <sheetView zoomScale="85" zoomScaleNormal="85" workbookViewId="0">
      <pane ySplit="1" topLeftCell="A29" activePane="bottomLeft" state="frozen"/>
      <selection pane="bottomLeft" activeCell="D58" sqref="D58"/>
    </sheetView>
  </sheetViews>
  <sheetFormatPr defaultColWidth="9.140625" defaultRowHeight="15" x14ac:dyDescent="0.25"/>
  <cols>
    <col min="1" max="1" width="3.140625" style="305" bestFit="1" customWidth="1"/>
    <col min="2" max="2" width="10.7109375" style="1" bestFit="1" customWidth="1"/>
    <col min="3" max="3" width="20" style="19" bestFit="1" customWidth="1"/>
    <col min="4" max="4" width="4.7109375" style="19" bestFit="1" customWidth="1"/>
    <col min="5" max="5" width="4.42578125" style="19" customWidth="1"/>
    <col min="6" max="6" width="4.42578125" style="305" bestFit="1" customWidth="1"/>
    <col min="7" max="7" width="3.7109375" style="305" bestFit="1" customWidth="1"/>
    <col min="8" max="8" width="4.7109375" style="305" bestFit="1" customWidth="1"/>
    <col min="9" max="9" width="4.28515625" style="305" customWidth="1"/>
    <col min="10" max="12" width="3.7109375" style="305" customWidth="1"/>
    <col min="13" max="16" width="3.7109375" style="305" bestFit="1" customWidth="1"/>
    <col min="17" max="17" width="4.28515625" style="305" bestFit="1" customWidth="1"/>
    <col min="18" max="18" width="4.7109375" style="305" bestFit="1" customWidth="1"/>
    <col min="19" max="21" width="3.7109375" style="305" bestFit="1" customWidth="1"/>
    <col min="22" max="22" width="4.28515625" style="305" bestFit="1" customWidth="1"/>
    <col min="23" max="23" width="4.7109375" style="305" bestFit="1" customWidth="1"/>
    <col min="24" max="24" width="4.28515625" style="305" customWidth="1"/>
    <col min="25" max="25" width="4.28515625" style="305" bestFit="1" customWidth="1"/>
    <col min="26" max="26" width="10.42578125" style="305" bestFit="1" customWidth="1"/>
    <col min="27" max="27" width="4.28515625" style="305" bestFit="1" customWidth="1"/>
    <col min="28" max="29" width="4.7109375" style="305" bestFit="1" customWidth="1"/>
    <col min="30" max="32" width="3.7109375" style="305" bestFit="1" customWidth="1"/>
    <col min="33" max="33" width="4.7109375" style="305" bestFit="1" customWidth="1"/>
    <col min="34" max="36" width="3.7109375" style="305" bestFit="1" customWidth="1"/>
    <col min="37" max="37" width="4.5703125" style="305" bestFit="1" customWidth="1"/>
    <col min="38" max="51" width="3.7109375" style="305" bestFit="1" customWidth="1"/>
    <col min="52" max="52" width="4.5703125" style="305" bestFit="1" customWidth="1"/>
    <col min="53" max="16384" width="9.140625" style="305"/>
  </cols>
  <sheetData>
    <row r="1" spans="1:52" x14ac:dyDescent="0.25">
      <c r="D1" s="19">
        <v>12</v>
      </c>
      <c r="E1" s="19">
        <v>13</v>
      </c>
      <c r="J1" s="305">
        <v>31</v>
      </c>
      <c r="K1" s="305">
        <v>29</v>
      </c>
      <c r="L1" s="305">
        <v>30</v>
      </c>
      <c r="M1" s="305">
        <v>32</v>
      </c>
      <c r="N1" s="305">
        <v>33</v>
      </c>
      <c r="O1" s="305">
        <v>34</v>
      </c>
      <c r="P1" s="305">
        <v>35</v>
      </c>
      <c r="Q1" s="305">
        <v>36</v>
      </c>
      <c r="R1" s="305">
        <v>37</v>
      </c>
      <c r="S1" s="305">
        <v>38</v>
      </c>
      <c r="T1" s="305">
        <v>39</v>
      </c>
      <c r="AD1" s="305">
        <v>19</v>
      </c>
      <c r="AE1" s="305">
        <v>20</v>
      </c>
      <c r="AF1" s="305">
        <v>21</v>
      </c>
      <c r="AG1" s="305">
        <v>22</v>
      </c>
      <c r="AH1" s="305">
        <v>23</v>
      </c>
      <c r="AI1" s="305">
        <v>40</v>
      </c>
      <c r="AJ1" s="305">
        <v>41</v>
      </c>
      <c r="AU1" s="305">
        <v>24</v>
      </c>
      <c r="AV1" s="305">
        <v>25</v>
      </c>
      <c r="AW1" s="305">
        <v>26</v>
      </c>
      <c r="AX1" s="305">
        <v>27</v>
      </c>
      <c r="AY1" s="305">
        <v>28</v>
      </c>
    </row>
    <row r="2" spans="1:52" s="17" customFormat="1" ht="215.25" x14ac:dyDescent="0.25">
      <c r="A2" s="18" t="s">
        <v>170</v>
      </c>
      <c r="B2" s="326" t="s">
        <v>102</v>
      </c>
      <c r="C2" s="37" t="str">
        <f>"Player ("&amp;COUNTA(C3:C11)&amp;")"</f>
        <v>Player (6)</v>
      </c>
      <c r="D2" s="37" t="s">
        <v>70</v>
      </c>
      <c r="E2" s="37" t="s">
        <v>80</v>
      </c>
      <c r="F2" s="44" t="e">
        <f>"Only 1 guy who plays only 1B ("&amp;SUM(F3:F11)&amp;")"</f>
        <v>#N/A</v>
      </c>
      <c r="G2" s="38" t="e">
        <f>"Only 1 guy who can only play 1B or LF ("&amp;SUM(G3:G11)&amp;")"</f>
        <v>#N/A</v>
      </c>
      <c r="H2" s="39" t="e">
        <f>"2 guys with RF arms ("&amp;SUM(H3:H11)&amp;")"</f>
        <v>#N/A</v>
      </c>
      <c r="I2" s="39" t="str">
        <f>"2 guys with CF range ("&amp;SUM(I3:I11)&amp;")"</f>
        <v>2 guys with CF range (0)</v>
      </c>
      <c r="J2" s="48" t="s">
        <v>114</v>
      </c>
      <c r="K2" s="40" t="s">
        <v>112</v>
      </c>
      <c r="L2" s="49" t="s">
        <v>113</v>
      </c>
      <c r="M2" s="41" t="s">
        <v>71</v>
      </c>
      <c r="N2" s="41" t="s">
        <v>73</v>
      </c>
      <c r="O2" s="41" t="s">
        <v>74</v>
      </c>
      <c r="P2" s="41" t="s">
        <v>75</v>
      </c>
      <c r="Q2" s="41" t="s">
        <v>76</v>
      </c>
      <c r="R2" s="41" t="s">
        <v>77</v>
      </c>
      <c r="S2" s="41" t="s">
        <v>78</v>
      </c>
      <c r="T2" s="42" t="s">
        <v>79</v>
      </c>
      <c r="U2" s="44" t="s">
        <v>115</v>
      </c>
      <c r="V2" s="38" t="s">
        <v>158</v>
      </c>
      <c r="W2" s="38" t="s">
        <v>116</v>
      </c>
      <c r="X2" s="38" t="s">
        <v>132</v>
      </c>
      <c r="Y2" s="38" t="s">
        <v>131</v>
      </c>
      <c r="Z2" s="38" t="s">
        <v>119</v>
      </c>
      <c r="AA2" s="38" t="s">
        <v>120</v>
      </c>
      <c r="AB2" s="38" t="s">
        <v>136</v>
      </c>
      <c r="AC2" s="53" t="s">
        <v>121</v>
      </c>
      <c r="AD2" s="41" t="s">
        <v>125</v>
      </c>
      <c r="AE2" s="41" t="s">
        <v>126</v>
      </c>
      <c r="AF2" s="41" t="s">
        <v>127</v>
      </c>
      <c r="AG2" s="41" t="s">
        <v>128</v>
      </c>
      <c r="AH2" s="41" t="s">
        <v>21</v>
      </c>
      <c r="AI2" s="56" t="s">
        <v>129</v>
      </c>
      <c r="AJ2" s="42" t="s">
        <v>130</v>
      </c>
      <c r="AK2" s="59" t="s">
        <v>134</v>
      </c>
      <c r="AL2" s="44" t="s">
        <v>115</v>
      </c>
      <c r="AM2" s="38" t="s">
        <v>158</v>
      </c>
      <c r="AN2" s="38" t="s">
        <v>116</v>
      </c>
      <c r="AO2" s="38" t="s">
        <v>132</v>
      </c>
      <c r="AP2" s="38" t="s">
        <v>131</v>
      </c>
      <c r="AQ2" s="38" t="s">
        <v>119</v>
      </c>
      <c r="AR2" s="38" t="s">
        <v>120</v>
      </c>
      <c r="AS2" s="38" t="s">
        <v>136</v>
      </c>
      <c r="AT2" s="53" t="s">
        <v>121</v>
      </c>
      <c r="AU2" s="56" t="s">
        <v>125</v>
      </c>
      <c r="AV2" s="41" t="s">
        <v>126</v>
      </c>
      <c r="AW2" s="41" t="s">
        <v>127</v>
      </c>
      <c r="AX2" s="41" t="s">
        <v>128</v>
      </c>
      <c r="AY2" s="42" t="s">
        <v>21</v>
      </c>
      <c r="AZ2" s="59" t="s">
        <v>174</v>
      </c>
    </row>
    <row r="3" spans="1:52" x14ac:dyDescent="0.25">
      <c r="A3" s="305">
        <v>1</v>
      </c>
      <c r="B3" s="25" t="s">
        <v>73</v>
      </c>
      <c r="C3" s="30"/>
      <c r="D3" s="26" t="str">
        <f>IF($C3="","",VLOOKUP($C3,AMABat!$A$10:$BV$140,D$1,FALSE))</f>
        <v/>
      </c>
      <c r="E3" s="26" t="str">
        <f>IF($C3="","",VLOOKUP($C3,AMABat!$A$10:$BV$140,E$1,FALSE))</f>
        <v/>
      </c>
      <c r="F3" s="45" t="str">
        <f t="shared" ref="F3:F11" si="0">IF($C3="","",IF(AND(O3&gt;0,O3=SUM(M3:T3)),1,0))</f>
        <v/>
      </c>
      <c r="G3" s="27" t="str">
        <f t="shared" ref="G3:G11" si="1">IF($C3="","",IF(Q3&lt;&gt;"-",1,0))</f>
        <v/>
      </c>
      <c r="H3" s="27" t="str">
        <f t="shared" ref="H3:H11" si="2">IF($C3="","",IF(AND(K3&gt;5,P3&lt;&gt;"-"),1,0))</f>
        <v/>
      </c>
      <c r="I3" s="27" t="str">
        <f t="shared" ref="I3:I11" si="3">IF($C3="","","-")</f>
        <v/>
      </c>
      <c r="J3" s="50" t="str">
        <f>IF($C3="","",VLOOKUP($C3,AMABat!$A$10:$BV$140,J$1,FALSE))</f>
        <v/>
      </c>
      <c r="K3" s="26" t="str">
        <f>IF($C3="","",VLOOKUP($C3,AMABat!$A$10:$BV$140,K$1,FALSE))</f>
        <v/>
      </c>
      <c r="L3" s="28" t="str">
        <f>IF($C3="","",VLOOKUP($C3,AMABat!$A$10:$BV$140,L$1,FALSE))</f>
        <v/>
      </c>
      <c r="M3" s="26" t="str">
        <f>IF($C3="","",VLOOKUP($C3,AMABat!$A$10:$BV$140,M$1,FALSE))</f>
        <v/>
      </c>
      <c r="N3" s="26" t="str">
        <f>IF($C3="","",VLOOKUP($C3,AMABat!$A$10:$BV$140,N$1,FALSE))</f>
        <v/>
      </c>
      <c r="O3" s="26" t="str">
        <f>IF($C3="","",VLOOKUP($C3,AMABat!$A$10:$BV$140,O$1,FALSE))</f>
        <v/>
      </c>
      <c r="P3" s="26" t="str">
        <f>IF($C3="","",VLOOKUP($C3,AMABat!$A$10:$BV$140,P$1,FALSE))</f>
        <v/>
      </c>
      <c r="Q3" s="26" t="str">
        <f>IF($C3="","",VLOOKUP($C3,AMABat!$A$10:$BV$140,Q$1,FALSE))</f>
        <v/>
      </c>
      <c r="R3" s="26" t="str">
        <f>IF($C3="","",VLOOKUP($C3,AMABat!$A$10:$BV$140,R$1,FALSE))</f>
        <v/>
      </c>
      <c r="S3" s="26" t="str">
        <f>IF($C3="","",VLOOKUP($C3,AMABat!$A$10:$BV$140,S$1,FALSE))</f>
        <v/>
      </c>
      <c r="T3" s="28" t="str">
        <f>IF($C3="","",VLOOKUP($C3,AMABat!$A$10:$BV$140,T$1,FALSE))</f>
        <v/>
      </c>
      <c r="U3" s="321" t="str">
        <f t="shared" ref="U3:U11" si="4">IF($C3="","",IF(OR(AD3+AG3&gt;14,AND(OR(AD3+AG3&gt;12,AND(AD3&gt;6,AG3&gt;6)),AI3&gt;6,OR(AJ3&gt;=AI3,AJ3&gt;6))),1,0))</f>
        <v/>
      </c>
      <c r="V3" s="322" t="str">
        <f t="shared" ref="V3:V11" si="5">IF($C3="","",IF(OR(AND(AD3&gt;6,AH3&gt;6),AD3+AG3&gt;12),1,0))</f>
        <v/>
      </c>
      <c r="W3" s="27" t="str">
        <f t="shared" ref="W3:W11" si="6">IF($C3="","",IF(AND(AD3&gt;6,AF3&gt;6,AG3&gt;6),1,0))</f>
        <v/>
      </c>
      <c r="X3" s="27" t="str">
        <f t="shared" ref="X3:X11" si="7">IF($C3="","",IF(AND(AF3&gt;7,OR(AD3&gt;6,AG3&gt;6)),1,0))</f>
        <v/>
      </c>
      <c r="Y3" s="27" t="str">
        <f t="shared" ref="Y3:Y11" si="8">IF($C3="","",IF(AND(AF3&gt;6,OR(AD3&gt;6,AG3&gt;6)),1,0))</f>
        <v/>
      </c>
      <c r="Z3" s="27" t="str">
        <f t="shared" ref="Z3:Z11" si="9">IF($C3="","",IF(AND(OR(AD3&gt;6,AF3&gt;6),OR(AD3&gt;6,AG3&gt;6)),1,0))</f>
        <v/>
      </c>
      <c r="AA3" s="27" t="str">
        <f t="shared" ref="AA3:AA11" si="10">IF($C3="","",IF(AND(AD3&gt;4,OR(AD3&gt;6,AF3&gt;6,AG3&gt;6)),1,0))</f>
        <v/>
      </c>
      <c r="AB3" s="27" t="str">
        <f t="shared" ref="AB3:AB11" si="11">IF($C3="","",IF(AND(AD3&gt;4,OR(AD3&gt;6,AE3&gt;6,AF3&gt;6,AG3&gt;6)),1,0))</f>
        <v/>
      </c>
      <c r="AC3" s="54" t="str">
        <f t="shared" ref="AC3:AC11" si="12">IF($C3="","",IF(AND(AD3&gt;4,MAX(AD3:AH3)&gt;6),1,0))</f>
        <v/>
      </c>
      <c r="AD3" s="26" t="str">
        <f>IF($C3="","",VLOOKUP($C3,AMABat!$A$10:$BV$140,AD$1,FALSE))</f>
        <v/>
      </c>
      <c r="AE3" s="26" t="str">
        <f>IF($C3="","",VLOOKUP($C3,AMABat!$A$10:$BV$140,AE$1,FALSE))</f>
        <v/>
      </c>
      <c r="AF3" s="26" t="str">
        <f>IF($C3="","",VLOOKUP($C3,AMABat!$A$10:$BV$140,AF$1,FALSE))</f>
        <v/>
      </c>
      <c r="AG3" s="26" t="str">
        <f>IF($C3="","",VLOOKUP($C3,AMABat!$A$10:$BV$140,AG$1,FALSE))</f>
        <v/>
      </c>
      <c r="AH3" s="26" t="str">
        <f>IF($C3="","",VLOOKUP($C3,AMABat!$A$10:$BV$140,AH$1,FALSE))</f>
        <v/>
      </c>
      <c r="AI3" s="50" t="str">
        <f>IF($C3="","",VLOOKUP($C3,AMABat!$A$10:$BV$140,AI$1,FALSE))</f>
        <v/>
      </c>
      <c r="AJ3" s="28" t="str">
        <f>IF($C3="","",VLOOKUP($C3,AMABat!$A$10:$BV$140,AJ$1,FALSE))</f>
        <v/>
      </c>
      <c r="AK3" s="60" t="str">
        <f t="shared" ref="AK3:AK11" si="13">IF($C3="","",(5*AD3+4*AF3+3*AG3+2*AE3+1*AH3+0.5*(AVERAGE(AD3:AE3))+0.5*AVERAGE(AD3,AH3)+1*(AVERAGE(AD3,AF3))+1*AVERAGE(AD3,AG3))/(5+4+3+2+1+0.5+0.5+1+1))</f>
        <v/>
      </c>
      <c r="AL3" s="45" t="str">
        <f t="shared" ref="AL3:AL11" si="14">IF($C3="","",IF(AND(OR(AU3+AX3&gt;12,AND(AU3&gt;6,AX3&gt;6)),AI3&gt;6,OR(AJ3&gt;=AI3,AJ3&gt;6)),1,0))</f>
        <v/>
      </c>
      <c r="AM3" s="27" t="str">
        <f t="shared" ref="AM3:AM11" si="15">IF($C3="","",IF(OR(AND(AU3&gt;6,AY3&gt;6),AU3+AX3&gt;12),1,0))</f>
        <v/>
      </c>
      <c r="AN3" s="27" t="str">
        <f t="shared" ref="AN3:AN11" si="16">IF($C3="","",IF(AND(AU3&gt;6,AW3&gt;6,AX3&gt;6),1,0))</f>
        <v/>
      </c>
      <c r="AO3" s="27" t="str">
        <f t="shared" ref="AO3:AO11" si="17">IF($C3="","",IF(AND(AW3&gt;7,OR(AU3&gt;6,AX3&gt;6)),1,0))</f>
        <v/>
      </c>
      <c r="AP3" s="27" t="str">
        <f t="shared" ref="AP3:AP11" si="18">IF($C3="","",IF(AND(AW3&gt;6,OR(AU3&gt;6,AX3&gt;6)),1,0))</f>
        <v/>
      </c>
      <c r="AQ3" s="27" t="str">
        <f t="shared" ref="AQ3:AQ11" si="19">IF($C3="","",IF(AND(OR(AU3&gt;6,AW3&gt;6),OR(AU3&gt;6,AX3&gt;6)),1,0))</f>
        <v/>
      </c>
      <c r="AR3" s="27" t="str">
        <f t="shared" ref="AR3:AR11" si="20">IF($C3="","",IF(AND(AU3&gt;4,OR(AU3&gt;6,AW3&gt;6,AX3&gt;6)),1,0))</f>
        <v/>
      </c>
      <c r="AS3" s="27" t="str">
        <f t="shared" ref="AS3:AS11" si="21">IF($C3="","",IF(AND(AU3&gt;4,OR(AU3&gt;6,AV3&gt;6,AW3&gt;6,AX3&gt;6)),1,0))</f>
        <v/>
      </c>
      <c r="AT3" s="54" t="str">
        <f t="shared" ref="AT3:AT11" si="22">IF($C3="","",IF(AND(AU3&gt;4,MAX(AU3:AY3)&gt;6),1,0))</f>
        <v/>
      </c>
      <c r="AU3" s="50" t="str">
        <f>IF($C3="","",VLOOKUP($C3,AMABat!$A$10:$BV$140,AU$1,FALSE))</f>
        <v/>
      </c>
      <c r="AV3" s="26" t="str">
        <f>IF($C3="","",VLOOKUP($C3,AMABat!$A$10:$BV$140,AV$1,FALSE))</f>
        <v/>
      </c>
      <c r="AW3" s="26" t="str">
        <f>IF($C3="","",VLOOKUP($C3,AMABat!$A$10:$BV$140,AW$1,FALSE))</f>
        <v/>
      </c>
      <c r="AX3" s="26" t="str">
        <f>IF($C3="","",VLOOKUP($C3,AMABat!$A$10:$BV$140,AX$1,FALSE))</f>
        <v/>
      </c>
      <c r="AY3" s="28" t="str">
        <f>IF($C3="","",VLOOKUP($C3,AMABat!$A$10:$BV$140,AY$1,FALSE))</f>
        <v/>
      </c>
      <c r="AZ3" s="60" t="str">
        <f t="shared" ref="AZ3:AZ11" si="23">IF($C3="","",(5*AU3+4*AW3+3*AX3+2*AV3+1*AY3+0.5*(AVERAGE(AU3:AV3))+0.5*AVERAGE(AU3,AY3)+1*(AVERAGE(AU3,AW3))+1*AVERAGE(AU3,AX3))/(5+4+3+2+1+0.5+0.5+1+1))</f>
        <v/>
      </c>
    </row>
    <row r="4" spans="1:52" x14ac:dyDescent="0.25">
      <c r="A4" s="305">
        <v>2</v>
      </c>
      <c r="B4" s="29" t="s">
        <v>77</v>
      </c>
      <c r="C4" s="30"/>
      <c r="D4" s="30" t="str">
        <f>IF($C4="","",VLOOKUP($C4,AMABat!$A$10:$BV$140,D$1,FALSE))</f>
        <v/>
      </c>
      <c r="E4" s="30" t="str">
        <f>IF($C4="","",VLOOKUP($C4,AMABat!$A$10:$BV$140,E$1,FALSE))</f>
        <v/>
      </c>
      <c r="F4" s="321" t="str">
        <f t="shared" si="0"/>
        <v/>
      </c>
      <c r="G4" s="322" t="str">
        <f t="shared" si="1"/>
        <v/>
      </c>
      <c r="H4" s="322" t="str">
        <f t="shared" si="2"/>
        <v/>
      </c>
      <c r="I4" s="322" t="str">
        <f t="shared" si="3"/>
        <v/>
      </c>
      <c r="J4" s="51" t="str">
        <f>IF($C4="","",VLOOKUP($C4,AMABat!$A$10:$BV$140,J$1,FALSE))</f>
        <v/>
      </c>
      <c r="K4" s="30" t="str">
        <f>IF($C4="","",VLOOKUP($C4,AMABat!$A$10:$BV$140,K$1,FALSE))</f>
        <v/>
      </c>
      <c r="L4" s="31" t="str">
        <f>IF($C4="","",VLOOKUP($C4,AMABat!$A$10:$BV$140,L$1,FALSE))</f>
        <v/>
      </c>
      <c r="M4" s="30" t="str">
        <f>IF($C4="","",VLOOKUP($C4,AMABat!$A$10:$BV$140,M$1,FALSE))</f>
        <v/>
      </c>
      <c r="N4" s="30" t="str">
        <f>IF($C4="","",VLOOKUP($C4,AMABat!$A$10:$BV$140,N$1,FALSE))</f>
        <v/>
      </c>
      <c r="O4" s="30" t="str">
        <f>IF($C4="","",VLOOKUP($C4,AMABat!$A$10:$BV$140,O$1,FALSE))</f>
        <v/>
      </c>
      <c r="P4" s="30" t="str">
        <f>IF($C4="","",VLOOKUP($C4,AMABat!$A$10:$BV$140,P$1,FALSE))</f>
        <v/>
      </c>
      <c r="Q4" s="30" t="str">
        <f>IF($C4="","",VLOOKUP($C4,AMABat!$A$10:$BV$140,Q$1,FALSE))</f>
        <v/>
      </c>
      <c r="R4" s="30" t="str">
        <f>IF($C4="","",VLOOKUP($C4,AMABat!$A$10:$BV$140,R$1,FALSE))</f>
        <v/>
      </c>
      <c r="S4" s="30" t="str">
        <f>IF($C4="","",VLOOKUP($C4,AMABat!$A$10:$BV$140,S$1,FALSE))</f>
        <v/>
      </c>
      <c r="T4" s="31" t="str">
        <f>IF($C4="","",VLOOKUP($C4,AMABat!$A$10:$BV$140,T$1,FALSE))</f>
        <v/>
      </c>
      <c r="U4" s="321" t="str">
        <f t="shared" si="4"/>
        <v/>
      </c>
      <c r="V4" s="322" t="str">
        <f t="shared" si="5"/>
        <v/>
      </c>
      <c r="W4" s="322" t="str">
        <f t="shared" si="6"/>
        <v/>
      </c>
      <c r="X4" s="322" t="str">
        <f t="shared" si="7"/>
        <v/>
      </c>
      <c r="Y4" s="322" t="str">
        <f t="shared" si="8"/>
        <v/>
      </c>
      <c r="Z4" s="322" t="str">
        <f t="shared" si="9"/>
        <v/>
      </c>
      <c r="AA4" s="322" t="str">
        <f t="shared" si="10"/>
        <v/>
      </c>
      <c r="AB4" s="322" t="str">
        <f t="shared" si="11"/>
        <v/>
      </c>
      <c r="AC4" s="323" t="str">
        <f t="shared" si="12"/>
        <v/>
      </c>
      <c r="AD4" s="30" t="str">
        <f>IF($C4="","",VLOOKUP($C4,AMABat!$A$10:$BV$140,AD$1,FALSE))</f>
        <v/>
      </c>
      <c r="AE4" s="30" t="str">
        <f>IF($C4="","",VLOOKUP($C4,AMABat!$A$10:$BV$140,AE$1,FALSE))</f>
        <v/>
      </c>
      <c r="AF4" s="30" t="str">
        <f>IF($C4="","",VLOOKUP($C4,AMABat!$A$10:$BV$140,AF$1,FALSE))</f>
        <v/>
      </c>
      <c r="AG4" s="30" t="str">
        <f>IF($C4="","",VLOOKUP($C4,AMABat!$A$10:$BV$140,AG$1,FALSE))</f>
        <v/>
      </c>
      <c r="AH4" s="30" t="str">
        <f>IF($C4="","",VLOOKUP($C4,AMABat!$A$10:$BV$140,AH$1,FALSE))</f>
        <v/>
      </c>
      <c r="AI4" s="51" t="str">
        <f>IF($C4="","",VLOOKUP($C4,AMABat!$A$10:$BV$140,AI$1,FALSE))</f>
        <v/>
      </c>
      <c r="AJ4" s="31" t="str">
        <f>IF($C4="","",VLOOKUP($C4,AMABat!$A$10:$BV$140,AJ$1,FALSE))</f>
        <v/>
      </c>
      <c r="AK4" s="60" t="str">
        <f t="shared" si="13"/>
        <v/>
      </c>
      <c r="AL4" s="321" t="str">
        <f t="shared" si="14"/>
        <v/>
      </c>
      <c r="AM4" s="322" t="str">
        <f t="shared" si="15"/>
        <v/>
      </c>
      <c r="AN4" s="322" t="str">
        <f t="shared" si="16"/>
        <v/>
      </c>
      <c r="AO4" s="322" t="str">
        <f t="shared" si="17"/>
        <v/>
      </c>
      <c r="AP4" s="322" t="str">
        <f t="shared" si="18"/>
        <v/>
      </c>
      <c r="AQ4" s="322" t="str">
        <f t="shared" si="19"/>
        <v/>
      </c>
      <c r="AR4" s="322" t="str">
        <f t="shared" si="20"/>
        <v/>
      </c>
      <c r="AS4" s="322" t="str">
        <f t="shared" si="21"/>
        <v/>
      </c>
      <c r="AT4" s="323" t="str">
        <f t="shared" si="22"/>
        <v/>
      </c>
      <c r="AU4" s="51" t="str">
        <f>IF($C4="","",VLOOKUP($C4,AMABat!$A$10:$BV$140,AU$1,FALSE))</f>
        <v/>
      </c>
      <c r="AV4" s="30" t="str">
        <f>IF($C4="","",VLOOKUP($C4,AMABat!$A$10:$BV$140,AV$1,FALSE))</f>
        <v/>
      </c>
      <c r="AW4" s="30" t="str">
        <f>IF($C4="","",VLOOKUP($C4,AMABat!$A$10:$BV$140,AW$1,FALSE))</f>
        <v/>
      </c>
      <c r="AX4" s="30" t="str">
        <f>IF($C4="","",VLOOKUP($C4,AMABat!$A$10:$BV$140,AX$1,FALSE))</f>
        <v/>
      </c>
      <c r="AY4" s="31" t="str">
        <f>IF($C4="","",VLOOKUP($C4,AMABat!$A$10:$BV$140,AY$1,FALSE))</f>
        <v/>
      </c>
      <c r="AZ4" s="60" t="str">
        <f t="shared" si="23"/>
        <v/>
      </c>
    </row>
    <row r="5" spans="1:52" x14ac:dyDescent="0.25">
      <c r="A5" s="305">
        <v>3</v>
      </c>
      <c r="B5" s="29" t="s">
        <v>78</v>
      </c>
      <c r="C5" s="58" t="s">
        <v>448</v>
      </c>
      <c r="D5" s="30" t="e">
        <f>IF($C5="","",VLOOKUP($C5,AMABat!$A$10:$BV$140,D$1,FALSE))</f>
        <v>#N/A</v>
      </c>
      <c r="E5" s="30" t="e">
        <f>IF($C5="","",VLOOKUP($C5,AMABat!$A$10:$BV$140,E$1,FALSE))</f>
        <v>#N/A</v>
      </c>
      <c r="F5" s="321" t="e">
        <f t="shared" si="0"/>
        <v>#N/A</v>
      </c>
      <c r="G5" s="322" t="e">
        <f t="shared" si="1"/>
        <v>#N/A</v>
      </c>
      <c r="H5" s="322" t="e">
        <f t="shared" si="2"/>
        <v>#N/A</v>
      </c>
      <c r="I5" s="322" t="str">
        <f t="shared" si="3"/>
        <v>-</v>
      </c>
      <c r="J5" s="51" t="e">
        <f>IF($C5="","",VLOOKUP($C5,AMABat!$A$10:$BV$140,J$1,FALSE))</f>
        <v>#N/A</v>
      </c>
      <c r="K5" s="30" t="e">
        <f>IF($C5="","",VLOOKUP($C5,AMABat!$A$10:$BV$140,K$1,FALSE))</f>
        <v>#N/A</v>
      </c>
      <c r="L5" s="31" t="e">
        <f>IF($C5="","",VLOOKUP($C5,AMABat!$A$10:$BV$140,L$1,FALSE))</f>
        <v>#N/A</v>
      </c>
      <c r="M5" s="30" t="e">
        <f>IF($C5="","",VLOOKUP($C5,AMABat!$A$10:$BV$140,M$1,FALSE))</f>
        <v>#N/A</v>
      </c>
      <c r="N5" s="30" t="e">
        <f>IF($C5="","",VLOOKUP($C5,AMABat!$A$10:$BV$140,N$1,FALSE))</f>
        <v>#N/A</v>
      </c>
      <c r="O5" s="30" t="e">
        <f>IF($C5="","",VLOOKUP($C5,AMABat!$A$10:$BV$140,O$1,FALSE))</f>
        <v>#N/A</v>
      </c>
      <c r="P5" s="30" t="e">
        <f>IF($C5="","",VLOOKUP($C5,AMABat!$A$10:$BV$140,P$1,FALSE))</f>
        <v>#N/A</v>
      </c>
      <c r="Q5" s="30" t="e">
        <f>IF($C5="","",VLOOKUP($C5,AMABat!$A$10:$BV$140,Q$1,FALSE))</f>
        <v>#N/A</v>
      </c>
      <c r="R5" s="30" t="e">
        <f>IF($C5="","",VLOOKUP($C5,AMABat!$A$10:$BV$140,R$1,FALSE))</f>
        <v>#N/A</v>
      </c>
      <c r="S5" s="30" t="e">
        <f>IF($C5="","",VLOOKUP($C5,AMABat!$A$10:$BV$140,S$1,FALSE))</f>
        <v>#N/A</v>
      </c>
      <c r="T5" s="31" t="e">
        <f>IF($C5="","",VLOOKUP($C5,AMABat!$A$10:$BV$140,T$1,FALSE))</f>
        <v>#N/A</v>
      </c>
      <c r="U5" s="321" t="e">
        <f t="shared" si="4"/>
        <v>#N/A</v>
      </c>
      <c r="V5" s="322" t="e">
        <f t="shared" si="5"/>
        <v>#N/A</v>
      </c>
      <c r="W5" s="322" t="e">
        <f t="shared" si="6"/>
        <v>#N/A</v>
      </c>
      <c r="X5" s="322" t="e">
        <f t="shared" si="7"/>
        <v>#N/A</v>
      </c>
      <c r="Y5" s="322" t="e">
        <f t="shared" si="8"/>
        <v>#N/A</v>
      </c>
      <c r="Z5" s="322" t="e">
        <f t="shared" si="9"/>
        <v>#N/A</v>
      </c>
      <c r="AA5" s="322" t="e">
        <f t="shared" si="10"/>
        <v>#N/A</v>
      </c>
      <c r="AB5" s="322" t="e">
        <f t="shared" si="11"/>
        <v>#N/A</v>
      </c>
      <c r="AC5" s="323" t="e">
        <f t="shared" si="12"/>
        <v>#N/A</v>
      </c>
      <c r="AD5" s="30" t="e">
        <f>IF($C5="","",VLOOKUP($C5,AMABat!$A$10:$BV$140,AD$1,FALSE))</f>
        <v>#N/A</v>
      </c>
      <c r="AE5" s="30" t="e">
        <f>IF($C5="","",VLOOKUP($C5,AMABat!$A$10:$BV$140,AE$1,FALSE))</f>
        <v>#N/A</v>
      </c>
      <c r="AF5" s="30" t="e">
        <f>IF($C5="","",VLOOKUP($C5,AMABat!$A$10:$BV$140,AF$1,FALSE))</f>
        <v>#N/A</v>
      </c>
      <c r="AG5" s="30" t="e">
        <f>IF($C5="","",VLOOKUP($C5,AMABat!$A$10:$BV$140,AG$1,FALSE))</f>
        <v>#N/A</v>
      </c>
      <c r="AH5" s="30" t="e">
        <f>IF($C5="","",VLOOKUP($C5,AMABat!$A$10:$BV$140,AH$1,FALSE))</f>
        <v>#N/A</v>
      </c>
      <c r="AI5" s="51" t="e">
        <f>IF($C5="","",VLOOKUP($C5,AMABat!$A$10:$BV$140,AI$1,FALSE))</f>
        <v>#N/A</v>
      </c>
      <c r="AJ5" s="31" t="e">
        <f>IF($C5="","",VLOOKUP($C5,AMABat!$A$10:$BV$140,AJ$1,FALSE))</f>
        <v>#N/A</v>
      </c>
      <c r="AK5" s="60" t="e">
        <f t="shared" si="13"/>
        <v>#N/A</v>
      </c>
      <c r="AL5" s="321" t="e">
        <f t="shared" si="14"/>
        <v>#N/A</v>
      </c>
      <c r="AM5" s="322" t="e">
        <f t="shared" si="15"/>
        <v>#N/A</v>
      </c>
      <c r="AN5" s="322" t="e">
        <f t="shared" si="16"/>
        <v>#N/A</v>
      </c>
      <c r="AO5" s="322" t="e">
        <f t="shared" si="17"/>
        <v>#N/A</v>
      </c>
      <c r="AP5" s="322" t="e">
        <f t="shared" si="18"/>
        <v>#N/A</v>
      </c>
      <c r="AQ5" s="322" t="e">
        <f t="shared" si="19"/>
        <v>#N/A</v>
      </c>
      <c r="AR5" s="322" t="e">
        <f t="shared" si="20"/>
        <v>#N/A</v>
      </c>
      <c r="AS5" s="322" t="e">
        <f t="shared" si="21"/>
        <v>#N/A</v>
      </c>
      <c r="AT5" s="323" t="e">
        <f t="shared" si="22"/>
        <v>#N/A</v>
      </c>
      <c r="AU5" s="51" t="e">
        <f>IF($C5="","",VLOOKUP($C5,AMABat!$A$10:$BV$140,AU$1,FALSE))</f>
        <v>#N/A</v>
      </c>
      <c r="AV5" s="30" t="e">
        <f>IF($C5="","",VLOOKUP($C5,AMABat!$A$10:$BV$140,AV$1,FALSE))</f>
        <v>#N/A</v>
      </c>
      <c r="AW5" s="30" t="e">
        <f>IF($C5="","",VLOOKUP($C5,AMABat!$A$10:$BV$140,AW$1,FALSE))</f>
        <v>#N/A</v>
      </c>
      <c r="AX5" s="30" t="e">
        <f>IF($C5="","",VLOOKUP($C5,AMABat!$A$10:$BV$140,AX$1,FALSE))</f>
        <v>#N/A</v>
      </c>
      <c r="AY5" s="31" t="e">
        <f>IF($C5="","",VLOOKUP($C5,AMABat!$A$10:$BV$140,AY$1,FALSE))</f>
        <v>#N/A</v>
      </c>
      <c r="AZ5" s="60" t="e">
        <f t="shared" si="23"/>
        <v>#N/A</v>
      </c>
    </row>
    <row r="6" spans="1:52" x14ac:dyDescent="0.25">
      <c r="A6" s="305">
        <v>4</v>
      </c>
      <c r="B6" s="29" t="s">
        <v>79</v>
      </c>
      <c r="C6" s="58" t="s">
        <v>451</v>
      </c>
      <c r="D6" s="30" t="e">
        <f>IF($C6="","",VLOOKUP($C6,AMABat!$A$10:$BV$140,D$1,FALSE))</f>
        <v>#N/A</v>
      </c>
      <c r="E6" s="30" t="e">
        <f>IF($C6="","",VLOOKUP($C6,AMABat!$A$10:$BV$140,E$1,FALSE))</f>
        <v>#N/A</v>
      </c>
      <c r="F6" s="321" t="e">
        <f t="shared" si="0"/>
        <v>#N/A</v>
      </c>
      <c r="G6" s="322" t="e">
        <f t="shared" si="1"/>
        <v>#N/A</v>
      </c>
      <c r="H6" s="322" t="e">
        <f t="shared" si="2"/>
        <v>#N/A</v>
      </c>
      <c r="I6" s="322" t="str">
        <f t="shared" si="3"/>
        <v>-</v>
      </c>
      <c r="J6" s="51" t="e">
        <f>IF($C6="","",VLOOKUP($C6,AMABat!$A$10:$BV$140,J$1,FALSE))</f>
        <v>#N/A</v>
      </c>
      <c r="K6" s="30" t="e">
        <f>IF($C6="","",VLOOKUP($C6,AMABat!$A$10:$BV$140,K$1,FALSE))</f>
        <v>#N/A</v>
      </c>
      <c r="L6" s="31" t="e">
        <f>IF($C6="","",VLOOKUP($C6,AMABat!$A$10:$BV$140,L$1,FALSE))</f>
        <v>#N/A</v>
      </c>
      <c r="M6" s="30" t="e">
        <f>IF($C6="","",VLOOKUP($C6,AMABat!$A$10:$BV$140,M$1,FALSE))</f>
        <v>#N/A</v>
      </c>
      <c r="N6" s="30" t="e">
        <f>IF($C6="","",VLOOKUP($C6,AMABat!$A$10:$BV$140,N$1,FALSE))</f>
        <v>#N/A</v>
      </c>
      <c r="O6" s="30" t="e">
        <f>IF($C6="","",VLOOKUP($C6,AMABat!$A$10:$BV$140,O$1,FALSE))</f>
        <v>#N/A</v>
      </c>
      <c r="P6" s="30" t="e">
        <f>IF($C6="","",VLOOKUP($C6,AMABat!$A$10:$BV$140,P$1,FALSE))</f>
        <v>#N/A</v>
      </c>
      <c r="Q6" s="30" t="e">
        <f>IF($C6="","",VLOOKUP($C6,AMABat!$A$10:$BV$140,Q$1,FALSE))</f>
        <v>#N/A</v>
      </c>
      <c r="R6" s="30" t="e">
        <f>IF($C6="","",VLOOKUP($C6,AMABat!$A$10:$BV$140,R$1,FALSE))</f>
        <v>#N/A</v>
      </c>
      <c r="S6" s="30" t="e">
        <f>IF($C6="","",VLOOKUP($C6,AMABat!$A$10:$BV$140,S$1,FALSE))</f>
        <v>#N/A</v>
      </c>
      <c r="T6" s="31" t="e">
        <f>IF($C6="","",VLOOKUP($C6,AMABat!$A$10:$BV$140,T$1,FALSE))</f>
        <v>#N/A</v>
      </c>
      <c r="U6" s="321" t="e">
        <f t="shared" si="4"/>
        <v>#N/A</v>
      </c>
      <c r="V6" s="322" t="e">
        <f t="shared" si="5"/>
        <v>#N/A</v>
      </c>
      <c r="W6" s="322" t="e">
        <f t="shared" si="6"/>
        <v>#N/A</v>
      </c>
      <c r="X6" s="322" t="e">
        <f t="shared" si="7"/>
        <v>#N/A</v>
      </c>
      <c r="Y6" s="322" t="e">
        <f t="shared" si="8"/>
        <v>#N/A</v>
      </c>
      <c r="Z6" s="322" t="e">
        <f t="shared" si="9"/>
        <v>#N/A</v>
      </c>
      <c r="AA6" s="322" t="e">
        <f t="shared" si="10"/>
        <v>#N/A</v>
      </c>
      <c r="AB6" s="322" t="e">
        <f t="shared" si="11"/>
        <v>#N/A</v>
      </c>
      <c r="AC6" s="323" t="e">
        <f t="shared" si="12"/>
        <v>#N/A</v>
      </c>
      <c r="AD6" s="30" t="e">
        <f>IF($C6="","",VLOOKUP($C6,AMABat!$A$10:$BV$140,AD$1,FALSE))</f>
        <v>#N/A</v>
      </c>
      <c r="AE6" s="30" t="e">
        <f>IF($C6="","",VLOOKUP($C6,AMABat!$A$10:$BV$140,AE$1,FALSE))</f>
        <v>#N/A</v>
      </c>
      <c r="AF6" s="30" t="e">
        <f>IF($C6="","",VLOOKUP($C6,AMABat!$A$10:$BV$140,AF$1,FALSE))</f>
        <v>#N/A</v>
      </c>
      <c r="AG6" s="30" t="e">
        <f>IF($C6="","",VLOOKUP($C6,AMABat!$A$10:$BV$140,AG$1,FALSE))</f>
        <v>#N/A</v>
      </c>
      <c r="AH6" s="30" t="e">
        <f>IF($C6="","",VLOOKUP($C6,AMABat!$A$10:$BV$140,AH$1,FALSE))</f>
        <v>#N/A</v>
      </c>
      <c r="AI6" s="51" t="e">
        <f>IF($C6="","",VLOOKUP($C6,AMABat!$A$10:$BV$140,AI$1,FALSE))</f>
        <v>#N/A</v>
      </c>
      <c r="AJ6" s="31" t="e">
        <f>IF($C6="","",VLOOKUP($C6,AMABat!$A$10:$BV$140,AJ$1,FALSE))</f>
        <v>#N/A</v>
      </c>
      <c r="AK6" s="60" t="e">
        <f t="shared" si="13"/>
        <v>#N/A</v>
      </c>
      <c r="AL6" s="321" t="e">
        <f t="shared" si="14"/>
        <v>#N/A</v>
      </c>
      <c r="AM6" s="322" t="e">
        <f t="shared" si="15"/>
        <v>#N/A</v>
      </c>
      <c r="AN6" s="322" t="e">
        <f t="shared" si="16"/>
        <v>#N/A</v>
      </c>
      <c r="AO6" s="322" t="e">
        <f t="shared" si="17"/>
        <v>#N/A</v>
      </c>
      <c r="AP6" s="322" t="e">
        <f t="shared" si="18"/>
        <v>#N/A</v>
      </c>
      <c r="AQ6" s="322" t="e">
        <f t="shared" si="19"/>
        <v>#N/A</v>
      </c>
      <c r="AR6" s="322" t="e">
        <f t="shared" si="20"/>
        <v>#N/A</v>
      </c>
      <c r="AS6" s="322" t="e">
        <f t="shared" si="21"/>
        <v>#N/A</v>
      </c>
      <c r="AT6" s="323" t="e">
        <f t="shared" si="22"/>
        <v>#N/A</v>
      </c>
      <c r="AU6" s="51" t="e">
        <f>IF($C6="","",VLOOKUP($C6,AMABat!$A$10:$BV$140,AU$1,FALSE))</f>
        <v>#N/A</v>
      </c>
      <c r="AV6" s="30" t="e">
        <f>IF($C6="","",VLOOKUP($C6,AMABat!$A$10:$BV$140,AV$1,FALSE))</f>
        <v>#N/A</v>
      </c>
      <c r="AW6" s="30" t="e">
        <f>IF($C6="","",VLOOKUP($C6,AMABat!$A$10:$BV$140,AW$1,FALSE))</f>
        <v>#N/A</v>
      </c>
      <c r="AX6" s="30" t="e">
        <f>IF($C6="","",VLOOKUP($C6,AMABat!$A$10:$BV$140,AX$1,FALSE))</f>
        <v>#N/A</v>
      </c>
      <c r="AY6" s="31" t="e">
        <f>IF($C6="","",VLOOKUP($C6,AMABat!$A$10:$BV$140,AY$1,FALSE))</f>
        <v>#N/A</v>
      </c>
      <c r="AZ6" s="60" t="e">
        <f t="shared" si="23"/>
        <v>#N/A</v>
      </c>
    </row>
    <row r="7" spans="1:52" x14ac:dyDescent="0.25">
      <c r="A7" s="305">
        <v>5</v>
      </c>
      <c r="B7" s="29" t="s">
        <v>10</v>
      </c>
      <c r="C7" s="58"/>
      <c r="D7" s="30" t="str">
        <f>IF($C7="","",VLOOKUP($C7,AMABat!$A$10:$BV$140,D$1,FALSE))</f>
        <v/>
      </c>
      <c r="E7" s="30" t="str">
        <f>IF($C7="","",VLOOKUP($C7,AMABat!$A$10:$BV$140,E$1,FALSE))</f>
        <v/>
      </c>
      <c r="F7" s="321" t="str">
        <f t="shared" si="0"/>
        <v/>
      </c>
      <c r="G7" s="322" t="str">
        <f t="shared" si="1"/>
        <v/>
      </c>
      <c r="H7" s="322" t="str">
        <f t="shared" si="2"/>
        <v/>
      </c>
      <c r="I7" s="322" t="str">
        <f t="shared" si="3"/>
        <v/>
      </c>
      <c r="J7" s="51" t="str">
        <f>IF($C7="","",VLOOKUP($C7,AMABat!$A$10:$BV$140,J$1,FALSE))</f>
        <v/>
      </c>
      <c r="K7" s="30" t="str">
        <f>IF($C7="","",VLOOKUP($C7,AMABat!$A$10:$BV$140,K$1,FALSE))</f>
        <v/>
      </c>
      <c r="L7" s="31" t="str">
        <f>IF($C7="","",VLOOKUP($C7,AMABat!$A$10:$BV$140,L$1,FALSE))</f>
        <v/>
      </c>
      <c r="M7" s="30" t="str">
        <f>IF($C7="","",VLOOKUP($C7,AMABat!$A$10:$BV$140,M$1,FALSE))</f>
        <v/>
      </c>
      <c r="N7" s="30" t="str">
        <f>IF($C7="","",VLOOKUP($C7,AMABat!$A$10:$BV$140,N$1,FALSE))</f>
        <v/>
      </c>
      <c r="O7" s="30" t="str">
        <f>IF($C7="","",VLOOKUP($C7,AMABat!$A$10:$BV$140,O$1,FALSE))</f>
        <v/>
      </c>
      <c r="P7" s="30" t="str">
        <f>IF($C7="","",VLOOKUP($C7,AMABat!$A$10:$BV$140,P$1,FALSE))</f>
        <v/>
      </c>
      <c r="Q7" s="30" t="str">
        <f>IF($C7="","",VLOOKUP($C7,AMABat!$A$10:$BV$140,Q$1,FALSE))</f>
        <v/>
      </c>
      <c r="R7" s="30" t="str">
        <f>IF($C7="","",VLOOKUP($C7,AMABat!$A$10:$BV$140,R$1,FALSE))</f>
        <v/>
      </c>
      <c r="S7" s="30" t="str">
        <f>IF($C7="","",VLOOKUP($C7,AMABat!$A$10:$BV$140,S$1,FALSE))</f>
        <v/>
      </c>
      <c r="T7" s="31" t="str">
        <f>IF($C7="","",VLOOKUP($C7,AMABat!$A$10:$BV$140,T$1,FALSE))</f>
        <v/>
      </c>
      <c r="U7" s="321" t="str">
        <f t="shared" si="4"/>
        <v/>
      </c>
      <c r="V7" s="322" t="str">
        <f t="shared" si="5"/>
        <v/>
      </c>
      <c r="W7" s="322" t="str">
        <f t="shared" si="6"/>
        <v/>
      </c>
      <c r="X7" s="322" t="str">
        <f t="shared" si="7"/>
        <v/>
      </c>
      <c r="Y7" s="322" t="str">
        <f t="shared" si="8"/>
        <v/>
      </c>
      <c r="Z7" s="322" t="str">
        <f t="shared" si="9"/>
        <v/>
      </c>
      <c r="AA7" s="322" t="str">
        <f t="shared" si="10"/>
        <v/>
      </c>
      <c r="AB7" s="322" t="str">
        <f t="shared" si="11"/>
        <v/>
      </c>
      <c r="AC7" s="323" t="str">
        <f t="shared" si="12"/>
        <v/>
      </c>
      <c r="AD7" s="30" t="str">
        <f>IF($C7="","",VLOOKUP($C7,AMABat!$A$10:$BV$140,AD$1,FALSE))</f>
        <v/>
      </c>
      <c r="AE7" s="30" t="str">
        <f>IF($C7="","",VLOOKUP($C7,AMABat!$A$10:$BV$140,AE$1,FALSE))</f>
        <v/>
      </c>
      <c r="AF7" s="30" t="str">
        <f>IF($C7="","",VLOOKUP($C7,AMABat!$A$10:$BV$140,AF$1,FALSE))</f>
        <v/>
      </c>
      <c r="AG7" s="30" t="str">
        <f>IF($C7="","",VLOOKUP($C7,AMABat!$A$10:$BV$140,AG$1,FALSE))</f>
        <v/>
      </c>
      <c r="AH7" s="30" t="str">
        <f>IF($C7="","",VLOOKUP($C7,AMABat!$A$10:$BV$140,AH$1,FALSE))</f>
        <v/>
      </c>
      <c r="AI7" s="51" t="str">
        <f>IF($C7="","",VLOOKUP($C7,AMABat!$A$10:$BV$140,AI$1,FALSE))</f>
        <v/>
      </c>
      <c r="AJ7" s="31" t="str">
        <f>IF($C7="","",VLOOKUP($C7,AMABat!$A$10:$BV$140,AJ$1,FALSE))</f>
        <v/>
      </c>
      <c r="AK7" s="60" t="str">
        <f t="shared" si="13"/>
        <v/>
      </c>
      <c r="AL7" s="321" t="str">
        <f t="shared" si="14"/>
        <v/>
      </c>
      <c r="AM7" s="322" t="str">
        <f t="shared" si="15"/>
        <v/>
      </c>
      <c r="AN7" s="322" t="str">
        <f t="shared" si="16"/>
        <v/>
      </c>
      <c r="AO7" s="322" t="str">
        <f t="shared" si="17"/>
        <v/>
      </c>
      <c r="AP7" s="322" t="str">
        <f t="shared" si="18"/>
        <v/>
      </c>
      <c r="AQ7" s="322" t="str">
        <f t="shared" si="19"/>
        <v/>
      </c>
      <c r="AR7" s="322" t="str">
        <f t="shared" si="20"/>
        <v/>
      </c>
      <c r="AS7" s="322" t="str">
        <f t="shared" si="21"/>
        <v/>
      </c>
      <c r="AT7" s="323" t="str">
        <f t="shared" si="22"/>
        <v/>
      </c>
      <c r="AU7" s="51" t="str">
        <f>IF($C7="","",VLOOKUP($C7,AMABat!$A$10:$BV$140,AU$1,FALSE))</f>
        <v/>
      </c>
      <c r="AV7" s="30" t="str">
        <f>IF($C7="","",VLOOKUP($C7,AMABat!$A$10:$BV$140,AV$1,FALSE))</f>
        <v/>
      </c>
      <c r="AW7" s="30" t="str">
        <f>IF($C7="","",VLOOKUP($C7,AMABat!$A$10:$BV$140,AW$1,FALSE))</f>
        <v/>
      </c>
      <c r="AX7" s="30" t="str">
        <f>IF($C7="","",VLOOKUP($C7,AMABat!$A$10:$BV$140,AX$1,FALSE))</f>
        <v/>
      </c>
      <c r="AY7" s="31" t="str">
        <f>IF($C7="","",VLOOKUP($C7,AMABat!$A$10:$BV$140,AY$1,FALSE))</f>
        <v/>
      </c>
      <c r="AZ7" s="60" t="str">
        <f t="shared" si="23"/>
        <v/>
      </c>
    </row>
    <row r="8" spans="1:52" x14ac:dyDescent="0.25">
      <c r="A8" s="305">
        <v>6</v>
      </c>
      <c r="B8" s="29" t="s">
        <v>80</v>
      </c>
      <c r="C8" s="58" t="s">
        <v>452</v>
      </c>
      <c r="D8" s="30" t="e">
        <f>IF($C8="","",VLOOKUP($C8,AMABat!$A$10:$BV$140,D$1,FALSE))</f>
        <v>#N/A</v>
      </c>
      <c r="E8" s="30" t="e">
        <f>IF($C8="","",VLOOKUP($C8,AMABat!$A$10:$BV$140,E$1,FALSE))</f>
        <v>#N/A</v>
      </c>
      <c r="F8" s="321" t="e">
        <f t="shared" si="0"/>
        <v>#N/A</v>
      </c>
      <c r="G8" s="322" t="e">
        <f t="shared" si="1"/>
        <v>#N/A</v>
      </c>
      <c r="H8" s="322" t="e">
        <f t="shared" si="2"/>
        <v>#N/A</v>
      </c>
      <c r="I8" s="322" t="str">
        <f t="shared" si="3"/>
        <v>-</v>
      </c>
      <c r="J8" s="51" t="e">
        <f>IF($C8="","",VLOOKUP($C8,AMABat!$A$10:$BV$140,J$1,FALSE))</f>
        <v>#N/A</v>
      </c>
      <c r="K8" s="30" t="e">
        <f>IF($C8="","",VLOOKUP($C8,AMABat!$A$10:$BV$140,K$1,FALSE))</f>
        <v>#N/A</v>
      </c>
      <c r="L8" s="31" t="e">
        <f>IF($C8="","",VLOOKUP($C8,AMABat!$A$10:$BV$140,L$1,FALSE))</f>
        <v>#N/A</v>
      </c>
      <c r="M8" s="30" t="e">
        <f>IF($C8="","",VLOOKUP($C8,AMABat!$A$10:$BV$140,M$1,FALSE))</f>
        <v>#N/A</v>
      </c>
      <c r="N8" s="30" t="e">
        <f>IF($C8="","",VLOOKUP($C8,AMABat!$A$10:$BV$140,N$1,FALSE))</f>
        <v>#N/A</v>
      </c>
      <c r="O8" s="30" t="e">
        <f>IF($C8="","",VLOOKUP($C8,AMABat!$A$10:$BV$140,O$1,FALSE))</f>
        <v>#N/A</v>
      </c>
      <c r="P8" s="30" t="e">
        <f>IF($C8="","",VLOOKUP($C8,AMABat!$A$10:$BV$140,P$1,FALSE))</f>
        <v>#N/A</v>
      </c>
      <c r="Q8" s="30" t="e">
        <f>IF($C8="","",VLOOKUP($C8,AMABat!$A$10:$BV$140,Q$1,FALSE))</f>
        <v>#N/A</v>
      </c>
      <c r="R8" s="30" t="e">
        <f>IF($C8="","",VLOOKUP($C8,AMABat!$A$10:$BV$140,R$1,FALSE))</f>
        <v>#N/A</v>
      </c>
      <c r="S8" s="30" t="e">
        <f>IF($C8="","",VLOOKUP($C8,AMABat!$A$10:$BV$140,S$1,FALSE))</f>
        <v>#N/A</v>
      </c>
      <c r="T8" s="31" t="e">
        <f>IF($C8="","",VLOOKUP($C8,AMABat!$A$10:$BV$140,T$1,FALSE))</f>
        <v>#N/A</v>
      </c>
      <c r="U8" s="321" t="e">
        <f t="shared" si="4"/>
        <v>#N/A</v>
      </c>
      <c r="V8" s="322" t="e">
        <f t="shared" si="5"/>
        <v>#N/A</v>
      </c>
      <c r="W8" s="322" t="e">
        <f t="shared" si="6"/>
        <v>#N/A</v>
      </c>
      <c r="X8" s="322" t="e">
        <f t="shared" si="7"/>
        <v>#N/A</v>
      </c>
      <c r="Y8" s="322" t="e">
        <f t="shared" si="8"/>
        <v>#N/A</v>
      </c>
      <c r="Z8" s="322" t="e">
        <f t="shared" si="9"/>
        <v>#N/A</v>
      </c>
      <c r="AA8" s="322" t="e">
        <f t="shared" si="10"/>
        <v>#N/A</v>
      </c>
      <c r="AB8" s="322" t="e">
        <f t="shared" si="11"/>
        <v>#N/A</v>
      </c>
      <c r="AC8" s="323" t="e">
        <f t="shared" si="12"/>
        <v>#N/A</v>
      </c>
      <c r="AD8" s="30" t="e">
        <f>IF($C8="","",VLOOKUP($C8,AMABat!$A$10:$BV$140,AD$1,FALSE))</f>
        <v>#N/A</v>
      </c>
      <c r="AE8" s="30" t="e">
        <f>IF($C8="","",VLOOKUP($C8,AMABat!$A$10:$BV$140,AE$1,FALSE))</f>
        <v>#N/A</v>
      </c>
      <c r="AF8" s="30" t="e">
        <f>IF($C8="","",VLOOKUP($C8,AMABat!$A$10:$BV$140,AF$1,FALSE))</f>
        <v>#N/A</v>
      </c>
      <c r="AG8" s="30" t="e">
        <f>IF($C8="","",VLOOKUP($C8,AMABat!$A$10:$BV$140,AG$1,FALSE))</f>
        <v>#N/A</v>
      </c>
      <c r="AH8" s="30" t="e">
        <f>IF($C8="","",VLOOKUP($C8,AMABat!$A$10:$BV$140,AH$1,FALSE))</f>
        <v>#N/A</v>
      </c>
      <c r="AI8" s="51" t="e">
        <f>IF($C8="","",VLOOKUP($C8,AMABat!$A$10:$BV$140,AI$1,FALSE))</f>
        <v>#N/A</v>
      </c>
      <c r="AJ8" s="31" t="e">
        <f>IF($C8="","",VLOOKUP($C8,AMABat!$A$10:$BV$140,AJ$1,FALSE))</f>
        <v>#N/A</v>
      </c>
      <c r="AK8" s="60" t="e">
        <f t="shared" si="13"/>
        <v>#N/A</v>
      </c>
      <c r="AL8" s="321" t="e">
        <f t="shared" si="14"/>
        <v>#N/A</v>
      </c>
      <c r="AM8" s="322" t="e">
        <f t="shared" si="15"/>
        <v>#N/A</v>
      </c>
      <c r="AN8" s="322" t="e">
        <f t="shared" si="16"/>
        <v>#N/A</v>
      </c>
      <c r="AO8" s="322" t="e">
        <f t="shared" si="17"/>
        <v>#N/A</v>
      </c>
      <c r="AP8" s="322" t="e">
        <f t="shared" si="18"/>
        <v>#N/A</v>
      </c>
      <c r="AQ8" s="322" t="e">
        <f t="shared" si="19"/>
        <v>#N/A</v>
      </c>
      <c r="AR8" s="322" t="e">
        <f t="shared" si="20"/>
        <v>#N/A</v>
      </c>
      <c r="AS8" s="322" t="e">
        <f t="shared" si="21"/>
        <v>#N/A</v>
      </c>
      <c r="AT8" s="323" t="e">
        <f t="shared" si="22"/>
        <v>#N/A</v>
      </c>
      <c r="AU8" s="51" t="e">
        <f>IF($C8="","",VLOOKUP($C8,AMABat!$A$10:$BV$140,AU$1,FALSE))</f>
        <v>#N/A</v>
      </c>
      <c r="AV8" s="30" t="e">
        <f>IF($C8="","",VLOOKUP($C8,AMABat!$A$10:$BV$140,AV$1,FALSE))</f>
        <v>#N/A</v>
      </c>
      <c r="AW8" s="30" t="e">
        <f>IF($C8="","",VLOOKUP($C8,AMABat!$A$10:$BV$140,AW$1,FALSE))</f>
        <v>#N/A</v>
      </c>
      <c r="AX8" s="30" t="e">
        <f>IF($C8="","",VLOOKUP($C8,AMABat!$A$10:$BV$140,AX$1,FALSE))</f>
        <v>#N/A</v>
      </c>
      <c r="AY8" s="31" t="e">
        <f>IF($C8="","",VLOOKUP($C8,AMABat!$A$10:$BV$140,AY$1,FALSE))</f>
        <v>#N/A</v>
      </c>
      <c r="AZ8" s="60" t="e">
        <f t="shared" si="23"/>
        <v>#N/A</v>
      </c>
    </row>
    <row r="9" spans="1:52" x14ac:dyDescent="0.25">
      <c r="A9" s="305">
        <v>7</v>
      </c>
      <c r="B9" s="29" t="s">
        <v>80</v>
      </c>
      <c r="C9" s="58" t="s">
        <v>453</v>
      </c>
      <c r="D9" s="30" t="e">
        <f>IF($C9="","",VLOOKUP($C9,AMABat!$A$10:$BV$140,D$1,FALSE))</f>
        <v>#N/A</v>
      </c>
      <c r="E9" s="30" t="e">
        <f>IF($C9="","",VLOOKUP($C9,AMABat!$A$10:$BV$140,E$1,FALSE))</f>
        <v>#N/A</v>
      </c>
      <c r="F9" s="321" t="e">
        <f t="shared" si="0"/>
        <v>#N/A</v>
      </c>
      <c r="G9" s="322" t="e">
        <f t="shared" si="1"/>
        <v>#N/A</v>
      </c>
      <c r="H9" s="322" t="e">
        <f t="shared" si="2"/>
        <v>#N/A</v>
      </c>
      <c r="I9" s="322" t="str">
        <f t="shared" si="3"/>
        <v>-</v>
      </c>
      <c r="J9" s="51" t="e">
        <f>IF($C9="","",VLOOKUP($C9,AMABat!$A$10:$BV$140,J$1,FALSE))</f>
        <v>#N/A</v>
      </c>
      <c r="K9" s="30" t="e">
        <f>IF($C9="","",VLOOKUP($C9,AMABat!$A$10:$BV$140,K$1,FALSE))</f>
        <v>#N/A</v>
      </c>
      <c r="L9" s="31" t="e">
        <f>IF($C9="","",VLOOKUP($C9,AMABat!$A$10:$BV$140,L$1,FALSE))</f>
        <v>#N/A</v>
      </c>
      <c r="M9" s="30" t="e">
        <f>IF($C9="","",VLOOKUP($C9,AMABat!$A$10:$BV$140,M$1,FALSE))</f>
        <v>#N/A</v>
      </c>
      <c r="N9" s="30" t="e">
        <f>IF($C9="","",VLOOKUP($C9,AMABat!$A$10:$BV$140,N$1,FALSE))</f>
        <v>#N/A</v>
      </c>
      <c r="O9" s="30" t="e">
        <f>IF($C9="","",VLOOKUP($C9,AMABat!$A$10:$BV$140,O$1,FALSE))</f>
        <v>#N/A</v>
      </c>
      <c r="P9" s="30" t="e">
        <f>IF($C9="","",VLOOKUP($C9,AMABat!$A$10:$BV$140,P$1,FALSE))</f>
        <v>#N/A</v>
      </c>
      <c r="Q9" s="30" t="e">
        <f>IF($C9="","",VLOOKUP($C9,AMABat!$A$10:$BV$140,Q$1,FALSE))</f>
        <v>#N/A</v>
      </c>
      <c r="R9" s="30" t="e">
        <f>IF($C9="","",VLOOKUP($C9,AMABat!$A$10:$BV$140,R$1,FALSE))</f>
        <v>#N/A</v>
      </c>
      <c r="S9" s="30" t="e">
        <f>IF($C9="","",VLOOKUP($C9,AMABat!$A$10:$BV$140,S$1,FALSE))</f>
        <v>#N/A</v>
      </c>
      <c r="T9" s="31" t="e">
        <f>IF($C9="","",VLOOKUP($C9,AMABat!$A$10:$BV$140,T$1,FALSE))</f>
        <v>#N/A</v>
      </c>
      <c r="U9" s="321" t="e">
        <f t="shared" si="4"/>
        <v>#N/A</v>
      </c>
      <c r="V9" s="322" t="e">
        <f t="shared" si="5"/>
        <v>#N/A</v>
      </c>
      <c r="W9" s="322" t="e">
        <f t="shared" si="6"/>
        <v>#N/A</v>
      </c>
      <c r="X9" s="322" t="e">
        <f t="shared" si="7"/>
        <v>#N/A</v>
      </c>
      <c r="Y9" s="322" t="e">
        <f t="shared" si="8"/>
        <v>#N/A</v>
      </c>
      <c r="Z9" s="322" t="e">
        <f t="shared" si="9"/>
        <v>#N/A</v>
      </c>
      <c r="AA9" s="322" t="e">
        <f t="shared" si="10"/>
        <v>#N/A</v>
      </c>
      <c r="AB9" s="322" t="e">
        <f t="shared" si="11"/>
        <v>#N/A</v>
      </c>
      <c r="AC9" s="323" t="e">
        <f t="shared" si="12"/>
        <v>#N/A</v>
      </c>
      <c r="AD9" s="30" t="e">
        <f>IF($C9="","",VLOOKUP($C9,AMABat!$A$10:$BV$140,AD$1,FALSE))</f>
        <v>#N/A</v>
      </c>
      <c r="AE9" s="30" t="e">
        <f>IF($C9="","",VLOOKUP($C9,AMABat!$A$10:$BV$140,AE$1,FALSE))</f>
        <v>#N/A</v>
      </c>
      <c r="AF9" s="30" t="e">
        <f>IF($C9="","",VLOOKUP($C9,AMABat!$A$10:$BV$140,AF$1,FALSE))</f>
        <v>#N/A</v>
      </c>
      <c r="AG9" s="30" t="e">
        <f>IF($C9="","",VLOOKUP($C9,AMABat!$A$10:$BV$140,AG$1,FALSE))</f>
        <v>#N/A</v>
      </c>
      <c r="AH9" s="30" t="e">
        <f>IF($C9="","",VLOOKUP($C9,AMABat!$A$10:$BV$140,AH$1,FALSE))</f>
        <v>#N/A</v>
      </c>
      <c r="AI9" s="51" t="e">
        <f>IF($C9="","",VLOOKUP($C9,AMABat!$A$10:$BV$140,AI$1,FALSE))</f>
        <v>#N/A</v>
      </c>
      <c r="AJ9" s="31" t="e">
        <f>IF($C9="","",VLOOKUP($C9,AMABat!$A$10:$BV$140,AJ$1,FALSE))</f>
        <v>#N/A</v>
      </c>
      <c r="AK9" s="60" t="e">
        <f t="shared" si="13"/>
        <v>#N/A</v>
      </c>
      <c r="AL9" s="321" t="e">
        <f t="shared" si="14"/>
        <v>#N/A</v>
      </c>
      <c r="AM9" s="322" t="e">
        <f t="shared" si="15"/>
        <v>#N/A</v>
      </c>
      <c r="AN9" s="322" t="e">
        <f t="shared" si="16"/>
        <v>#N/A</v>
      </c>
      <c r="AO9" s="322" t="e">
        <f t="shared" si="17"/>
        <v>#N/A</v>
      </c>
      <c r="AP9" s="322" t="e">
        <f t="shared" si="18"/>
        <v>#N/A</v>
      </c>
      <c r="AQ9" s="322" t="e">
        <f t="shared" si="19"/>
        <v>#N/A</v>
      </c>
      <c r="AR9" s="322" t="e">
        <f t="shared" si="20"/>
        <v>#N/A</v>
      </c>
      <c r="AS9" s="322" t="e">
        <f t="shared" si="21"/>
        <v>#N/A</v>
      </c>
      <c r="AT9" s="323" t="e">
        <f t="shared" si="22"/>
        <v>#N/A</v>
      </c>
      <c r="AU9" s="51" t="e">
        <f>IF($C9="","",VLOOKUP($C9,AMABat!$A$10:$BV$140,AU$1,FALSE))</f>
        <v>#N/A</v>
      </c>
      <c r="AV9" s="30" t="e">
        <f>IF($C9="","",VLOOKUP($C9,AMABat!$A$10:$BV$140,AV$1,FALSE))</f>
        <v>#N/A</v>
      </c>
      <c r="AW9" s="30" t="e">
        <f>IF($C9="","",VLOOKUP($C9,AMABat!$A$10:$BV$140,AW$1,FALSE))</f>
        <v>#N/A</v>
      </c>
      <c r="AX9" s="30" t="e">
        <f>IF($C9="","",VLOOKUP($C9,AMABat!$A$10:$BV$140,AX$1,FALSE))</f>
        <v>#N/A</v>
      </c>
      <c r="AY9" s="31" t="e">
        <f>IF($C9="","",VLOOKUP($C9,AMABat!$A$10:$BV$140,AY$1,FALSE))</f>
        <v>#N/A</v>
      </c>
      <c r="AZ9" s="60" t="e">
        <f t="shared" si="23"/>
        <v>#N/A</v>
      </c>
    </row>
    <row r="10" spans="1:52" x14ac:dyDescent="0.25">
      <c r="A10" s="305">
        <v>8</v>
      </c>
      <c r="B10" s="29" t="s">
        <v>80</v>
      </c>
      <c r="C10" s="58" t="s">
        <v>454</v>
      </c>
      <c r="D10" s="30" t="e">
        <f>IF($C10="","",VLOOKUP($C10,AMABat!$A$10:$BV$140,D$1,FALSE))</f>
        <v>#N/A</v>
      </c>
      <c r="E10" s="30" t="e">
        <f>IF($C10="","",VLOOKUP($C10,AMABat!$A$10:$BV$140,E$1,FALSE))</f>
        <v>#N/A</v>
      </c>
      <c r="F10" s="321" t="e">
        <f t="shared" si="0"/>
        <v>#N/A</v>
      </c>
      <c r="G10" s="322" t="e">
        <f t="shared" si="1"/>
        <v>#N/A</v>
      </c>
      <c r="H10" s="322" t="e">
        <f t="shared" si="2"/>
        <v>#N/A</v>
      </c>
      <c r="I10" s="322" t="str">
        <f t="shared" si="3"/>
        <v>-</v>
      </c>
      <c r="J10" s="51" t="e">
        <f>IF($C10="","",VLOOKUP($C10,AMABat!$A$10:$BV$140,J$1,FALSE))</f>
        <v>#N/A</v>
      </c>
      <c r="K10" s="30" t="e">
        <f>IF($C10="","",VLOOKUP($C10,AMABat!$A$10:$BV$140,K$1,FALSE))</f>
        <v>#N/A</v>
      </c>
      <c r="L10" s="31" t="e">
        <f>IF($C10="","",VLOOKUP($C10,AMABat!$A$10:$BV$140,L$1,FALSE))</f>
        <v>#N/A</v>
      </c>
      <c r="M10" s="30" t="e">
        <f>IF($C10="","",VLOOKUP($C10,AMABat!$A$10:$BV$140,M$1,FALSE))</f>
        <v>#N/A</v>
      </c>
      <c r="N10" s="30" t="e">
        <f>IF($C10="","",VLOOKUP($C10,AMABat!$A$10:$BV$140,N$1,FALSE))</f>
        <v>#N/A</v>
      </c>
      <c r="O10" s="30" t="e">
        <f>IF($C10="","",VLOOKUP($C10,AMABat!$A$10:$BV$140,O$1,FALSE))</f>
        <v>#N/A</v>
      </c>
      <c r="P10" s="30" t="e">
        <f>IF($C10="","",VLOOKUP($C10,AMABat!$A$10:$BV$140,P$1,FALSE))</f>
        <v>#N/A</v>
      </c>
      <c r="Q10" s="30" t="e">
        <f>IF($C10="","",VLOOKUP($C10,AMABat!$A$10:$BV$140,Q$1,FALSE))</f>
        <v>#N/A</v>
      </c>
      <c r="R10" s="30" t="e">
        <f>IF($C10="","",VLOOKUP($C10,AMABat!$A$10:$BV$140,R$1,FALSE))</f>
        <v>#N/A</v>
      </c>
      <c r="S10" s="30" t="e">
        <f>IF($C10="","",VLOOKUP($C10,AMABat!$A$10:$BV$140,S$1,FALSE))</f>
        <v>#N/A</v>
      </c>
      <c r="T10" s="31" t="e">
        <f>IF($C10="","",VLOOKUP($C10,AMABat!$A$10:$BV$140,T$1,FALSE))</f>
        <v>#N/A</v>
      </c>
      <c r="U10" s="321" t="e">
        <f t="shared" si="4"/>
        <v>#N/A</v>
      </c>
      <c r="V10" s="322" t="e">
        <f t="shared" si="5"/>
        <v>#N/A</v>
      </c>
      <c r="W10" s="322" t="e">
        <f t="shared" si="6"/>
        <v>#N/A</v>
      </c>
      <c r="X10" s="322" t="e">
        <f t="shared" si="7"/>
        <v>#N/A</v>
      </c>
      <c r="Y10" s="322" t="e">
        <f t="shared" si="8"/>
        <v>#N/A</v>
      </c>
      <c r="Z10" s="322" t="e">
        <f t="shared" si="9"/>
        <v>#N/A</v>
      </c>
      <c r="AA10" s="322" t="e">
        <f t="shared" si="10"/>
        <v>#N/A</v>
      </c>
      <c r="AB10" s="322" t="e">
        <f t="shared" si="11"/>
        <v>#N/A</v>
      </c>
      <c r="AC10" s="323" t="e">
        <f t="shared" si="12"/>
        <v>#N/A</v>
      </c>
      <c r="AD10" s="30" t="e">
        <f>IF($C10="","",VLOOKUP($C10,AMABat!$A$10:$BV$140,AD$1,FALSE))</f>
        <v>#N/A</v>
      </c>
      <c r="AE10" s="30" t="e">
        <f>IF($C10="","",VLOOKUP($C10,AMABat!$A$10:$BV$140,AE$1,FALSE))</f>
        <v>#N/A</v>
      </c>
      <c r="AF10" s="30" t="e">
        <f>IF($C10="","",VLOOKUP($C10,AMABat!$A$10:$BV$140,AF$1,FALSE))</f>
        <v>#N/A</v>
      </c>
      <c r="AG10" s="30" t="e">
        <f>IF($C10="","",VLOOKUP($C10,AMABat!$A$10:$BV$140,AG$1,FALSE))</f>
        <v>#N/A</v>
      </c>
      <c r="AH10" s="30" t="e">
        <f>IF($C10="","",VLOOKUP($C10,AMABat!$A$10:$BV$140,AH$1,FALSE))</f>
        <v>#N/A</v>
      </c>
      <c r="AI10" s="51" t="e">
        <f>IF($C10="","",VLOOKUP($C10,AMABat!$A$10:$BV$140,AI$1,FALSE))</f>
        <v>#N/A</v>
      </c>
      <c r="AJ10" s="31" t="e">
        <f>IF($C10="","",VLOOKUP($C10,AMABat!$A$10:$BV$140,AJ$1,FALSE))</f>
        <v>#N/A</v>
      </c>
      <c r="AK10" s="60" t="e">
        <f t="shared" si="13"/>
        <v>#N/A</v>
      </c>
      <c r="AL10" s="321" t="e">
        <f t="shared" si="14"/>
        <v>#N/A</v>
      </c>
      <c r="AM10" s="322" t="e">
        <f t="shared" si="15"/>
        <v>#N/A</v>
      </c>
      <c r="AN10" s="322" t="e">
        <f t="shared" si="16"/>
        <v>#N/A</v>
      </c>
      <c r="AO10" s="322" t="e">
        <f t="shared" si="17"/>
        <v>#N/A</v>
      </c>
      <c r="AP10" s="322" t="e">
        <f t="shared" si="18"/>
        <v>#N/A</v>
      </c>
      <c r="AQ10" s="322" t="e">
        <f t="shared" si="19"/>
        <v>#N/A</v>
      </c>
      <c r="AR10" s="322" t="e">
        <f t="shared" si="20"/>
        <v>#N/A</v>
      </c>
      <c r="AS10" s="322" t="e">
        <f t="shared" si="21"/>
        <v>#N/A</v>
      </c>
      <c r="AT10" s="323" t="e">
        <f t="shared" si="22"/>
        <v>#N/A</v>
      </c>
      <c r="AU10" s="51" t="e">
        <f>IF($C10="","",VLOOKUP($C10,AMABat!$A$10:$BV$140,AU$1,FALSE))</f>
        <v>#N/A</v>
      </c>
      <c r="AV10" s="30" t="e">
        <f>IF($C10="","",VLOOKUP($C10,AMABat!$A$10:$BV$140,AV$1,FALSE))</f>
        <v>#N/A</v>
      </c>
      <c r="AW10" s="30" t="e">
        <f>IF($C10="","",VLOOKUP($C10,AMABat!$A$10:$BV$140,AW$1,FALSE))</f>
        <v>#N/A</v>
      </c>
      <c r="AX10" s="30" t="e">
        <f>IF($C10="","",VLOOKUP($C10,AMABat!$A$10:$BV$140,AX$1,FALSE))</f>
        <v>#N/A</v>
      </c>
      <c r="AY10" s="31" t="e">
        <f>IF($C10="","",VLOOKUP($C10,AMABat!$A$10:$BV$140,AY$1,FALSE))</f>
        <v>#N/A</v>
      </c>
      <c r="AZ10" s="60" t="e">
        <f t="shared" si="23"/>
        <v>#N/A</v>
      </c>
    </row>
    <row r="11" spans="1:52" x14ac:dyDescent="0.25">
      <c r="A11" s="305">
        <v>9</v>
      </c>
      <c r="B11" s="32" t="s">
        <v>80</v>
      </c>
      <c r="C11" s="33" t="s">
        <v>455</v>
      </c>
      <c r="D11" s="33" t="e">
        <f>IF($C11="","",VLOOKUP($C11,AMABat!$A$10:$BV$140,D$1,FALSE))</f>
        <v>#N/A</v>
      </c>
      <c r="E11" s="33" t="e">
        <f>IF($C11="","",VLOOKUP($C11,AMABat!$A$10:$BV$140,E$1,FALSE))</f>
        <v>#N/A</v>
      </c>
      <c r="F11" s="47" t="e">
        <f t="shared" si="0"/>
        <v>#N/A</v>
      </c>
      <c r="G11" s="324" t="e">
        <f t="shared" si="1"/>
        <v>#N/A</v>
      </c>
      <c r="H11" s="324" t="e">
        <f t="shared" si="2"/>
        <v>#N/A</v>
      </c>
      <c r="I11" s="324" t="str">
        <f t="shared" si="3"/>
        <v>-</v>
      </c>
      <c r="J11" s="52" t="e">
        <f>IF($C11="","",VLOOKUP($C11,AMABat!$A$10:$BV$140,J$1,FALSE))</f>
        <v>#N/A</v>
      </c>
      <c r="K11" s="33" t="e">
        <f>IF($C11="","",VLOOKUP($C11,AMABat!$A$10:$BV$140,K$1,FALSE))</f>
        <v>#N/A</v>
      </c>
      <c r="L11" s="35" t="e">
        <f>IF($C11="","",VLOOKUP($C11,AMABat!$A$10:$BV$140,L$1,FALSE))</f>
        <v>#N/A</v>
      </c>
      <c r="M11" s="33" t="e">
        <f>IF($C11="","",VLOOKUP($C11,AMABat!$A$10:$BV$140,M$1,FALSE))</f>
        <v>#N/A</v>
      </c>
      <c r="N11" s="33" t="e">
        <f>IF($C11="","",VLOOKUP($C11,AMABat!$A$10:$BV$140,N$1,FALSE))</f>
        <v>#N/A</v>
      </c>
      <c r="O11" s="33" t="e">
        <f>IF($C11="","",VLOOKUP($C11,AMABat!$A$10:$BV$140,O$1,FALSE))</f>
        <v>#N/A</v>
      </c>
      <c r="P11" s="33" t="e">
        <f>IF($C11="","",VLOOKUP($C11,AMABat!$A$10:$BV$140,P$1,FALSE))</f>
        <v>#N/A</v>
      </c>
      <c r="Q11" s="33" t="e">
        <f>IF($C11="","",VLOOKUP($C11,AMABat!$A$10:$BV$140,Q$1,FALSE))</f>
        <v>#N/A</v>
      </c>
      <c r="R11" s="33" t="e">
        <f>IF($C11="","",VLOOKUP($C11,AMABat!$A$10:$BV$140,R$1,FALSE))</f>
        <v>#N/A</v>
      </c>
      <c r="S11" s="33" t="e">
        <f>IF($C11="","",VLOOKUP($C11,AMABat!$A$10:$BV$140,S$1,FALSE))</f>
        <v>#N/A</v>
      </c>
      <c r="T11" s="35" t="e">
        <f>IF($C11="","",VLOOKUP($C11,AMABat!$A$10:$BV$140,T$1,FALSE))</f>
        <v>#N/A</v>
      </c>
      <c r="U11" s="47" t="e">
        <f t="shared" si="4"/>
        <v>#N/A</v>
      </c>
      <c r="V11" s="324" t="e">
        <f t="shared" si="5"/>
        <v>#N/A</v>
      </c>
      <c r="W11" s="324" t="e">
        <f t="shared" si="6"/>
        <v>#N/A</v>
      </c>
      <c r="X11" s="324" t="e">
        <f t="shared" si="7"/>
        <v>#N/A</v>
      </c>
      <c r="Y11" s="324" t="e">
        <f t="shared" si="8"/>
        <v>#N/A</v>
      </c>
      <c r="Z11" s="324" t="e">
        <f t="shared" si="9"/>
        <v>#N/A</v>
      </c>
      <c r="AA11" s="324" t="e">
        <f t="shared" si="10"/>
        <v>#N/A</v>
      </c>
      <c r="AB11" s="324" t="e">
        <f t="shared" si="11"/>
        <v>#N/A</v>
      </c>
      <c r="AC11" s="325" t="e">
        <f t="shared" si="12"/>
        <v>#N/A</v>
      </c>
      <c r="AD11" s="33" t="e">
        <f>IF($C11="","",VLOOKUP($C11,AMABat!$A$10:$BV$140,AD$1,FALSE))</f>
        <v>#N/A</v>
      </c>
      <c r="AE11" s="33" t="e">
        <f>IF($C11="","",VLOOKUP($C11,AMABat!$A$10:$BV$140,AE$1,FALSE))</f>
        <v>#N/A</v>
      </c>
      <c r="AF11" s="33" t="e">
        <f>IF($C11="","",VLOOKUP($C11,AMABat!$A$10:$BV$140,AF$1,FALSE))</f>
        <v>#N/A</v>
      </c>
      <c r="AG11" s="33" t="e">
        <f>IF($C11="","",VLOOKUP($C11,AMABat!$A$10:$BV$140,AG$1,FALSE))</f>
        <v>#N/A</v>
      </c>
      <c r="AH11" s="33" t="e">
        <f>IF($C11="","",VLOOKUP($C11,AMABat!$A$10:$BV$140,AH$1,FALSE))</f>
        <v>#N/A</v>
      </c>
      <c r="AI11" s="52" t="e">
        <f>IF($C11="","",VLOOKUP($C11,AMABat!$A$10:$BV$140,AI$1,FALSE))</f>
        <v>#N/A</v>
      </c>
      <c r="AJ11" s="35" t="e">
        <f>IF($C11="","",VLOOKUP($C11,AMABat!$A$10:$BV$140,AJ$1,FALSE))</f>
        <v>#N/A</v>
      </c>
      <c r="AK11" s="61" t="e">
        <f t="shared" si="13"/>
        <v>#N/A</v>
      </c>
      <c r="AL11" s="47" t="e">
        <f t="shared" si="14"/>
        <v>#N/A</v>
      </c>
      <c r="AM11" s="324" t="e">
        <f t="shared" si="15"/>
        <v>#N/A</v>
      </c>
      <c r="AN11" s="324" t="e">
        <f t="shared" si="16"/>
        <v>#N/A</v>
      </c>
      <c r="AO11" s="324" t="e">
        <f t="shared" si="17"/>
        <v>#N/A</v>
      </c>
      <c r="AP11" s="324" t="e">
        <f t="shared" si="18"/>
        <v>#N/A</v>
      </c>
      <c r="AQ11" s="324" t="e">
        <f t="shared" si="19"/>
        <v>#N/A</v>
      </c>
      <c r="AR11" s="324" t="e">
        <f t="shared" si="20"/>
        <v>#N/A</v>
      </c>
      <c r="AS11" s="324" t="e">
        <f t="shared" si="21"/>
        <v>#N/A</v>
      </c>
      <c r="AT11" s="325" t="e">
        <f t="shared" si="22"/>
        <v>#N/A</v>
      </c>
      <c r="AU11" s="52" t="e">
        <f>IF($C11="","",VLOOKUP($C11,AMABat!$A$10:$BV$140,AU$1,FALSE))</f>
        <v>#N/A</v>
      </c>
      <c r="AV11" s="33" t="e">
        <f>IF($C11="","",VLOOKUP($C11,AMABat!$A$10:$BV$140,AV$1,FALSE))</f>
        <v>#N/A</v>
      </c>
      <c r="AW11" s="33" t="e">
        <f>IF($C11="","",VLOOKUP($C11,AMABat!$A$10:$BV$140,AW$1,FALSE))</f>
        <v>#N/A</v>
      </c>
      <c r="AX11" s="33" t="e">
        <f>IF($C11="","",VLOOKUP($C11,AMABat!$A$10:$BV$140,AX$1,FALSE))</f>
        <v>#N/A</v>
      </c>
      <c r="AY11" s="35" t="e">
        <f>IF($C11="","",VLOOKUP($C11,AMABat!$A$10:$BV$140,AY$1,FALSE))</f>
        <v>#N/A</v>
      </c>
      <c r="AZ11" s="61" t="e">
        <f t="shared" si="23"/>
        <v>#N/A</v>
      </c>
    </row>
    <row r="13" spans="1:52" s="17" customFormat="1" ht="196.5" x14ac:dyDescent="0.25">
      <c r="A13" s="18" t="s">
        <v>170</v>
      </c>
      <c r="B13" s="326" t="s">
        <v>103</v>
      </c>
      <c r="C13" s="37" t="str">
        <f>"Player ("&amp;COUNTA(C14:C19)&amp;")"</f>
        <v>Player (3)</v>
      </c>
      <c r="D13" s="37" t="s">
        <v>70</v>
      </c>
      <c r="E13" s="37" t="s">
        <v>80</v>
      </c>
      <c r="F13" s="44" t="e">
        <f>"Only 1 guy who only plays 2B ("&amp;SUM(F14:F19)&amp;")"</f>
        <v>#N/A</v>
      </c>
      <c r="G13" s="39" t="e">
        <f>"2 Guys Who Play SS ("&amp;SUM(G14:G19)&amp;")"</f>
        <v>#N/A</v>
      </c>
      <c r="H13" s="39" t="e">
        <f>"2 guys with 3B arm ("&amp;SUM(H14:H19)&amp;")"</f>
        <v>#N/A</v>
      </c>
      <c r="I13" s="42" t="s">
        <v>32</v>
      </c>
      <c r="J13" s="40" t="s">
        <v>114</v>
      </c>
      <c r="K13" s="40" t="s">
        <v>112</v>
      </c>
      <c r="L13" s="40" t="s">
        <v>113</v>
      </c>
      <c r="M13" s="56" t="s">
        <v>71</v>
      </c>
      <c r="N13" s="41" t="s">
        <v>73</v>
      </c>
      <c r="O13" s="41" t="s">
        <v>74</v>
      </c>
      <c r="P13" s="41" t="s">
        <v>75</v>
      </c>
      <c r="Q13" s="41" t="s">
        <v>76</v>
      </c>
      <c r="R13" s="41" t="s">
        <v>77</v>
      </c>
      <c r="S13" s="41" t="s">
        <v>78</v>
      </c>
      <c r="T13" s="42" t="s">
        <v>79</v>
      </c>
      <c r="U13" s="38" t="s">
        <v>115</v>
      </c>
      <c r="V13" s="38" t="s">
        <v>158</v>
      </c>
      <c r="W13" s="38" t="s">
        <v>116</v>
      </c>
      <c r="X13" s="38" t="s">
        <v>117</v>
      </c>
      <c r="Y13" s="38" t="s">
        <v>118</v>
      </c>
      <c r="Z13" s="38" t="s">
        <v>119</v>
      </c>
      <c r="AA13" s="38" t="s">
        <v>120</v>
      </c>
      <c r="AB13" s="38" t="s">
        <v>122</v>
      </c>
      <c r="AC13" s="38" t="s">
        <v>121</v>
      </c>
      <c r="AD13" s="56" t="s">
        <v>125</v>
      </c>
      <c r="AE13" s="41" t="s">
        <v>126</v>
      </c>
      <c r="AF13" s="41" t="s">
        <v>127</v>
      </c>
      <c r="AG13" s="41" t="s">
        <v>128</v>
      </c>
      <c r="AH13" s="41" t="s">
        <v>21</v>
      </c>
      <c r="AI13" s="41" t="s">
        <v>129</v>
      </c>
      <c r="AJ13" s="42" t="s">
        <v>130</v>
      </c>
      <c r="AK13" s="59" t="s">
        <v>134</v>
      </c>
      <c r="AL13" s="38" t="s">
        <v>115</v>
      </c>
      <c r="AM13" s="38" t="s">
        <v>158</v>
      </c>
      <c r="AN13" s="38" t="s">
        <v>116</v>
      </c>
      <c r="AO13" s="38" t="s">
        <v>117</v>
      </c>
      <c r="AP13" s="38" t="s">
        <v>118</v>
      </c>
      <c r="AQ13" s="38" t="s">
        <v>119</v>
      </c>
      <c r="AR13" s="38" t="s">
        <v>120</v>
      </c>
      <c r="AS13" s="38" t="s">
        <v>122</v>
      </c>
      <c r="AT13" s="38" t="s">
        <v>121</v>
      </c>
      <c r="AU13" s="56" t="s">
        <v>125</v>
      </c>
      <c r="AV13" s="41" t="s">
        <v>126</v>
      </c>
      <c r="AW13" s="41" t="s">
        <v>127</v>
      </c>
      <c r="AX13" s="41" t="s">
        <v>128</v>
      </c>
      <c r="AY13" s="42" t="s">
        <v>21</v>
      </c>
      <c r="AZ13" s="59" t="s">
        <v>174</v>
      </c>
    </row>
    <row r="14" spans="1:52" x14ac:dyDescent="0.25">
      <c r="A14" s="305">
        <v>1</v>
      </c>
      <c r="B14" s="29" t="s">
        <v>74</v>
      </c>
      <c r="C14" s="58" t="s">
        <v>459</v>
      </c>
      <c r="D14" s="30" t="e">
        <f>IF($C14="","",VLOOKUP($C14,AMABat!$A$10:$BV$140,D$1,FALSE))</f>
        <v>#N/A</v>
      </c>
      <c r="E14" s="26" t="e">
        <f>IF($C14="","",VLOOKUP($C14,AMABat!$A$10:$BV$140,E$1,FALSE))</f>
        <v>#N/A</v>
      </c>
      <c r="F14" s="321" t="e">
        <f t="shared" ref="F14:F19" si="24">IF($C14="","",IF(AND(O14&gt;0,O14=SUM(M14:T14)),1,0))</f>
        <v>#N/A</v>
      </c>
      <c r="G14" s="322" t="e">
        <f t="shared" ref="G14:G19" si="25">IF($C14="","",IF(Q14&lt;&gt;"-",1,0))</f>
        <v>#N/A</v>
      </c>
      <c r="H14" s="322" t="e">
        <f t="shared" ref="H14:H19" si="26">IF($C14="","",IF(AND(K14&gt;5,P14&lt;&gt;"-"),1,0))</f>
        <v>#N/A</v>
      </c>
      <c r="I14" s="323" t="str">
        <f t="shared" ref="I14:I19" si="27">IF($C14="","","-")</f>
        <v>-</v>
      </c>
      <c r="J14" s="30" t="e">
        <f>IF($C14="","",VLOOKUP($C14,AMABat!$A$10:$BV$140,J$1,FALSE))</f>
        <v>#N/A</v>
      </c>
      <c r="K14" s="30" t="e">
        <f>IF($C14="","",VLOOKUP($C14,AMABat!$A$10:$BV$140,K$1,FALSE))</f>
        <v>#N/A</v>
      </c>
      <c r="L14" s="30" t="e">
        <f>IF($C14="","",VLOOKUP($C14,AMABat!$A$10:$BV$140,L$1,FALSE))</f>
        <v>#N/A</v>
      </c>
      <c r="M14" s="51" t="e">
        <f>IF($C14="","",VLOOKUP($C14,AMABat!$A$10:$BV$140,M$1,FALSE))</f>
        <v>#N/A</v>
      </c>
      <c r="N14" s="30" t="e">
        <f>IF($C14="","",VLOOKUP($C14,AMABat!$A$10:$BV$140,N$1,FALSE))</f>
        <v>#N/A</v>
      </c>
      <c r="O14" s="30" t="e">
        <f>IF($C14="","",VLOOKUP($C14,AMABat!$A$10:$BV$140,O$1,FALSE))</f>
        <v>#N/A</v>
      </c>
      <c r="P14" s="30" t="e">
        <f>IF($C14="","",VLOOKUP($C14,AMABat!$A$10:$BV$140,P$1,FALSE))</f>
        <v>#N/A</v>
      </c>
      <c r="Q14" s="30" t="e">
        <f>IF($C14="","",VLOOKUP($C14,AMABat!$A$10:$BV$140,Q$1,FALSE))</f>
        <v>#N/A</v>
      </c>
      <c r="R14" s="30" t="e">
        <f>IF($C14="","",VLOOKUP($C14,AMABat!$A$10:$BV$140,R$1,FALSE))</f>
        <v>#N/A</v>
      </c>
      <c r="S14" s="30" t="e">
        <f>IF($C14="","",VLOOKUP($C14,AMABat!$A$10:$BV$140,S$1,FALSE))</f>
        <v>#N/A</v>
      </c>
      <c r="T14" s="31" t="e">
        <f>IF($C14="","",VLOOKUP($C14,AMABat!$A$10:$BV$140,T$1,FALSE))</f>
        <v>#N/A</v>
      </c>
      <c r="U14" s="322" t="e">
        <f t="shared" ref="U14:U15" si="28">IF($C14="","",IF(OR(AD14+AG14&gt;14,AND(OR(AD14+AG14&gt;12,AND(AD14&gt;6,AG14&gt;6)),AI14&gt;6,OR(AJ14&gt;=AI14,AJ14&gt;6))),1,0))</f>
        <v>#N/A</v>
      </c>
      <c r="V14" s="322" t="e">
        <f t="shared" ref="V14:V19" si="29">IF($C14="","",IF(OR(AND(AD14&gt;6,AH14&gt;6),AD14+AG14&gt;12),1,0))</f>
        <v>#N/A</v>
      </c>
      <c r="W14" s="322" t="e">
        <f t="shared" ref="W14:W19" si="30">IF($C14="","",IF(AND(AD14&gt;6,AF14&gt;6,AG14&gt;6),1,0))</f>
        <v>#N/A</v>
      </c>
      <c r="X14" s="322" t="e">
        <f t="shared" ref="X14:X19" si="31">IF($C14="","",IF(AND(AF14&gt;7,OR(AD14&gt;6,AG14&gt;6)),1,0))</f>
        <v>#N/A</v>
      </c>
      <c r="Y14" s="322" t="e">
        <f t="shared" ref="Y14:Y19" si="32">IF($C14="","",IF(AND(AF14&gt;6,OR(AD14&gt;6,AG14&gt;6)),1,0))</f>
        <v>#N/A</v>
      </c>
      <c r="Z14" s="322" t="e">
        <f t="shared" ref="Z14:Z19" si="33">IF($C14="","",IF(AND(OR(AD14&gt;6,AF14&gt;6),OR(AD14&gt;6,AG14&gt;6)),1,0))</f>
        <v>#N/A</v>
      </c>
      <c r="AA14" s="322" t="e">
        <f t="shared" ref="AA14:AA19" si="34">IF($C14="","",IF(AND(AD14&gt;4,OR(AD14&gt;6,AF14&gt;6,AG14&gt;6)),1,0))</f>
        <v>#N/A</v>
      </c>
      <c r="AB14" s="322" t="e">
        <f t="shared" ref="AB14:AB19" si="35">IF($C14="","",IF(AND(AD14&gt;4,OR(AD14&gt;6,AE14&gt;6,AF14&gt;6,AG14&gt;6)),1,0))</f>
        <v>#N/A</v>
      </c>
      <c r="AC14" s="322" t="e">
        <f t="shared" ref="AC14:AC19" si="36">IF($C14="","",IF(AND(AD14&gt;4,MAX(AD14:AH14)&gt;6),1,0))</f>
        <v>#N/A</v>
      </c>
      <c r="AD14" s="51" t="e">
        <f>IF($C14="","",VLOOKUP($C14,AMABat!$A$10:$BV$140,AD$1,FALSE))</f>
        <v>#N/A</v>
      </c>
      <c r="AE14" s="30" t="e">
        <f>IF($C14="","",VLOOKUP($C14,AMABat!$A$10:$BV$140,AE$1,FALSE))</f>
        <v>#N/A</v>
      </c>
      <c r="AF14" s="30" t="e">
        <f>IF($C14="","",VLOOKUP($C14,AMABat!$A$10:$BV$140,AF$1,FALSE))</f>
        <v>#N/A</v>
      </c>
      <c r="AG14" s="30" t="e">
        <f>IF($C14="","",VLOOKUP($C14,AMABat!$A$10:$BV$140,AG$1,FALSE))</f>
        <v>#N/A</v>
      </c>
      <c r="AH14" s="30" t="e">
        <f>IF($C14="","",VLOOKUP($C14,AMABat!$A$10:$BV$140,AH$1,FALSE))</f>
        <v>#N/A</v>
      </c>
      <c r="AI14" s="30" t="e">
        <f>IF($C14="","",VLOOKUP($C14,AMABat!$A$10:$BV$140,AI$1,FALSE))</f>
        <v>#N/A</v>
      </c>
      <c r="AJ14" s="31" t="e">
        <f>IF($C14="","",VLOOKUP($C14,AMABat!$A$10:$BV$140,AJ$1,FALSE))</f>
        <v>#N/A</v>
      </c>
      <c r="AK14" s="60" t="e">
        <f t="shared" ref="AK14:AK19" si="37">IF($C14="","",(5*AD14+4*AF14+3*AG14+2*AE14+1*AH14+0.5*(AVERAGE(AD14:AE14))+0.5*AVERAGE(AD14,AH14)+1*(AVERAGE(AD14,AF14))+1*AVERAGE(AD14,AG14))/(5+4+3+2+1+0.5+0.5+1+1))</f>
        <v>#N/A</v>
      </c>
      <c r="AL14" s="322" t="e">
        <f t="shared" ref="AL14:AL19" si="38">IF($C14="","",IF(AND(OR(AU14+AX14&gt;12,AND(AU14&gt;6,AX14&gt;6)),AI14&gt;6,OR(AJ14&gt;=AI14,AJ14&gt;6)),1,0))</f>
        <v>#N/A</v>
      </c>
      <c r="AM14" s="322" t="e">
        <f t="shared" ref="AM14:AM19" si="39">IF($C14="","",IF(OR(AND(AU14&gt;6,AY14&gt;6),AU14+AX14&gt;12),1,0))</f>
        <v>#N/A</v>
      </c>
      <c r="AN14" s="322" t="e">
        <f t="shared" ref="AN14:AN19" si="40">IF($C14="","",IF(AND(AU14&gt;6,AW14&gt;6,AX14&gt;6),1,0))</f>
        <v>#N/A</v>
      </c>
      <c r="AO14" s="322" t="e">
        <f t="shared" ref="AO14:AO19" si="41">IF($C14="","",IF(AND(AW14&gt;7,OR(AU14&gt;6,AX14&gt;6)),1,0))</f>
        <v>#N/A</v>
      </c>
      <c r="AP14" s="322" t="e">
        <f t="shared" ref="AP14:AP19" si="42">IF($C14="","",IF(AND(AW14&gt;6,OR(AU14&gt;6,AX14&gt;6)),1,0))</f>
        <v>#N/A</v>
      </c>
      <c r="AQ14" s="322" t="e">
        <f t="shared" ref="AQ14:AQ19" si="43">IF($C14="","",IF(AND(OR(AU14&gt;6,AW14&gt;6),OR(AU14&gt;6,AX14&gt;6)),1,0))</f>
        <v>#N/A</v>
      </c>
      <c r="AR14" s="322" t="e">
        <f t="shared" ref="AR14:AR19" si="44">IF($C14="","",IF(AND(AU14&gt;4,OR(AU14&gt;6,AW14&gt;6,AX14&gt;6)),1,0))</f>
        <v>#N/A</v>
      </c>
      <c r="AS14" s="322" t="e">
        <f t="shared" ref="AS14:AS19" si="45">IF($C14="","",IF(AND(AU14&gt;4,OR(AU14&gt;6,AV14&gt;6,AW14&gt;6,AX14&gt;6)),1,0))</f>
        <v>#N/A</v>
      </c>
      <c r="AT14" s="322" t="e">
        <f t="shared" ref="AT14:AT19" si="46">IF($C14="","",IF(AND(AU14&gt;4,MAX(AU14:AY14)&gt;6),1,0))</f>
        <v>#N/A</v>
      </c>
      <c r="AU14" s="51" t="e">
        <f>IF($C14="","",VLOOKUP($C14,AMABat!$A$10:$BV$140,AU$1,FALSE))</f>
        <v>#N/A</v>
      </c>
      <c r="AV14" s="30" t="e">
        <f>IF($C14="","",VLOOKUP($C14,AMABat!$A$10:$BV$140,AV$1,FALSE))</f>
        <v>#N/A</v>
      </c>
      <c r="AW14" s="30" t="e">
        <f>IF($C14="","",VLOOKUP($C14,AMABat!$A$10:$BV$140,AW$1,FALSE))</f>
        <v>#N/A</v>
      </c>
      <c r="AX14" s="30" t="e">
        <f>IF($C14="","",VLOOKUP($C14,AMABat!$A$10:$BV$140,AX$1,FALSE))</f>
        <v>#N/A</v>
      </c>
      <c r="AY14" s="31" t="e">
        <f>IF($C14="","",VLOOKUP($C14,AMABat!$A$10:$BV$140,AY$1,FALSE))</f>
        <v>#N/A</v>
      </c>
      <c r="AZ14" s="60" t="e">
        <f t="shared" ref="AZ14:AZ19" si="47">IF($C14="","",(5*AU14+4*AW14+3*AX14+2*AV14+1*AY14+0.5*(AVERAGE(AU14:AV14))+0.5*AVERAGE(AU14,AY14)+1*(AVERAGE(AU14,AW14))+1*AVERAGE(AU14,AX14))/(5+4+3+2+1+0.5+0.5+1+1))</f>
        <v>#N/A</v>
      </c>
    </row>
    <row r="15" spans="1:52" x14ac:dyDescent="0.25">
      <c r="A15" s="305">
        <v>2</v>
      </c>
      <c r="B15" s="29" t="s">
        <v>75</v>
      </c>
      <c r="C15" s="58" t="s">
        <v>450</v>
      </c>
      <c r="D15" s="30" t="e">
        <f>IF($C15="","",VLOOKUP($C15,AMABat!$A$10:$BV$140,D$1,FALSE))</f>
        <v>#N/A</v>
      </c>
      <c r="E15" s="30" t="e">
        <f>IF($C15="","",VLOOKUP($C15,AMABat!$A$10:$BV$140,E$1,FALSE))</f>
        <v>#N/A</v>
      </c>
      <c r="F15" s="321" t="e">
        <f t="shared" si="24"/>
        <v>#N/A</v>
      </c>
      <c r="G15" s="322" t="e">
        <f t="shared" si="25"/>
        <v>#N/A</v>
      </c>
      <c r="H15" s="322" t="e">
        <f t="shared" si="26"/>
        <v>#N/A</v>
      </c>
      <c r="I15" s="323" t="str">
        <f t="shared" si="27"/>
        <v>-</v>
      </c>
      <c r="J15" s="30" t="e">
        <f>IF($C15="","",VLOOKUP($C15,AMABat!$A$10:$BV$140,J$1,FALSE))</f>
        <v>#N/A</v>
      </c>
      <c r="K15" s="30" t="e">
        <f>IF($C15="","",VLOOKUP($C15,AMABat!$A$10:$BV$140,K$1,FALSE))</f>
        <v>#N/A</v>
      </c>
      <c r="L15" s="30" t="e">
        <f>IF($C15="","",VLOOKUP($C15,AMABat!$A$10:$BV$140,L$1,FALSE))</f>
        <v>#N/A</v>
      </c>
      <c r="M15" s="51" t="e">
        <f>IF($C15="","",VLOOKUP($C15,AMABat!$A$10:$BV$140,M$1,FALSE))</f>
        <v>#N/A</v>
      </c>
      <c r="N15" s="30" t="e">
        <f>IF($C15="","",VLOOKUP($C15,AMABat!$A$10:$BV$140,N$1,FALSE))</f>
        <v>#N/A</v>
      </c>
      <c r="O15" s="30" t="e">
        <f>IF($C15="","",VLOOKUP($C15,AMABat!$A$10:$BV$140,O$1,FALSE))</f>
        <v>#N/A</v>
      </c>
      <c r="P15" s="30" t="e">
        <f>IF($C15="","",VLOOKUP($C15,AMABat!$A$10:$BV$140,P$1,FALSE))</f>
        <v>#N/A</v>
      </c>
      <c r="Q15" s="30" t="e">
        <f>IF($C15="","",VLOOKUP($C15,AMABat!$A$10:$BV$140,Q$1,FALSE))</f>
        <v>#N/A</v>
      </c>
      <c r="R15" s="30" t="e">
        <f>IF($C15="","",VLOOKUP($C15,AMABat!$A$10:$BV$140,R$1,FALSE))</f>
        <v>#N/A</v>
      </c>
      <c r="S15" s="30" t="e">
        <f>IF($C15="","",VLOOKUP($C15,AMABat!$A$10:$BV$140,S$1,FALSE))</f>
        <v>#N/A</v>
      </c>
      <c r="T15" s="31" t="e">
        <f>IF($C15="","",VLOOKUP($C15,AMABat!$A$10:$BV$140,T$1,FALSE))</f>
        <v>#N/A</v>
      </c>
      <c r="U15" s="322" t="e">
        <f t="shared" si="28"/>
        <v>#N/A</v>
      </c>
      <c r="V15" s="322" t="e">
        <f t="shared" si="29"/>
        <v>#N/A</v>
      </c>
      <c r="W15" s="322" t="e">
        <f t="shared" si="30"/>
        <v>#N/A</v>
      </c>
      <c r="X15" s="322" t="e">
        <f t="shared" si="31"/>
        <v>#N/A</v>
      </c>
      <c r="Y15" s="322" t="e">
        <f t="shared" si="32"/>
        <v>#N/A</v>
      </c>
      <c r="Z15" s="322" t="e">
        <f t="shared" si="33"/>
        <v>#N/A</v>
      </c>
      <c r="AA15" s="322" t="e">
        <f t="shared" si="34"/>
        <v>#N/A</v>
      </c>
      <c r="AB15" s="322" t="e">
        <f t="shared" si="35"/>
        <v>#N/A</v>
      </c>
      <c r="AC15" s="322" t="e">
        <f t="shared" si="36"/>
        <v>#N/A</v>
      </c>
      <c r="AD15" s="51" t="e">
        <f>IF($C15="","",VLOOKUP($C15,AMABat!$A$10:$BV$140,AD$1,FALSE))</f>
        <v>#N/A</v>
      </c>
      <c r="AE15" s="30" t="e">
        <f>IF($C15="","",VLOOKUP($C15,AMABat!$A$10:$BV$140,AE$1,FALSE))</f>
        <v>#N/A</v>
      </c>
      <c r="AF15" s="30" t="e">
        <f>IF($C15="","",VLOOKUP($C15,AMABat!$A$10:$BV$140,AF$1,FALSE))</f>
        <v>#N/A</v>
      </c>
      <c r="AG15" s="30" t="e">
        <f>IF($C15="","",VLOOKUP($C15,AMABat!$A$10:$BV$140,AG$1,FALSE))</f>
        <v>#N/A</v>
      </c>
      <c r="AH15" s="30" t="e">
        <f>IF($C15="","",VLOOKUP($C15,AMABat!$A$10:$BV$140,AH$1,FALSE))</f>
        <v>#N/A</v>
      </c>
      <c r="AI15" s="30" t="e">
        <f>IF($C15="","",VLOOKUP($C15,AMABat!$A$10:$BV$140,AI$1,FALSE))</f>
        <v>#N/A</v>
      </c>
      <c r="AJ15" s="31" t="e">
        <f>IF($C15="","",VLOOKUP($C15,AMABat!$A$10:$BV$140,AJ$1,FALSE))</f>
        <v>#N/A</v>
      </c>
      <c r="AK15" s="60" t="e">
        <f t="shared" si="37"/>
        <v>#N/A</v>
      </c>
      <c r="AL15" s="322" t="e">
        <f t="shared" si="38"/>
        <v>#N/A</v>
      </c>
      <c r="AM15" s="322" t="e">
        <f t="shared" si="39"/>
        <v>#N/A</v>
      </c>
      <c r="AN15" s="322" t="e">
        <f t="shared" si="40"/>
        <v>#N/A</v>
      </c>
      <c r="AO15" s="322" t="e">
        <f t="shared" si="41"/>
        <v>#N/A</v>
      </c>
      <c r="AP15" s="322" t="e">
        <f t="shared" si="42"/>
        <v>#N/A</v>
      </c>
      <c r="AQ15" s="322" t="e">
        <f t="shared" si="43"/>
        <v>#N/A</v>
      </c>
      <c r="AR15" s="322" t="e">
        <f t="shared" si="44"/>
        <v>#N/A</v>
      </c>
      <c r="AS15" s="322" t="e">
        <f t="shared" si="45"/>
        <v>#N/A</v>
      </c>
      <c r="AT15" s="322" t="e">
        <f t="shared" si="46"/>
        <v>#N/A</v>
      </c>
      <c r="AU15" s="51" t="e">
        <f>IF($C15="","",VLOOKUP($C15,AMABat!$A$10:$BV$140,AU$1,FALSE))</f>
        <v>#N/A</v>
      </c>
      <c r="AV15" s="30" t="e">
        <f>IF($C15="","",VLOOKUP($C15,AMABat!$A$10:$BV$140,AV$1,FALSE))</f>
        <v>#N/A</v>
      </c>
      <c r="AW15" s="30" t="e">
        <f>IF($C15="","",VLOOKUP($C15,AMABat!$A$10:$BV$140,AW$1,FALSE))</f>
        <v>#N/A</v>
      </c>
      <c r="AX15" s="30" t="e">
        <f>IF($C15="","",VLOOKUP($C15,AMABat!$A$10:$BV$140,AX$1,FALSE))</f>
        <v>#N/A</v>
      </c>
      <c r="AY15" s="31" t="e">
        <f>IF($C15="","",VLOOKUP($C15,AMABat!$A$10:$BV$140,AY$1,FALSE))</f>
        <v>#N/A</v>
      </c>
      <c r="AZ15" s="60" t="e">
        <f t="shared" si="47"/>
        <v>#N/A</v>
      </c>
    </row>
    <row r="16" spans="1:52" x14ac:dyDescent="0.25">
      <c r="A16" s="305">
        <v>3</v>
      </c>
      <c r="B16" s="29" t="s">
        <v>76</v>
      </c>
      <c r="C16" s="30" t="s">
        <v>447</v>
      </c>
      <c r="D16" s="30" t="e">
        <f>IF($C16="","",VLOOKUP($C16,AMABat!$A$10:$BV$140,D$1,FALSE))</f>
        <v>#N/A</v>
      </c>
      <c r="E16" s="30" t="e">
        <f>IF($C16="","",VLOOKUP($C16,AMABat!$A$10:$BV$140,E$1,FALSE))</f>
        <v>#N/A</v>
      </c>
      <c r="F16" s="321" t="e">
        <f t="shared" si="24"/>
        <v>#N/A</v>
      </c>
      <c r="G16" s="322" t="e">
        <f t="shared" si="25"/>
        <v>#N/A</v>
      </c>
      <c r="H16" s="322" t="e">
        <f t="shared" si="26"/>
        <v>#N/A</v>
      </c>
      <c r="I16" s="323" t="str">
        <f t="shared" si="27"/>
        <v>-</v>
      </c>
      <c r="J16" s="30" t="e">
        <f>IF($C16="","",VLOOKUP($C16,AMABat!$A$10:$BV$140,J$1,FALSE))</f>
        <v>#N/A</v>
      </c>
      <c r="K16" s="30" t="e">
        <f>IF($C16="","",VLOOKUP($C16,AMABat!$A$10:$BV$140,K$1,FALSE))</f>
        <v>#N/A</v>
      </c>
      <c r="L16" s="30" t="e">
        <f>IF($C16="","",VLOOKUP($C16,AMABat!$A$10:$BV$140,L$1,FALSE))</f>
        <v>#N/A</v>
      </c>
      <c r="M16" s="30" t="e">
        <f>IF($C16="","",VLOOKUP($C16,AMABat!$A$10:$BV$140,M$1,FALSE))</f>
        <v>#N/A</v>
      </c>
      <c r="N16" s="30" t="e">
        <f>IF($C16="","",VLOOKUP($C16,AMABat!$A$10:$BV$140,N$1,FALSE))</f>
        <v>#N/A</v>
      </c>
      <c r="O16" s="30" t="e">
        <f>IF($C16="","",VLOOKUP($C16,AMABat!$A$10:$BV$140,O$1,FALSE))</f>
        <v>#N/A</v>
      </c>
      <c r="P16" s="30" t="e">
        <f>IF($C16="","",VLOOKUP($C16,AMABat!$A$10:$BV$140,P$1,FALSE))</f>
        <v>#N/A</v>
      </c>
      <c r="Q16" s="30" t="e">
        <f>IF($C16="","",VLOOKUP($C16,AMABat!$A$10:$BV$140,Q$1,FALSE))</f>
        <v>#N/A</v>
      </c>
      <c r="R16" s="30" t="e">
        <f>IF($C16="","",VLOOKUP($C16,AMABat!$A$10:$BV$140,R$1,FALSE))</f>
        <v>#N/A</v>
      </c>
      <c r="S16" s="30" t="e">
        <f>IF($C16="","",VLOOKUP($C16,AMABat!$A$10:$BV$140,S$1,FALSE))</f>
        <v>#N/A</v>
      </c>
      <c r="T16" s="30" t="e">
        <f>IF($C16="","",VLOOKUP($C16,AMABat!$A$10:$BV$140,T$1,FALSE))</f>
        <v>#N/A</v>
      </c>
      <c r="U16" s="322" t="e">
        <f>IF($C16="","",IF(OR(AD16+AG16&gt;14,AND(OR(AD16+AG16&gt;12,AND(AD16&gt;6,AG16&gt;6)),AI16&gt;6,OR(AJ16&gt;=AI16,AJ16&gt;6))),1,0))</f>
        <v>#N/A</v>
      </c>
      <c r="V16" s="322" t="e">
        <f t="shared" si="29"/>
        <v>#N/A</v>
      </c>
      <c r="W16" s="322" t="e">
        <f t="shared" si="30"/>
        <v>#N/A</v>
      </c>
      <c r="X16" s="322" t="e">
        <f t="shared" si="31"/>
        <v>#N/A</v>
      </c>
      <c r="Y16" s="322" t="e">
        <f t="shared" si="32"/>
        <v>#N/A</v>
      </c>
      <c r="Z16" s="322" t="e">
        <f t="shared" si="33"/>
        <v>#N/A</v>
      </c>
      <c r="AA16" s="322" t="e">
        <f t="shared" si="34"/>
        <v>#N/A</v>
      </c>
      <c r="AB16" s="322" t="e">
        <f t="shared" si="35"/>
        <v>#N/A</v>
      </c>
      <c r="AC16" s="322" t="e">
        <f t="shared" si="36"/>
        <v>#N/A</v>
      </c>
      <c r="AD16" s="30" t="e">
        <f>IF($C16="","",VLOOKUP($C16,AMABat!$A$10:$BV$140,AD$1,FALSE))</f>
        <v>#N/A</v>
      </c>
      <c r="AE16" s="30" t="e">
        <f>IF($C16="","",VLOOKUP($C16,AMABat!$A$10:$BV$140,AE$1,FALSE))</f>
        <v>#N/A</v>
      </c>
      <c r="AF16" s="30" t="e">
        <f>IF($C16="","",VLOOKUP($C16,AMABat!$A$10:$BV$140,AF$1,FALSE))</f>
        <v>#N/A</v>
      </c>
      <c r="AG16" s="30" t="e">
        <f>IF($C16="","",VLOOKUP($C16,AMABat!$A$10:$BV$140,AG$1,FALSE))</f>
        <v>#N/A</v>
      </c>
      <c r="AH16" s="30" t="e">
        <f>IF($C16="","",VLOOKUP($C16,AMABat!$A$10:$BV$140,AH$1,FALSE))</f>
        <v>#N/A</v>
      </c>
      <c r="AI16" s="30" t="e">
        <f>IF($C16="","",VLOOKUP($C16,AMABat!$A$10:$BV$140,AI$1,FALSE))</f>
        <v>#N/A</v>
      </c>
      <c r="AJ16" s="30" t="e">
        <f>IF($C16="","",VLOOKUP($C16,AMABat!$A$10:$BV$140,AJ$1,FALSE))</f>
        <v>#N/A</v>
      </c>
      <c r="AK16" s="60" t="e">
        <f t="shared" si="37"/>
        <v>#N/A</v>
      </c>
      <c r="AL16" s="322" t="e">
        <f t="shared" si="38"/>
        <v>#N/A</v>
      </c>
      <c r="AM16" s="322" t="e">
        <f t="shared" si="39"/>
        <v>#N/A</v>
      </c>
      <c r="AN16" s="322" t="e">
        <f t="shared" si="40"/>
        <v>#N/A</v>
      </c>
      <c r="AO16" s="322" t="e">
        <f t="shared" si="41"/>
        <v>#N/A</v>
      </c>
      <c r="AP16" s="322" t="e">
        <f t="shared" si="42"/>
        <v>#N/A</v>
      </c>
      <c r="AQ16" s="322" t="e">
        <f t="shared" si="43"/>
        <v>#N/A</v>
      </c>
      <c r="AR16" s="322" t="e">
        <f t="shared" si="44"/>
        <v>#N/A</v>
      </c>
      <c r="AS16" s="322" t="e">
        <f t="shared" si="45"/>
        <v>#N/A</v>
      </c>
      <c r="AT16" s="322" t="e">
        <f t="shared" si="46"/>
        <v>#N/A</v>
      </c>
      <c r="AU16" s="30" t="e">
        <f>IF($C16="","",VLOOKUP($C16,AMABat!$A$10:$BV$140,AU$1,FALSE))</f>
        <v>#N/A</v>
      </c>
      <c r="AV16" s="30" t="e">
        <f>IF($C16="","",VLOOKUP($C16,AMABat!$A$10:$BV$140,AV$1,FALSE))</f>
        <v>#N/A</v>
      </c>
      <c r="AW16" s="30" t="e">
        <f>IF($C16="","",VLOOKUP($C16,AMABat!$A$10:$BV$140,AW$1,FALSE))</f>
        <v>#N/A</v>
      </c>
      <c r="AX16" s="30" t="e">
        <f>IF($C16="","",VLOOKUP($C16,AMABat!$A$10:$BV$140,AX$1,FALSE))</f>
        <v>#N/A</v>
      </c>
      <c r="AY16" s="30" t="e">
        <f>IF($C16="","",VLOOKUP($C16,AMABat!$A$10:$BV$140,AY$1,FALSE))</f>
        <v>#N/A</v>
      </c>
      <c r="AZ16" s="60" t="e">
        <f t="shared" si="47"/>
        <v>#N/A</v>
      </c>
    </row>
    <row r="17" spans="1:52" x14ac:dyDescent="0.25">
      <c r="A17" s="305">
        <v>4</v>
      </c>
      <c r="B17" s="29" t="s">
        <v>80</v>
      </c>
      <c r="C17" s="58"/>
      <c r="D17" s="30" t="str">
        <f>IF($C17="","",VLOOKUP($C17,AMABat!$A$10:$BV$140,D$1,FALSE))</f>
        <v/>
      </c>
      <c r="E17" s="30" t="str">
        <f>IF($C17="","",VLOOKUP($C17,AMABat!$A$10:$BV$140,E$1,FALSE))</f>
        <v/>
      </c>
      <c r="F17" s="321" t="str">
        <f t="shared" si="24"/>
        <v/>
      </c>
      <c r="G17" s="322" t="str">
        <f t="shared" si="25"/>
        <v/>
      </c>
      <c r="H17" s="322" t="str">
        <f t="shared" si="26"/>
        <v/>
      </c>
      <c r="I17" s="323" t="str">
        <f t="shared" si="27"/>
        <v/>
      </c>
      <c r="J17" s="30" t="str">
        <f>IF($C17="","",VLOOKUP($C17,AMABat!$A$10:$BV$140,J$1,FALSE))</f>
        <v/>
      </c>
      <c r="K17" s="30" t="str">
        <f>IF($C17="","",VLOOKUP($C17,AMABat!$A$10:$BV$140,K$1,FALSE))</f>
        <v/>
      </c>
      <c r="L17" s="30" t="str">
        <f>IF($C17="","",VLOOKUP($C17,AMABat!$A$10:$BV$140,L$1,FALSE))</f>
        <v/>
      </c>
      <c r="M17" s="51" t="str">
        <f>IF($C17="","",VLOOKUP($C17,AMABat!$A$10:$BV$140,M$1,FALSE))</f>
        <v/>
      </c>
      <c r="N17" s="30" t="str">
        <f>IF($C17="","",VLOOKUP($C17,AMABat!$A$10:$BV$140,N$1,FALSE))</f>
        <v/>
      </c>
      <c r="O17" s="30" t="str">
        <f>IF($C17="","",VLOOKUP($C17,AMABat!$A$10:$BV$140,O$1,FALSE))</f>
        <v/>
      </c>
      <c r="P17" s="30" t="str">
        <f>IF($C17="","",VLOOKUP($C17,AMABat!$A$10:$BV$140,P$1,FALSE))</f>
        <v/>
      </c>
      <c r="Q17" s="30" t="str">
        <f>IF($C17="","",VLOOKUP($C17,AMABat!$A$10:$BV$140,Q$1,FALSE))</f>
        <v/>
      </c>
      <c r="R17" s="30" t="str">
        <f>IF($C17="","",VLOOKUP($C17,AMABat!$A$10:$BV$140,R$1,FALSE))</f>
        <v/>
      </c>
      <c r="S17" s="30" t="str">
        <f>IF($C17="","",VLOOKUP($C17,AMABat!$A$10:$BV$140,S$1,FALSE))</f>
        <v/>
      </c>
      <c r="T17" s="31" t="str">
        <f>IF($C17="","",VLOOKUP($C17,AMABat!$A$10:$BV$140,T$1,FALSE))</f>
        <v/>
      </c>
      <c r="U17" s="322" t="str">
        <f t="shared" ref="U17:U19" si="48">IF($C17="","",IF(OR(AD17+AG17&gt;14,AND(OR(AD17+AG17&gt;12,AND(AD17&gt;6,AG17&gt;6)),AI17&gt;6,OR(AJ17&gt;=AI17,AJ17&gt;6))),1,0))</f>
        <v/>
      </c>
      <c r="V17" s="322" t="str">
        <f t="shared" si="29"/>
        <v/>
      </c>
      <c r="W17" s="322" t="str">
        <f t="shared" si="30"/>
        <v/>
      </c>
      <c r="X17" s="322" t="str">
        <f t="shared" si="31"/>
        <v/>
      </c>
      <c r="Y17" s="322" t="str">
        <f t="shared" si="32"/>
        <v/>
      </c>
      <c r="Z17" s="322" t="str">
        <f t="shared" si="33"/>
        <v/>
      </c>
      <c r="AA17" s="322" t="str">
        <f t="shared" si="34"/>
        <v/>
      </c>
      <c r="AB17" s="322" t="str">
        <f t="shared" si="35"/>
        <v/>
      </c>
      <c r="AC17" s="322" t="str">
        <f t="shared" si="36"/>
        <v/>
      </c>
      <c r="AD17" s="51" t="str">
        <f>IF($C17="","",VLOOKUP($C17,AMABat!$A$10:$BV$140,AD$1,FALSE))</f>
        <v/>
      </c>
      <c r="AE17" s="30" t="str">
        <f>IF($C17="","",VLOOKUP($C17,AMABat!$A$10:$BV$140,AE$1,FALSE))</f>
        <v/>
      </c>
      <c r="AF17" s="30" t="str">
        <f>IF($C17="","",VLOOKUP($C17,AMABat!$A$10:$BV$140,AF$1,FALSE))</f>
        <v/>
      </c>
      <c r="AG17" s="30" t="str">
        <f>IF($C17="","",VLOOKUP($C17,AMABat!$A$10:$BV$140,AG$1,FALSE))</f>
        <v/>
      </c>
      <c r="AH17" s="30" t="str">
        <f>IF($C17="","",VLOOKUP($C17,AMABat!$A$10:$BV$140,AH$1,FALSE))</f>
        <v/>
      </c>
      <c r="AI17" s="30" t="str">
        <f>IF($C17="","",VLOOKUP($C17,AMABat!$A$10:$BV$140,AI$1,FALSE))</f>
        <v/>
      </c>
      <c r="AJ17" s="31" t="str">
        <f>IF($C17="","",VLOOKUP($C17,AMABat!$A$10:$BV$140,AJ$1,FALSE))</f>
        <v/>
      </c>
      <c r="AK17" s="60" t="str">
        <f t="shared" si="37"/>
        <v/>
      </c>
      <c r="AL17" s="322" t="str">
        <f t="shared" si="38"/>
        <v/>
      </c>
      <c r="AM17" s="322" t="str">
        <f t="shared" si="39"/>
        <v/>
      </c>
      <c r="AN17" s="322" t="str">
        <f t="shared" si="40"/>
        <v/>
      </c>
      <c r="AO17" s="322" t="str">
        <f t="shared" si="41"/>
        <v/>
      </c>
      <c r="AP17" s="322" t="str">
        <f t="shared" si="42"/>
        <v/>
      </c>
      <c r="AQ17" s="322" t="str">
        <f t="shared" si="43"/>
        <v/>
      </c>
      <c r="AR17" s="322" t="str">
        <f t="shared" si="44"/>
        <v/>
      </c>
      <c r="AS17" s="322" t="str">
        <f t="shared" si="45"/>
        <v/>
      </c>
      <c r="AT17" s="322" t="str">
        <f t="shared" si="46"/>
        <v/>
      </c>
      <c r="AU17" s="51" t="str">
        <f>IF($C17="","",VLOOKUP($C17,AMABat!$A$10:$BV$140,AU$1,FALSE))</f>
        <v/>
      </c>
      <c r="AV17" s="30" t="str">
        <f>IF($C17="","",VLOOKUP($C17,AMABat!$A$10:$BV$140,AV$1,FALSE))</f>
        <v/>
      </c>
      <c r="AW17" s="30" t="str">
        <f>IF($C17="","",VLOOKUP($C17,AMABat!$A$10:$BV$140,AW$1,FALSE))</f>
        <v/>
      </c>
      <c r="AX17" s="30" t="str">
        <f>IF($C17="","",VLOOKUP($C17,AMABat!$A$10:$BV$140,AX$1,FALSE))</f>
        <v/>
      </c>
      <c r="AY17" s="31" t="str">
        <f>IF($C17="","",VLOOKUP($C17,AMABat!$A$10:$BV$140,AY$1,FALSE))</f>
        <v/>
      </c>
      <c r="AZ17" s="60" t="str">
        <f t="shared" si="47"/>
        <v/>
      </c>
    </row>
    <row r="18" spans="1:52" x14ac:dyDescent="0.25">
      <c r="A18" s="305">
        <v>5</v>
      </c>
      <c r="B18" s="29" t="s">
        <v>80</v>
      </c>
      <c r="C18" s="58"/>
      <c r="D18" s="30" t="str">
        <f>IF($C18="","",VLOOKUP($C18,AMABat!$A$10:$BV$140,D$1,FALSE))</f>
        <v/>
      </c>
      <c r="E18" s="30" t="str">
        <f>IF($C18="","",VLOOKUP($C18,AMABat!$A$10:$BV$140,E$1,FALSE))</f>
        <v/>
      </c>
      <c r="F18" s="321" t="str">
        <f t="shared" si="24"/>
        <v/>
      </c>
      <c r="G18" s="322" t="str">
        <f t="shared" si="25"/>
        <v/>
      </c>
      <c r="H18" s="322" t="str">
        <f t="shared" si="26"/>
        <v/>
      </c>
      <c r="I18" s="323" t="str">
        <f t="shared" si="27"/>
        <v/>
      </c>
      <c r="J18" s="30" t="str">
        <f>IF($C18="","",VLOOKUP($C18,AMABat!$A$10:$BV$140,J$1,FALSE))</f>
        <v/>
      </c>
      <c r="K18" s="30" t="str">
        <f>IF($C18="","",VLOOKUP($C18,AMABat!$A$10:$BV$140,K$1,FALSE))</f>
        <v/>
      </c>
      <c r="L18" s="30" t="str">
        <f>IF($C18="","",VLOOKUP($C18,AMABat!$A$10:$BV$140,L$1,FALSE))</f>
        <v/>
      </c>
      <c r="M18" s="51" t="str">
        <f>IF($C18="","",VLOOKUP($C18,AMABat!$A$10:$BV$140,M$1,FALSE))</f>
        <v/>
      </c>
      <c r="N18" s="30" t="str">
        <f>IF($C18="","",VLOOKUP($C18,AMABat!$A$10:$BV$140,N$1,FALSE))</f>
        <v/>
      </c>
      <c r="O18" s="30" t="str">
        <f>IF($C18="","",VLOOKUP($C18,AMABat!$A$10:$BV$140,O$1,FALSE))</f>
        <v/>
      </c>
      <c r="P18" s="30" t="str">
        <f>IF($C18="","",VLOOKUP($C18,AMABat!$A$10:$BV$140,P$1,FALSE))</f>
        <v/>
      </c>
      <c r="Q18" s="30" t="str">
        <f>IF($C18="","",VLOOKUP($C18,AMABat!$A$10:$BV$140,Q$1,FALSE))</f>
        <v/>
      </c>
      <c r="R18" s="30" t="str">
        <f>IF($C18="","",VLOOKUP($C18,AMABat!$A$10:$BV$140,R$1,FALSE))</f>
        <v/>
      </c>
      <c r="S18" s="30" t="str">
        <f>IF($C18="","",VLOOKUP($C18,AMABat!$A$10:$BV$140,S$1,FALSE))</f>
        <v/>
      </c>
      <c r="T18" s="31" t="str">
        <f>IF($C18="","",VLOOKUP($C18,AMABat!$A$10:$BV$140,T$1,FALSE))</f>
        <v/>
      </c>
      <c r="U18" s="322" t="str">
        <f t="shared" si="48"/>
        <v/>
      </c>
      <c r="V18" s="322" t="str">
        <f t="shared" si="29"/>
        <v/>
      </c>
      <c r="W18" s="322" t="str">
        <f t="shared" si="30"/>
        <v/>
      </c>
      <c r="X18" s="322" t="str">
        <f t="shared" si="31"/>
        <v/>
      </c>
      <c r="Y18" s="322" t="str">
        <f t="shared" si="32"/>
        <v/>
      </c>
      <c r="Z18" s="322" t="str">
        <f t="shared" si="33"/>
        <v/>
      </c>
      <c r="AA18" s="322" t="str">
        <f t="shared" si="34"/>
        <v/>
      </c>
      <c r="AB18" s="322" t="str">
        <f t="shared" si="35"/>
        <v/>
      </c>
      <c r="AC18" s="322" t="str">
        <f t="shared" si="36"/>
        <v/>
      </c>
      <c r="AD18" s="51" t="str">
        <f>IF($C18="","",VLOOKUP($C18,AMABat!$A$10:$BV$140,AD$1,FALSE))</f>
        <v/>
      </c>
      <c r="AE18" s="30" t="str">
        <f>IF($C18="","",VLOOKUP($C18,AMABat!$A$10:$BV$140,AE$1,FALSE))</f>
        <v/>
      </c>
      <c r="AF18" s="30" t="str">
        <f>IF($C18="","",VLOOKUP($C18,AMABat!$A$10:$BV$140,AF$1,FALSE))</f>
        <v/>
      </c>
      <c r="AG18" s="30" t="str">
        <f>IF($C18="","",VLOOKUP($C18,AMABat!$A$10:$BV$140,AG$1,FALSE))</f>
        <v/>
      </c>
      <c r="AH18" s="30" t="str">
        <f>IF($C18="","",VLOOKUP($C18,AMABat!$A$10:$BV$140,AH$1,FALSE))</f>
        <v/>
      </c>
      <c r="AI18" s="30" t="str">
        <f>IF($C18="","",VLOOKUP($C18,AMABat!$A$10:$BV$140,AI$1,FALSE))</f>
        <v/>
      </c>
      <c r="AJ18" s="31" t="str">
        <f>IF($C18="","",VLOOKUP($C18,AMABat!$A$10:$BV$140,AJ$1,FALSE))</f>
        <v/>
      </c>
      <c r="AK18" s="60" t="str">
        <f t="shared" si="37"/>
        <v/>
      </c>
      <c r="AL18" s="322" t="str">
        <f t="shared" si="38"/>
        <v/>
      </c>
      <c r="AM18" s="322" t="str">
        <f t="shared" si="39"/>
        <v/>
      </c>
      <c r="AN18" s="322" t="str">
        <f t="shared" si="40"/>
        <v/>
      </c>
      <c r="AO18" s="322" t="str">
        <f t="shared" si="41"/>
        <v/>
      </c>
      <c r="AP18" s="322" t="str">
        <f t="shared" si="42"/>
        <v/>
      </c>
      <c r="AQ18" s="322" t="str">
        <f t="shared" si="43"/>
        <v/>
      </c>
      <c r="AR18" s="322" t="str">
        <f t="shared" si="44"/>
        <v/>
      </c>
      <c r="AS18" s="322" t="str">
        <f t="shared" si="45"/>
        <v/>
      </c>
      <c r="AT18" s="322" t="str">
        <f t="shared" si="46"/>
        <v/>
      </c>
      <c r="AU18" s="51" t="str">
        <f>IF($C18="","",VLOOKUP($C18,AMABat!$A$10:$BV$140,AU$1,FALSE))</f>
        <v/>
      </c>
      <c r="AV18" s="30" t="str">
        <f>IF($C18="","",VLOOKUP($C18,AMABat!$A$10:$BV$140,AV$1,FALSE))</f>
        <v/>
      </c>
      <c r="AW18" s="30" t="str">
        <f>IF($C18="","",VLOOKUP($C18,AMABat!$A$10:$BV$140,AW$1,FALSE))</f>
        <v/>
      </c>
      <c r="AX18" s="30" t="str">
        <f>IF($C18="","",VLOOKUP($C18,AMABat!$A$10:$BV$140,AX$1,FALSE))</f>
        <v/>
      </c>
      <c r="AY18" s="31" t="str">
        <f>IF($C18="","",VLOOKUP($C18,AMABat!$A$10:$BV$140,AY$1,FALSE))</f>
        <v/>
      </c>
      <c r="AZ18" s="60" t="str">
        <f t="shared" si="47"/>
        <v/>
      </c>
    </row>
    <row r="19" spans="1:52" x14ac:dyDescent="0.25">
      <c r="A19" s="305">
        <v>6</v>
      </c>
      <c r="B19" s="32" t="s">
        <v>80</v>
      </c>
      <c r="C19" s="33"/>
      <c r="D19" s="33" t="str">
        <f>IF($C19="","",VLOOKUP($C19,AMABat!$A$10:$BV$140,D$1,FALSE))</f>
        <v/>
      </c>
      <c r="E19" s="33" t="str">
        <f>IF($C19="","",VLOOKUP($C19,AMABat!$A$10:$BV$140,E$1,FALSE))</f>
        <v/>
      </c>
      <c r="F19" s="47" t="str">
        <f t="shared" si="24"/>
        <v/>
      </c>
      <c r="G19" s="324" t="str">
        <f t="shared" si="25"/>
        <v/>
      </c>
      <c r="H19" s="324" t="str">
        <f t="shared" si="26"/>
        <v/>
      </c>
      <c r="I19" s="325" t="str">
        <f t="shared" si="27"/>
        <v/>
      </c>
      <c r="J19" s="33" t="str">
        <f>IF($C19="","",VLOOKUP($C19,AMABat!$A$10:$BV$140,J$1,FALSE))</f>
        <v/>
      </c>
      <c r="K19" s="33" t="str">
        <f>IF($C19="","",VLOOKUP($C19,AMABat!$A$10:$BV$140,K$1,FALSE))</f>
        <v/>
      </c>
      <c r="L19" s="33" t="str">
        <f>IF($C19="","",VLOOKUP($C19,AMABat!$A$10:$BV$140,L$1,FALSE))</f>
        <v/>
      </c>
      <c r="M19" s="52" t="str">
        <f>IF($C19="","",VLOOKUP($C19,AMABat!$A$10:$BV$140,M$1,FALSE))</f>
        <v/>
      </c>
      <c r="N19" s="33" t="str">
        <f>IF($C19="","",VLOOKUP($C19,AMABat!$A$10:$BV$140,N$1,FALSE))</f>
        <v/>
      </c>
      <c r="O19" s="33" t="str">
        <f>IF($C19="","",VLOOKUP($C19,AMABat!$A$10:$BV$140,O$1,FALSE))</f>
        <v/>
      </c>
      <c r="P19" s="33" t="str">
        <f>IF($C19="","",VLOOKUP($C19,AMABat!$A$10:$BV$140,P$1,FALSE))</f>
        <v/>
      </c>
      <c r="Q19" s="33" t="str">
        <f>IF($C19="","",VLOOKUP($C19,AMABat!$A$10:$BV$140,Q$1,FALSE))</f>
        <v/>
      </c>
      <c r="R19" s="33" t="str">
        <f>IF($C19="","",VLOOKUP($C19,AMABat!$A$10:$BV$140,R$1,FALSE))</f>
        <v/>
      </c>
      <c r="S19" s="33" t="str">
        <f>IF($C19="","",VLOOKUP($C19,AMABat!$A$10:$BV$140,S$1,FALSE))</f>
        <v/>
      </c>
      <c r="T19" s="35" t="str">
        <f>IF($C19="","",VLOOKUP($C19,AMABat!$A$10:$BV$140,T$1,FALSE))</f>
        <v/>
      </c>
      <c r="U19" s="324" t="str">
        <f t="shared" si="48"/>
        <v/>
      </c>
      <c r="V19" s="324" t="str">
        <f t="shared" si="29"/>
        <v/>
      </c>
      <c r="W19" s="324" t="str">
        <f t="shared" si="30"/>
        <v/>
      </c>
      <c r="X19" s="324" t="str">
        <f t="shared" si="31"/>
        <v/>
      </c>
      <c r="Y19" s="324" t="str">
        <f t="shared" si="32"/>
        <v/>
      </c>
      <c r="Z19" s="324" t="str">
        <f t="shared" si="33"/>
        <v/>
      </c>
      <c r="AA19" s="324" t="str">
        <f t="shared" si="34"/>
        <v/>
      </c>
      <c r="AB19" s="324" t="str">
        <f t="shared" si="35"/>
        <v/>
      </c>
      <c r="AC19" s="324" t="str">
        <f t="shared" si="36"/>
        <v/>
      </c>
      <c r="AD19" s="52" t="str">
        <f>IF($C19="","",VLOOKUP($C19,AMABat!$A$10:$BV$140,AD$1,FALSE))</f>
        <v/>
      </c>
      <c r="AE19" s="33" t="str">
        <f>IF($C19="","",VLOOKUP($C19,AMABat!$A$10:$BV$140,AE$1,FALSE))</f>
        <v/>
      </c>
      <c r="AF19" s="33" t="str">
        <f>IF($C19="","",VLOOKUP($C19,AMABat!$A$10:$BV$140,AF$1,FALSE))</f>
        <v/>
      </c>
      <c r="AG19" s="33" t="str">
        <f>IF($C19="","",VLOOKUP($C19,AMABat!$A$10:$BV$140,AG$1,FALSE))</f>
        <v/>
      </c>
      <c r="AH19" s="33" t="str">
        <f>IF($C19="","",VLOOKUP($C19,AMABat!$A$10:$BV$140,AH$1,FALSE))</f>
        <v/>
      </c>
      <c r="AI19" s="33" t="str">
        <f>IF($C19="","",VLOOKUP($C19,AMABat!$A$10:$BV$140,AI$1,FALSE))</f>
        <v/>
      </c>
      <c r="AJ19" s="35" t="str">
        <f>IF($C19="","",VLOOKUP($C19,AMABat!$A$10:$BV$140,AJ$1,FALSE))</f>
        <v/>
      </c>
      <c r="AK19" s="61" t="str">
        <f t="shared" si="37"/>
        <v/>
      </c>
      <c r="AL19" s="324" t="str">
        <f t="shared" si="38"/>
        <v/>
      </c>
      <c r="AM19" s="324" t="str">
        <f t="shared" si="39"/>
        <v/>
      </c>
      <c r="AN19" s="324" t="str">
        <f t="shared" si="40"/>
        <v/>
      </c>
      <c r="AO19" s="324" t="str">
        <f t="shared" si="41"/>
        <v/>
      </c>
      <c r="AP19" s="324" t="str">
        <f t="shared" si="42"/>
        <v/>
      </c>
      <c r="AQ19" s="324" t="str">
        <f t="shared" si="43"/>
        <v/>
      </c>
      <c r="AR19" s="324" t="str">
        <f t="shared" si="44"/>
        <v/>
      </c>
      <c r="AS19" s="324" t="str">
        <f t="shared" si="45"/>
        <v/>
      </c>
      <c r="AT19" s="324" t="str">
        <f t="shared" si="46"/>
        <v/>
      </c>
      <c r="AU19" s="52" t="str">
        <f>IF($C19="","",VLOOKUP($C19,AMABat!$A$10:$BV$140,AU$1,FALSE))</f>
        <v/>
      </c>
      <c r="AV19" s="33" t="str">
        <f>IF($C19="","",VLOOKUP($C19,AMABat!$A$10:$BV$140,AV$1,FALSE))</f>
        <v/>
      </c>
      <c r="AW19" s="33" t="str">
        <f>IF($C19="","",VLOOKUP($C19,AMABat!$A$10:$BV$140,AW$1,FALSE))</f>
        <v/>
      </c>
      <c r="AX19" s="33" t="str">
        <f>IF($C19="","",VLOOKUP($C19,AMABat!$A$10:$BV$140,AX$1,FALSE))</f>
        <v/>
      </c>
      <c r="AY19" s="35" t="str">
        <f>IF($C19="","",VLOOKUP($C19,AMABat!$A$10:$BV$140,AY$1,FALSE))</f>
        <v/>
      </c>
      <c r="AZ19" s="61" t="str">
        <f t="shared" si="47"/>
        <v/>
      </c>
    </row>
    <row r="21" spans="1:52" ht="196.5" x14ac:dyDescent="0.25">
      <c r="A21" s="18" t="s">
        <v>170</v>
      </c>
      <c r="B21" s="326" t="s">
        <v>111</v>
      </c>
      <c r="C21" s="37" t="str">
        <f>"Player ("&amp;COUNTA(C22:C24)&amp;")"</f>
        <v>Player (1)</v>
      </c>
      <c r="D21" s="37" t="s">
        <v>70</v>
      </c>
      <c r="E21" s="37" t="s">
        <v>80</v>
      </c>
      <c r="F21" s="57" t="e">
        <f>"Strong C Arm ("&amp;SUM(F22:F24)&amp;")"</f>
        <v>#N/A</v>
      </c>
      <c r="G21" s="41" t="s">
        <v>32</v>
      </c>
      <c r="H21" s="41" t="s">
        <v>32</v>
      </c>
      <c r="I21" s="41" t="s">
        <v>32</v>
      </c>
      <c r="J21" s="48" t="s">
        <v>114</v>
      </c>
      <c r="K21" s="40" t="s">
        <v>112</v>
      </c>
      <c r="L21" s="49" t="s">
        <v>113</v>
      </c>
      <c r="M21" s="41" t="s">
        <v>71</v>
      </c>
      <c r="N21" s="41" t="s">
        <v>73</v>
      </c>
      <c r="O21" s="41" t="s">
        <v>74</v>
      </c>
      <c r="P21" s="41" t="s">
        <v>75</v>
      </c>
      <c r="Q21" s="41" t="s">
        <v>76</v>
      </c>
      <c r="R21" s="41" t="s">
        <v>77</v>
      </c>
      <c r="S21" s="41" t="s">
        <v>78</v>
      </c>
      <c r="T21" s="42" t="s">
        <v>79</v>
      </c>
      <c r="U21" s="38" t="s">
        <v>115</v>
      </c>
      <c r="V21" s="38" t="s">
        <v>158</v>
      </c>
      <c r="W21" s="38" t="s">
        <v>116</v>
      </c>
      <c r="X21" s="38" t="s">
        <v>117</v>
      </c>
      <c r="Y21" s="38" t="s">
        <v>118</v>
      </c>
      <c r="Z21" s="38" t="s">
        <v>119</v>
      </c>
      <c r="AA21" s="38" t="s">
        <v>120</v>
      </c>
      <c r="AB21" s="38" t="s">
        <v>122</v>
      </c>
      <c r="AC21" s="53" t="s">
        <v>121</v>
      </c>
      <c r="AD21" s="41" t="s">
        <v>125</v>
      </c>
      <c r="AE21" s="41" t="s">
        <v>126</v>
      </c>
      <c r="AF21" s="41" t="s">
        <v>127</v>
      </c>
      <c r="AG21" s="41" t="s">
        <v>128</v>
      </c>
      <c r="AH21" s="41" t="s">
        <v>21</v>
      </c>
      <c r="AI21" s="41" t="s">
        <v>129</v>
      </c>
      <c r="AJ21" s="42" t="s">
        <v>130</v>
      </c>
      <c r="AK21" s="59" t="s">
        <v>134</v>
      </c>
      <c r="AL21" s="38" t="s">
        <v>115</v>
      </c>
      <c r="AM21" s="38" t="s">
        <v>158</v>
      </c>
      <c r="AN21" s="38" t="s">
        <v>116</v>
      </c>
      <c r="AO21" s="38" t="s">
        <v>117</v>
      </c>
      <c r="AP21" s="38" t="s">
        <v>118</v>
      </c>
      <c r="AQ21" s="38" t="s">
        <v>119</v>
      </c>
      <c r="AR21" s="38" t="s">
        <v>120</v>
      </c>
      <c r="AS21" s="38" t="s">
        <v>122</v>
      </c>
      <c r="AT21" s="53" t="s">
        <v>121</v>
      </c>
      <c r="AU21" s="56" t="s">
        <v>125</v>
      </c>
      <c r="AV21" s="41" t="s">
        <v>126</v>
      </c>
      <c r="AW21" s="41" t="s">
        <v>127</v>
      </c>
      <c r="AX21" s="41" t="s">
        <v>128</v>
      </c>
      <c r="AY21" s="42" t="s">
        <v>21</v>
      </c>
      <c r="AZ21" s="59" t="s">
        <v>174</v>
      </c>
    </row>
    <row r="22" spans="1:52" x14ac:dyDescent="0.25">
      <c r="A22" s="305">
        <v>1</v>
      </c>
      <c r="B22" s="29" t="s">
        <v>71</v>
      </c>
      <c r="C22" s="30" t="s">
        <v>449</v>
      </c>
      <c r="D22" s="30" t="e">
        <f>IF($C22="","",VLOOKUP($C22,AMABat!$A$10:$BV$140,D$1,FALSE))</f>
        <v>#N/A</v>
      </c>
      <c r="E22" s="30" t="e">
        <f>IF($C22="","",VLOOKUP($C22,AMABat!$A$10:$BV$140,E$1,FALSE))</f>
        <v>#N/A</v>
      </c>
      <c r="F22" s="321" t="e">
        <f t="shared" ref="F22:F24" si="49">IF($C22="","",IF(AND(O22&gt;0,O22=SUM(M22:T22)),1,0))</f>
        <v>#N/A</v>
      </c>
      <c r="G22" s="322" t="e">
        <f t="shared" ref="G22:G24" si="50">IF($C22="","",IF(Q22&lt;&gt;"-",1,0))</f>
        <v>#N/A</v>
      </c>
      <c r="H22" s="322" t="e">
        <f t="shared" ref="H22:H24" si="51">IF($C22="","",IF(AND(K22&gt;5,P22&lt;&gt;"-"),1,0))</f>
        <v>#N/A</v>
      </c>
      <c r="I22" s="322" t="str">
        <f t="shared" ref="I22:I24" si="52">IF($C22="","","-")</f>
        <v>-</v>
      </c>
      <c r="J22" s="51" t="e">
        <f>IF($C22="","",VLOOKUP($C22,AMABat!$A$10:$BV$140,J$1,FALSE))</f>
        <v>#N/A</v>
      </c>
      <c r="K22" s="30" t="e">
        <f>IF($C22="","",VLOOKUP($C22,AMABat!$A$10:$BV$140,K$1,FALSE))</f>
        <v>#N/A</v>
      </c>
      <c r="L22" s="31" t="e">
        <f>IF($C22="","",VLOOKUP($C22,AMABat!$A$10:$BV$140,L$1,FALSE))</f>
        <v>#N/A</v>
      </c>
      <c r="M22" s="30" t="e">
        <f>IF($C22="","",VLOOKUP($C22,AMABat!$A$10:$BV$140,M$1,FALSE))</f>
        <v>#N/A</v>
      </c>
      <c r="N22" s="30" t="e">
        <f>IF($C22="","",VLOOKUP($C22,AMABat!$A$10:$BV$140,N$1,FALSE))</f>
        <v>#N/A</v>
      </c>
      <c r="O22" s="30" t="e">
        <f>IF($C22="","",VLOOKUP($C22,AMABat!$A$10:$BV$140,O$1,FALSE))</f>
        <v>#N/A</v>
      </c>
      <c r="P22" s="30" t="e">
        <f>IF($C22="","",VLOOKUP($C22,AMABat!$A$10:$BV$140,P$1,FALSE))</f>
        <v>#N/A</v>
      </c>
      <c r="Q22" s="30" t="e">
        <f>IF($C22="","",VLOOKUP($C22,AMABat!$A$10:$BV$140,Q$1,FALSE))</f>
        <v>#N/A</v>
      </c>
      <c r="R22" s="30" t="e">
        <f>IF($C22="","",VLOOKUP($C22,AMABat!$A$10:$BV$140,R$1,FALSE))</f>
        <v>#N/A</v>
      </c>
      <c r="S22" s="30" t="e">
        <f>IF($C22="","",VLOOKUP($C22,AMABat!$A$10:$BV$140,S$1,FALSE))</f>
        <v>#N/A</v>
      </c>
      <c r="T22" s="31" t="e">
        <f>IF($C22="","",VLOOKUP($C22,AMABat!$A$10:$BV$140,T$1,FALSE))</f>
        <v>#N/A</v>
      </c>
      <c r="U22" s="322" t="e">
        <f t="shared" ref="U22:U24" si="53">IF($C22="","",IF(OR(AD22+AG22&gt;14,AND(OR(AD22+AG22&gt;12,AND(AD22&gt;6,AG22&gt;6)),AI22&gt;6,OR(AJ22&gt;=AI22,AJ22&gt;6))),1,0))</f>
        <v>#N/A</v>
      </c>
      <c r="V22" s="322" t="e">
        <f t="shared" ref="V22:V24" si="54">IF($C22="","",IF(OR(AND(AD22&gt;6,AH22&gt;6),AD22+AG22&gt;12),1,0))</f>
        <v>#N/A</v>
      </c>
      <c r="W22" s="322" t="e">
        <f t="shared" ref="W22:W24" si="55">IF($C22="","",IF(AND(AD22&gt;6,AF22&gt;6,AG22&gt;6),1,0))</f>
        <v>#N/A</v>
      </c>
      <c r="X22" s="322" t="e">
        <f t="shared" ref="X22:X24" si="56">IF($C22="","",IF(AND(AF22&gt;7,OR(AD22&gt;6,AG22&gt;6)),1,0))</f>
        <v>#N/A</v>
      </c>
      <c r="Y22" s="322" t="e">
        <f t="shared" ref="Y22:Y24" si="57">IF($C22="","",IF(AND(AF22&gt;6,OR(AD22&gt;6,AG22&gt;6)),1,0))</f>
        <v>#N/A</v>
      </c>
      <c r="Z22" s="322" t="e">
        <f t="shared" ref="Z22:Z24" si="58">IF($C22="","",IF(AND(OR(AD22&gt;6,AF22&gt;6),OR(AD22&gt;6,AG22&gt;6)),1,0))</f>
        <v>#N/A</v>
      </c>
      <c r="AA22" s="322" t="e">
        <f t="shared" ref="AA22:AA24" si="59">IF($C22="","",IF(AND(AD22&gt;4,OR(AD22&gt;6,AF22&gt;6,AG22&gt;6)),1,0))</f>
        <v>#N/A</v>
      </c>
      <c r="AB22" s="322" t="e">
        <f t="shared" ref="AB22:AB24" si="60">IF($C22="","",IF(AND(AD22&gt;4,OR(AD22&gt;6,AE22&gt;6,AF22&gt;6,AG22&gt;6)),1,0))</f>
        <v>#N/A</v>
      </c>
      <c r="AC22" s="323" t="e">
        <f t="shared" ref="AC22:AC24" si="61">IF($C22="","",IF(AND(AD22&gt;4,MAX(AD22:AH22)&gt;6),1,0))</f>
        <v>#N/A</v>
      </c>
      <c r="AD22" s="30" t="e">
        <f>IF($C22="","",VLOOKUP($C22,AMABat!$A$10:$BV$140,AD$1,FALSE))</f>
        <v>#N/A</v>
      </c>
      <c r="AE22" s="30" t="e">
        <f>IF($C22="","",VLOOKUP($C22,AMABat!$A$10:$BV$140,AE$1,FALSE))</f>
        <v>#N/A</v>
      </c>
      <c r="AF22" s="30" t="e">
        <f>IF($C22="","",VLOOKUP($C22,AMABat!$A$10:$BV$140,AF$1,FALSE))</f>
        <v>#N/A</v>
      </c>
      <c r="AG22" s="30" t="e">
        <f>IF($C22="","",VLOOKUP($C22,AMABat!$A$10:$BV$140,AG$1,FALSE))</f>
        <v>#N/A</v>
      </c>
      <c r="AH22" s="30" t="e">
        <f>IF($C22="","",VLOOKUP($C22,AMABat!$A$10:$BV$140,AH$1,FALSE))</f>
        <v>#N/A</v>
      </c>
      <c r="AI22" s="30" t="e">
        <f>IF($C22="","",VLOOKUP($C22,AMABat!$A$10:$BV$140,AI$1,FALSE))</f>
        <v>#N/A</v>
      </c>
      <c r="AJ22" s="31" t="e">
        <f>IF($C22="","",VLOOKUP($C22,AMABat!$A$10:$BV$140,AJ$1,FALSE))</f>
        <v>#N/A</v>
      </c>
      <c r="AK22" s="60" t="e">
        <f t="shared" ref="AK22:AK24" si="62">IF($C22="","",(5*AD22+4*AF22+3*AG22+2*AE22+1*AH22+0.5*(AVERAGE(AD22:AE22))+0.5*AVERAGE(AD22,AH22)+1*(AVERAGE(AD22,AF22))+1*AVERAGE(AD22,AG22))/(5+4+3+2+1+0.5+0.5+1+1))</f>
        <v>#N/A</v>
      </c>
      <c r="AL22" s="322" t="e">
        <f t="shared" ref="AL22:AL24" si="63">IF($C22="","",IF(AND(OR(AU22+AX22&gt;12,AND(AU22&gt;6,AX22&gt;6)),AI22&gt;6,OR(AJ22&gt;=AI22,AJ22&gt;6)),1,0))</f>
        <v>#N/A</v>
      </c>
      <c r="AM22" s="322" t="e">
        <f t="shared" ref="AM22:AM24" si="64">IF($C22="","",IF(OR(AND(AU22&gt;6,AY22&gt;6),AU22+AX22&gt;12),1,0))</f>
        <v>#N/A</v>
      </c>
      <c r="AN22" s="322" t="e">
        <f t="shared" ref="AN22:AN24" si="65">IF($C22="","",IF(AND(AU22&gt;6,AW22&gt;6,AX22&gt;6),1,0))</f>
        <v>#N/A</v>
      </c>
      <c r="AO22" s="322" t="e">
        <f t="shared" ref="AO22:AO24" si="66">IF($C22="","",IF(AND(AW22&gt;7,OR(AU22&gt;6,AX22&gt;6)),1,0))</f>
        <v>#N/A</v>
      </c>
      <c r="AP22" s="322" t="e">
        <f t="shared" ref="AP22:AP24" si="67">IF($C22="","",IF(AND(AW22&gt;6,OR(AU22&gt;6,AX22&gt;6)),1,0))</f>
        <v>#N/A</v>
      </c>
      <c r="AQ22" s="322" t="e">
        <f t="shared" ref="AQ22:AQ24" si="68">IF($C22="","",IF(AND(OR(AU22&gt;6,AW22&gt;6),OR(AU22&gt;6,AX22&gt;6)),1,0))</f>
        <v>#N/A</v>
      </c>
      <c r="AR22" s="322" t="e">
        <f t="shared" ref="AR22:AR24" si="69">IF($C22="","",IF(AND(AU22&gt;4,OR(AU22&gt;6,AW22&gt;6,AX22&gt;6)),1,0))</f>
        <v>#N/A</v>
      </c>
      <c r="AS22" s="322" t="e">
        <f t="shared" ref="AS22:AS24" si="70">IF($C22="","",IF(AND(AU22&gt;4,OR(AU22&gt;6,AV22&gt;6,AW22&gt;6,AX22&gt;6)),1,0))</f>
        <v>#N/A</v>
      </c>
      <c r="AT22" s="323" t="e">
        <f t="shared" ref="AT22:AT24" si="71">IF($C22="","",IF(AND(AU22&gt;4,MAX(AU22:AY22)&gt;6),1,0))</f>
        <v>#N/A</v>
      </c>
      <c r="AU22" s="51" t="e">
        <f>IF($C22="","",VLOOKUP($C22,AMABat!$A$10:$BV$140,AU$1,FALSE))</f>
        <v>#N/A</v>
      </c>
      <c r="AV22" s="30" t="e">
        <f>IF($C22="","",VLOOKUP($C22,AMABat!$A$10:$BV$140,AV$1,FALSE))</f>
        <v>#N/A</v>
      </c>
      <c r="AW22" s="30" t="e">
        <f>IF($C22="","",VLOOKUP($C22,AMABat!$A$10:$BV$140,AW$1,FALSE))</f>
        <v>#N/A</v>
      </c>
      <c r="AX22" s="30" t="e">
        <f>IF($C22="","",VLOOKUP($C22,AMABat!$A$10:$BV$140,AX$1,FALSE))</f>
        <v>#N/A</v>
      </c>
      <c r="AY22" s="31" t="e">
        <f>IF($C22="","",VLOOKUP($C22,AMABat!$A$10:$BV$140,AY$1,FALSE))</f>
        <v>#N/A</v>
      </c>
      <c r="AZ22" s="60" t="e">
        <f t="shared" ref="AZ22:AZ24" si="72">IF($C22="","",(5*AU22+4*AW22+3*AX22+2*AV22+1*AY22+0.5*(AVERAGE(AU22:AV22))+0.5*AVERAGE(AU22,AY22)+1*(AVERAGE(AU22,AW22))+1*AVERAGE(AU22,AX22))/(5+4+3+2+1+0.5+0.5+1+1))</f>
        <v>#N/A</v>
      </c>
    </row>
    <row r="23" spans="1:52" x14ac:dyDescent="0.25">
      <c r="A23" s="305">
        <v>2</v>
      </c>
      <c r="B23" s="29" t="s">
        <v>80</v>
      </c>
      <c r="C23" s="30"/>
      <c r="D23" s="30" t="str">
        <f>IF($C23="","",VLOOKUP($C23,AMABat!$A$10:$BV$140,D$1,FALSE))</f>
        <v/>
      </c>
      <c r="E23" s="30" t="str">
        <f>IF($C23="","",VLOOKUP($C23,AMABat!$A$10:$BV$140,E$1,FALSE))</f>
        <v/>
      </c>
      <c r="F23" s="321" t="str">
        <f t="shared" si="49"/>
        <v/>
      </c>
      <c r="G23" s="322" t="str">
        <f t="shared" si="50"/>
        <v/>
      </c>
      <c r="H23" s="322" t="str">
        <f t="shared" si="51"/>
        <v/>
      </c>
      <c r="I23" s="322" t="str">
        <f t="shared" si="52"/>
        <v/>
      </c>
      <c r="J23" s="51" t="str">
        <f>IF($C23="","",VLOOKUP($C23,AMABat!$A$10:$BV$140,J$1,FALSE))</f>
        <v/>
      </c>
      <c r="K23" s="30" t="str">
        <f>IF($C23="","",VLOOKUP($C23,AMABat!$A$10:$BV$140,K$1,FALSE))</f>
        <v/>
      </c>
      <c r="L23" s="31" t="str">
        <f>IF($C23="","",VLOOKUP($C23,AMABat!$A$10:$BV$140,L$1,FALSE))</f>
        <v/>
      </c>
      <c r="M23" s="30" t="str">
        <f>IF($C23="","",VLOOKUP($C23,AMABat!$A$10:$BV$140,M$1,FALSE))</f>
        <v/>
      </c>
      <c r="N23" s="30" t="str">
        <f>IF($C23="","",VLOOKUP($C23,AMABat!$A$10:$BV$140,N$1,FALSE))</f>
        <v/>
      </c>
      <c r="O23" s="30" t="str">
        <f>IF($C23="","",VLOOKUP($C23,AMABat!$A$10:$BV$140,O$1,FALSE))</f>
        <v/>
      </c>
      <c r="P23" s="30" t="str">
        <f>IF($C23="","",VLOOKUP($C23,AMABat!$A$10:$BV$140,P$1,FALSE))</f>
        <v/>
      </c>
      <c r="Q23" s="30" t="str">
        <f>IF($C23="","",VLOOKUP($C23,AMABat!$A$10:$BV$140,Q$1,FALSE))</f>
        <v/>
      </c>
      <c r="R23" s="30" t="str">
        <f>IF($C23="","",VLOOKUP($C23,AMABat!$A$10:$BV$140,R$1,FALSE))</f>
        <v/>
      </c>
      <c r="S23" s="30" t="str">
        <f>IF($C23="","",VLOOKUP($C23,AMABat!$A$10:$BV$140,S$1,FALSE))</f>
        <v/>
      </c>
      <c r="T23" s="31" t="str">
        <f>IF($C23="","",VLOOKUP($C23,AMABat!$A$10:$BV$140,T$1,FALSE))</f>
        <v/>
      </c>
      <c r="U23" s="322" t="str">
        <f t="shared" si="53"/>
        <v/>
      </c>
      <c r="V23" s="322" t="str">
        <f t="shared" si="54"/>
        <v/>
      </c>
      <c r="W23" s="322" t="str">
        <f t="shared" si="55"/>
        <v/>
      </c>
      <c r="X23" s="322" t="str">
        <f t="shared" si="56"/>
        <v/>
      </c>
      <c r="Y23" s="322" t="str">
        <f t="shared" si="57"/>
        <v/>
      </c>
      <c r="Z23" s="322" t="str">
        <f t="shared" si="58"/>
        <v/>
      </c>
      <c r="AA23" s="322" t="str">
        <f t="shared" si="59"/>
        <v/>
      </c>
      <c r="AB23" s="322" t="str">
        <f t="shared" si="60"/>
        <v/>
      </c>
      <c r="AC23" s="323" t="str">
        <f t="shared" si="61"/>
        <v/>
      </c>
      <c r="AD23" s="30" t="str">
        <f>IF($C23="","",VLOOKUP($C23,AMABat!$A$10:$BV$140,AD$1,FALSE))</f>
        <v/>
      </c>
      <c r="AE23" s="30" t="str">
        <f>IF($C23="","",VLOOKUP($C23,AMABat!$A$10:$BV$140,AE$1,FALSE))</f>
        <v/>
      </c>
      <c r="AF23" s="30" t="str">
        <f>IF($C23="","",VLOOKUP($C23,AMABat!$A$10:$BV$140,AF$1,FALSE))</f>
        <v/>
      </c>
      <c r="AG23" s="30" t="str">
        <f>IF($C23="","",VLOOKUP($C23,AMABat!$A$10:$BV$140,AG$1,FALSE))</f>
        <v/>
      </c>
      <c r="AH23" s="30" t="str">
        <f>IF($C23="","",VLOOKUP($C23,AMABat!$A$10:$BV$140,AH$1,FALSE))</f>
        <v/>
      </c>
      <c r="AI23" s="30" t="str">
        <f>IF($C23="","",VLOOKUP($C23,AMABat!$A$10:$BV$140,AI$1,FALSE))</f>
        <v/>
      </c>
      <c r="AJ23" s="31" t="str">
        <f>IF($C23="","",VLOOKUP($C23,AMABat!$A$10:$BV$140,AJ$1,FALSE))</f>
        <v/>
      </c>
      <c r="AK23" s="60" t="str">
        <f t="shared" si="62"/>
        <v/>
      </c>
      <c r="AL23" s="322" t="str">
        <f t="shared" si="63"/>
        <v/>
      </c>
      <c r="AM23" s="322" t="str">
        <f t="shared" si="64"/>
        <v/>
      </c>
      <c r="AN23" s="322" t="str">
        <f t="shared" si="65"/>
        <v/>
      </c>
      <c r="AO23" s="322" t="str">
        <f t="shared" si="66"/>
        <v/>
      </c>
      <c r="AP23" s="322" t="str">
        <f t="shared" si="67"/>
        <v/>
      </c>
      <c r="AQ23" s="322" t="str">
        <f t="shared" si="68"/>
        <v/>
      </c>
      <c r="AR23" s="322" t="str">
        <f t="shared" si="69"/>
        <v/>
      </c>
      <c r="AS23" s="322" t="str">
        <f t="shared" si="70"/>
        <v/>
      </c>
      <c r="AT23" s="323" t="str">
        <f t="shared" si="71"/>
        <v/>
      </c>
      <c r="AU23" s="51" t="str">
        <f>IF($C23="","",VLOOKUP($C23,AMABat!$A$10:$BV$140,AU$1,FALSE))</f>
        <v/>
      </c>
      <c r="AV23" s="30" t="str">
        <f>IF($C23="","",VLOOKUP($C23,AMABat!$A$10:$BV$140,AV$1,FALSE))</f>
        <v/>
      </c>
      <c r="AW23" s="30" t="str">
        <f>IF($C23="","",VLOOKUP($C23,AMABat!$A$10:$BV$140,AW$1,FALSE))</f>
        <v/>
      </c>
      <c r="AX23" s="30" t="str">
        <f>IF($C23="","",VLOOKUP($C23,AMABat!$A$10:$BV$140,AX$1,FALSE))</f>
        <v/>
      </c>
      <c r="AY23" s="31" t="str">
        <f>IF($C23="","",VLOOKUP($C23,AMABat!$A$10:$BV$140,AY$1,FALSE))</f>
        <v/>
      </c>
      <c r="AZ23" s="60" t="str">
        <f t="shared" si="72"/>
        <v/>
      </c>
    </row>
    <row r="24" spans="1:52" x14ac:dyDescent="0.25">
      <c r="A24" s="305">
        <v>3</v>
      </c>
      <c r="B24" s="32" t="s">
        <v>80</v>
      </c>
      <c r="C24" s="33"/>
      <c r="D24" s="33" t="str">
        <f>IF($C24="","",VLOOKUP($C24,AMABat!$A$10:$BV$140,D$1,FALSE))</f>
        <v/>
      </c>
      <c r="E24" s="33" t="str">
        <f>IF($C24="","",VLOOKUP($C24,AMABat!$A$10:$BV$140,E$1,FALSE))</f>
        <v/>
      </c>
      <c r="F24" s="47" t="str">
        <f t="shared" si="49"/>
        <v/>
      </c>
      <c r="G24" s="324" t="str">
        <f t="shared" si="50"/>
        <v/>
      </c>
      <c r="H24" s="324" t="str">
        <f t="shared" si="51"/>
        <v/>
      </c>
      <c r="I24" s="324" t="str">
        <f t="shared" si="52"/>
        <v/>
      </c>
      <c r="J24" s="52" t="str">
        <f>IF($C24="","",VLOOKUP($C24,AMABat!$A$10:$BV$140,J$1,FALSE))</f>
        <v/>
      </c>
      <c r="K24" s="33" t="str">
        <f>IF($C24="","",VLOOKUP($C24,AMABat!$A$10:$BV$140,K$1,FALSE))</f>
        <v/>
      </c>
      <c r="L24" s="35" t="str">
        <f>IF($C24="","",VLOOKUP($C24,AMABat!$A$10:$BV$140,L$1,FALSE))</f>
        <v/>
      </c>
      <c r="M24" s="33" t="str">
        <f>IF($C24="","",VLOOKUP($C24,AMABat!$A$10:$BV$140,M$1,FALSE))</f>
        <v/>
      </c>
      <c r="N24" s="33" t="str">
        <f>IF($C24="","",VLOOKUP($C24,AMABat!$A$10:$BV$140,N$1,FALSE))</f>
        <v/>
      </c>
      <c r="O24" s="33" t="str">
        <f>IF($C24="","",VLOOKUP($C24,AMABat!$A$10:$BV$140,O$1,FALSE))</f>
        <v/>
      </c>
      <c r="P24" s="33" t="str">
        <f>IF($C24="","",VLOOKUP($C24,AMABat!$A$10:$BV$140,P$1,FALSE))</f>
        <v/>
      </c>
      <c r="Q24" s="33" t="str">
        <f>IF($C24="","",VLOOKUP($C24,AMABat!$A$10:$BV$140,Q$1,FALSE))</f>
        <v/>
      </c>
      <c r="R24" s="33" t="str">
        <f>IF($C24="","",VLOOKUP($C24,AMABat!$A$10:$BV$140,R$1,FALSE))</f>
        <v/>
      </c>
      <c r="S24" s="33" t="str">
        <f>IF($C24="","",VLOOKUP($C24,AMABat!$A$10:$BV$140,S$1,FALSE))</f>
        <v/>
      </c>
      <c r="T24" s="35" t="str">
        <f>IF($C24="","",VLOOKUP($C24,AMABat!$A$10:$BV$140,T$1,FALSE))</f>
        <v/>
      </c>
      <c r="U24" s="324" t="str">
        <f t="shared" si="53"/>
        <v/>
      </c>
      <c r="V24" s="324" t="str">
        <f t="shared" si="54"/>
        <v/>
      </c>
      <c r="W24" s="324" t="str">
        <f t="shared" si="55"/>
        <v/>
      </c>
      <c r="X24" s="324" t="str">
        <f t="shared" si="56"/>
        <v/>
      </c>
      <c r="Y24" s="324" t="str">
        <f t="shared" si="57"/>
        <v/>
      </c>
      <c r="Z24" s="324" t="str">
        <f t="shared" si="58"/>
        <v/>
      </c>
      <c r="AA24" s="324" t="str">
        <f t="shared" si="59"/>
        <v/>
      </c>
      <c r="AB24" s="324" t="str">
        <f t="shared" si="60"/>
        <v/>
      </c>
      <c r="AC24" s="325" t="str">
        <f t="shared" si="61"/>
        <v/>
      </c>
      <c r="AD24" s="33" t="str">
        <f>IF($C24="","",VLOOKUP($C24,AMABat!$A$10:$BV$140,AD$1,FALSE))</f>
        <v/>
      </c>
      <c r="AE24" s="33" t="str">
        <f>IF($C24="","",VLOOKUP($C24,AMABat!$A$10:$BV$140,AE$1,FALSE))</f>
        <v/>
      </c>
      <c r="AF24" s="33" t="str">
        <f>IF($C24="","",VLOOKUP($C24,AMABat!$A$10:$BV$140,AF$1,FALSE))</f>
        <v/>
      </c>
      <c r="AG24" s="33" t="str">
        <f>IF($C24="","",VLOOKUP($C24,AMABat!$A$10:$BV$140,AG$1,FALSE))</f>
        <v/>
      </c>
      <c r="AH24" s="33" t="str">
        <f>IF($C24="","",VLOOKUP($C24,AMABat!$A$10:$BV$140,AH$1,FALSE))</f>
        <v/>
      </c>
      <c r="AI24" s="33" t="str">
        <f>IF($C24="","",VLOOKUP($C24,AMABat!$A$10:$BV$140,AI$1,FALSE))</f>
        <v/>
      </c>
      <c r="AJ24" s="35" t="str">
        <f>IF($C24="","",VLOOKUP($C24,AMABat!$A$10:$BV$140,AJ$1,FALSE))</f>
        <v/>
      </c>
      <c r="AK24" s="61" t="str">
        <f t="shared" si="62"/>
        <v/>
      </c>
      <c r="AL24" s="324" t="str">
        <f t="shared" si="63"/>
        <v/>
      </c>
      <c r="AM24" s="324" t="str">
        <f t="shared" si="64"/>
        <v/>
      </c>
      <c r="AN24" s="324" t="str">
        <f t="shared" si="65"/>
        <v/>
      </c>
      <c r="AO24" s="324" t="str">
        <f t="shared" si="66"/>
        <v/>
      </c>
      <c r="AP24" s="324" t="str">
        <f t="shared" si="67"/>
        <v/>
      </c>
      <c r="AQ24" s="324" t="str">
        <f t="shared" si="68"/>
        <v/>
      </c>
      <c r="AR24" s="324" t="str">
        <f t="shared" si="69"/>
        <v/>
      </c>
      <c r="AS24" s="324" t="str">
        <f t="shared" si="70"/>
        <v/>
      </c>
      <c r="AT24" s="325" t="str">
        <f t="shared" si="71"/>
        <v/>
      </c>
      <c r="AU24" s="52" t="str">
        <f>IF($C24="","",VLOOKUP($C24,AMABat!$A$10:$BV$140,AU$1,FALSE))</f>
        <v/>
      </c>
      <c r="AV24" s="33" t="str">
        <f>IF($C24="","",VLOOKUP($C24,AMABat!$A$10:$BV$140,AV$1,FALSE))</f>
        <v/>
      </c>
      <c r="AW24" s="33" t="str">
        <f>IF($C24="","",VLOOKUP($C24,AMABat!$A$10:$BV$140,AW$1,FALSE))</f>
        <v/>
      </c>
      <c r="AX24" s="33" t="str">
        <f>IF($C24="","",VLOOKUP($C24,AMABat!$A$10:$BV$140,AX$1,FALSE))</f>
        <v/>
      </c>
      <c r="AY24" s="35" t="str">
        <f>IF($C24="","",VLOOKUP($C24,AMABat!$A$10:$BV$140,AY$1,FALSE))</f>
        <v/>
      </c>
      <c r="AZ24" s="61" t="str">
        <f t="shared" si="72"/>
        <v/>
      </c>
    </row>
    <row r="26" spans="1:52" s="1" customFormat="1" x14ac:dyDescent="0.25">
      <c r="B26" s="326" t="s">
        <v>347</v>
      </c>
      <c r="C26" s="37" t="s">
        <v>96</v>
      </c>
      <c r="D26" s="37" t="s">
        <v>97</v>
      </c>
      <c r="E26" s="43" t="s">
        <v>80</v>
      </c>
      <c r="F26" s="327" t="s">
        <v>133</v>
      </c>
      <c r="G26" s="327" t="s">
        <v>137</v>
      </c>
      <c r="H26" s="328" t="s">
        <v>135</v>
      </c>
      <c r="I26" s="81" t="s">
        <v>159</v>
      </c>
      <c r="J26" s="326" t="s">
        <v>71</v>
      </c>
      <c r="K26" s="327" t="s">
        <v>123</v>
      </c>
      <c r="L26" s="327" t="s">
        <v>124</v>
      </c>
      <c r="M26" s="327" t="s">
        <v>180</v>
      </c>
      <c r="N26" s="327" t="s">
        <v>72</v>
      </c>
      <c r="O26" s="326" t="s">
        <v>181</v>
      </c>
      <c r="P26" s="328" t="s">
        <v>182</v>
      </c>
      <c r="Q26" s="326" t="s">
        <v>190</v>
      </c>
      <c r="R26" s="80" t="s">
        <v>203</v>
      </c>
      <c r="T26" s="326" t="s">
        <v>97</v>
      </c>
      <c r="U26" s="326" t="s">
        <v>191</v>
      </c>
      <c r="V26" s="328" t="s">
        <v>204</v>
      </c>
      <c r="W26" s="327" t="s">
        <v>190</v>
      </c>
      <c r="X26" s="328" t="s">
        <v>203</v>
      </c>
      <c r="Z26" s="1" t="s">
        <v>336</v>
      </c>
      <c r="AG26" s="400" t="s">
        <v>346</v>
      </c>
      <c r="AH26" s="401"/>
      <c r="AI26" s="401"/>
      <c r="AJ26" s="401"/>
      <c r="AK26" s="401"/>
      <c r="AL26" s="401"/>
      <c r="AM26" s="401"/>
      <c r="AN26" s="401"/>
      <c r="AO26" s="401"/>
      <c r="AP26" s="401"/>
      <c r="AQ26" s="401"/>
      <c r="AR26" s="401"/>
      <c r="AS26" s="401"/>
      <c r="AT26" s="402"/>
    </row>
    <row r="27" spans="1:52" x14ac:dyDescent="0.25">
      <c r="B27" s="29">
        <v>1</v>
      </c>
      <c r="C27" s="50"/>
      <c r="D27" s="26" t="s">
        <v>79</v>
      </c>
      <c r="E27" s="31" t="str">
        <f t="shared" ref="E27" si="73">IF($C27="","",VLOOKUP($C27,$C$3:$AK$24,$E$1-2,FALSE))</f>
        <v/>
      </c>
      <c r="F27" s="322" t="str">
        <f t="shared" ref="F27:F35" si="74">IF($C27="","",VLOOKUP($C27,$C$3:$AK$24,18+$B27,FALSE))</f>
        <v/>
      </c>
      <c r="G27" s="322" t="str">
        <f>IF($C27="","",IF(VLOOKUP($C27,$C$3:$AK$24,18+3,FALSE)=1,3,IF(VLOOKUP($C27,$C$3:$AK$24,18+4,FALSE)=1,4,IF(VLOOKUP($C27,$C$3:$AK$24,18+1,FALSE)=1,1,IF(VLOOKUP($C27,$C$3:$AK$24,18+5,FALSE)=1,5,IF(VLOOKUP($C27,$C$3:$AK$24,18+2,FALSE)=1,2,IF(VLOOKUP($C27,$C$3:$AK$24,18+6,FALSE)=1,6,IF(VLOOKUP($C27,$C$3:$AK$24,18+7,FALSE)=1,7,IF(VLOOKUP($C27,$C$3:$AK$24,18+8,FALSE)=1,8,9)))))))))</f>
        <v/>
      </c>
      <c r="H27" s="8" t="str">
        <f>IF($C27="","",VLOOKUP($C27,$C$3:$AK$24,35,FALSE))</f>
        <v/>
      </c>
      <c r="I27" s="82">
        <v>3</v>
      </c>
      <c r="J27" s="321" t="str">
        <f>IF($C27="","",VLOOKUP($C27,$C$3:$AZ$24,17+AD$1,FALSE))</f>
        <v/>
      </c>
      <c r="K27" s="322" t="str">
        <f t="shared" ref="K27:N34" si="75">IF($C27="","",VLOOKUP($C27,$C$3:$AZ$24,17+AE$1,FALSE))</f>
        <v/>
      </c>
      <c r="L27" s="322" t="str">
        <f t="shared" si="75"/>
        <v/>
      </c>
      <c r="M27" s="322" t="str">
        <f t="shared" si="75"/>
        <v/>
      </c>
      <c r="N27" s="322" t="str">
        <f t="shared" si="75"/>
        <v/>
      </c>
      <c r="O27" s="321" t="str">
        <f t="shared" ref="O27:P35" si="76">IF($C27="","",VLOOKUP($C27,$C$3:$AZ$24,1+AI$1,FALSE))</f>
        <v/>
      </c>
      <c r="P27" s="323" t="str">
        <f t="shared" si="76"/>
        <v/>
      </c>
      <c r="Q27" s="107" t="str">
        <f t="shared" ref="Q27:Q35" si="77">IF($C27="","",IF($D27="DH","-",VLOOKUP($C27,$C$2:$AZ$24,9+VLOOKUP($D27,$T$26:$U$34,2,FALSE),FALSE)))</f>
        <v/>
      </c>
      <c r="R27" s="94" t="str">
        <f t="shared" ref="R27:R35" si="78">IF($C27="","",IF($D27="DH","-",VLOOKUP($C27,$C$2:$AZ$24,VLOOKUP($D27,$T$26:$V$34,3,FALSE),FALSE)))</f>
        <v/>
      </c>
      <c r="T27" s="321" t="s">
        <v>71</v>
      </c>
      <c r="U27" s="321">
        <v>2</v>
      </c>
      <c r="V27" s="323">
        <v>8</v>
      </c>
      <c r="W27" s="322" t="str">
        <f>VLOOKUP($T27,$D$26:$R$35,14,FALSE)</f>
        <v/>
      </c>
      <c r="X27" s="323" t="str">
        <f>VLOOKUP($T27,$D$26:$R$35,15,FALSE)</f>
        <v/>
      </c>
      <c r="Z27" s="305" t="s">
        <v>337</v>
      </c>
      <c r="AA27" s="305">
        <v>1</v>
      </c>
      <c r="AG27" s="192">
        <v>1</v>
      </c>
      <c r="AH27" s="406" t="s">
        <v>362</v>
      </c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7"/>
      <c r="AU27" s="305" t="s">
        <v>366</v>
      </c>
    </row>
    <row r="28" spans="1:52" x14ac:dyDescent="0.25">
      <c r="B28" s="29">
        <v>2</v>
      </c>
      <c r="C28" s="51"/>
      <c r="D28" s="30" t="s">
        <v>76</v>
      </c>
      <c r="E28" s="31" t="str">
        <f>IF($C28="","",VLOOKUP($C28,$C$3:$AK$24,$E$1-2,FALSE))</f>
        <v/>
      </c>
      <c r="F28" s="322" t="str">
        <f t="shared" si="74"/>
        <v/>
      </c>
      <c r="G28" s="322" t="str">
        <f t="shared" ref="G28:G35" si="79">IF($C28="","",IF(VLOOKUP($C28,$C$3:$AK$24,18+3,FALSE)=1,3,IF(VLOOKUP($C28,$C$3:$AK$24,18+4,FALSE)=1,4,IF(VLOOKUP($C28,$C$3:$AK$24,18+1,FALSE)=1,1,IF(VLOOKUP($C28,$C$3:$AK$24,18+5,FALSE)=1,5,IF(VLOOKUP($C28,$C$3:$AK$24,18+2,FALSE)=1,2,IF(VLOOKUP($C28,$C$3:$AK$24,18+6,FALSE)=1,6,IF(VLOOKUP($C28,$C$3:$AK$24,18+7,FALSE)=1,7,IF(VLOOKUP($C28,$C$3:$AK$24,18+8,FALSE)=1,8,9)))))))))</f>
        <v/>
      </c>
      <c r="H28" s="8" t="str">
        <f t="shared" ref="H28:H35" si="80">IF($C28="","",VLOOKUP($C28,$C$3:$AK$24,35,FALSE))</f>
        <v/>
      </c>
      <c r="I28" s="82">
        <v>5</v>
      </c>
      <c r="J28" s="321" t="str">
        <f t="shared" ref="J28:J34" si="81">IF($C28="","",VLOOKUP($C28,$C$3:$AZ$24,17+AD$1,FALSE))</f>
        <v/>
      </c>
      <c r="K28" s="322" t="str">
        <f t="shared" si="75"/>
        <v/>
      </c>
      <c r="L28" s="322" t="str">
        <f t="shared" si="75"/>
        <v/>
      </c>
      <c r="M28" s="322" t="str">
        <f t="shared" si="75"/>
        <v/>
      </c>
      <c r="N28" s="322" t="str">
        <f t="shared" si="75"/>
        <v/>
      </c>
      <c r="O28" s="321" t="str">
        <f t="shared" si="76"/>
        <v/>
      </c>
      <c r="P28" s="323" t="str">
        <f t="shared" si="76"/>
        <v/>
      </c>
      <c r="Q28" s="108" t="str">
        <f t="shared" si="77"/>
        <v/>
      </c>
      <c r="R28" s="94" t="str">
        <f t="shared" si="78"/>
        <v/>
      </c>
      <c r="T28" s="321" t="s">
        <v>73</v>
      </c>
      <c r="U28" s="321">
        <v>3</v>
      </c>
      <c r="V28" s="323">
        <v>9</v>
      </c>
      <c r="W28" s="322" t="str">
        <f t="shared" ref="W28:W34" si="82">VLOOKUP($T28,$D$26:$R$35,14,FALSE)</f>
        <v/>
      </c>
      <c r="X28" s="323" t="str">
        <f t="shared" ref="X28:X34" si="83">VLOOKUP($T28,$D$26:$R$35,15,FALSE)</f>
        <v/>
      </c>
      <c r="Z28" s="305" t="s">
        <v>338</v>
      </c>
      <c r="AA28" s="305">
        <v>3</v>
      </c>
      <c r="AG28" s="70">
        <v>2</v>
      </c>
      <c r="AH28" s="396" t="s">
        <v>363</v>
      </c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7"/>
      <c r="AU28" s="305" t="s">
        <v>370</v>
      </c>
    </row>
    <row r="29" spans="1:52" x14ac:dyDescent="0.25">
      <c r="B29" s="29">
        <v>3</v>
      </c>
      <c r="C29" s="51"/>
      <c r="D29" s="58" t="s">
        <v>73</v>
      </c>
      <c r="E29" s="31" t="str">
        <f t="shared" ref="E29:E35" si="84">IF($C29="","",VLOOKUP($C29,$C$3:$AK$24,$E$1-2,FALSE))</f>
        <v/>
      </c>
      <c r="F29" s="322" t="str">
        <f t="shared" si="74"/>
        <v/>
      </c>
      <c r="G29" s="322" t="str">
        <f t="shared" si="79"/>
        <v/>
      </c>
      <c r="H29" s="8" t="str">
        <f t="shared" si="80"/>
        <v/>
      </c>
      <c r="I29" s="82">
        <v>1</v>
      </c>
      <c r="J29" s="321" t="str">
        <f t="shared" si="81"/>
        <v/>
      </c>
      <c r="K29" s="322" t="str">
        <f t="shared" si="75"/>
        <v/>
      </c>
      <c r="L29" s="322" t="str">
        <f t="shared" si="75"/>
        <v/>
      </c>
      <c r="M29" s="322" t="str">
        <f t="shared" si="75"/>
        <v/>
      </c>
      <c r="N29" s="322" t="str">
        <f t="shared" si="75"/>
        <v/>
      </c>
      <c r="O29" s="321" t="str">
        <f t="shared" si="76"/>
        <v/>
      </c>
      <c r="P29" s="323" t="str">
        <f t="shared" si="76"/>
        <v/>
      </c>
      <c r="Q29" s="108" t="str">
        <f t="shared" si="77"/>
        <v/>
      </c>
      <c r="R29" s="94" t="str">
        <f t="shared" si="78"/>
        <v/>
      </c>
      <c r="T29" s="321" t="s">
        <v>74</v>
      </c>
      <c r="U29" s="321">
        <v>4</v>
      </c>
      <c r="V29" s="323">
        <v>9</v>
      </c>
      <c r="W29" s="322" t="e">
        <f t="shared" si="82"/>
        <v>#N/A</v>
      </c>
      <c r="X29" s="323" t="e">
        <f t="shared" si="83"/>
        <v>#N/A</v>
      </c>
      <c r="Z29" s="305" t="s">
        <v>341</v>
      </c>
      <c r="AA29" s="305">
        <v>5</v>
      </c>
      <c r="AG29" s="70">
        <v>3</v>
      </c>
      <c r="AH29" s="406" t="s">
        <v>369</v>
      </c>
      <c r="AI29" s="406"/>
      <c r="AJ29" s="406"/>
      <c r="AK29" s="406"/>
      <c r="AL29" s="406"/>
      <c r="AM29" s="406"/>
      <c r="AN29" s="406"/>
      <c r="AO29" s="406"/>
      <c r="AP29" s="406"/>
      <c r="AQ29" s="406"/>
      <c r="AR29" s="406"/>
      <c r="AS29" s="406"/>
      <c r="AT29" s="407"/>
      <c r="AU29" s="305" t="s">
        <v>383</v>
      </c>
    </row>
    <row r="30" spans="1:52" x14ac:dyDescent="0.25">
      <c r="B30" s="29">
        <v>4</v>
      </c>
      <c r="C30" s="51"/>
      <c r="D30" s="58" t="s">
        <v>78</v>
      </c>
      <c r="E30" s="31" t="str">
        <f t="shared" si="84"/>
        <v/>
      </c>
      <c r="F30" s="322" t="str">
        <f t="shared" si="74"/>
        <v/>
      </c>
      <c r="G30" s="322" t="str">
        <f t="shared" si="79"/>
        <v/>
      </c>
      <c r="H30" s="8" t="str">
        <f t="shared" si="80"/>
        <v/>
      </c>
      <c r="I30" s="82">
        <v>2</v>
      </c>
      <c r="J30" s="321" t="str">
        <f t="shared" si="81"/>
        <v/>
      </c>
      <c r="K30" s="322" t="str">
        <f t="shared" si="75"/>
        <v/>
      </c>
      <c r="L30" s="322" t="str">
        <f t="shared" si="75"/>
        <v/>
      </c>
      <c r="M30" s="322" t="str">
        <f t="shared" si="75"/>
        <v/>
      </c>
      <c r="N30" s="322" t="str">
        <f t="shared" si="75"/>
        <v/>
      </c>
      <c r="O30" s="321" t="str">
        <f t="shared" si="76"/>
        <v/>
      </c>
      <c r="P30" s="323" t="str">
        <f t="shared" si="76"/>
        <v/>
      </c>
      <c r="Q30" s="108" t="str">
        <f t="shared" si="77"/>
        <v/>
      </c>
      <c r="R30" s="94" t="str">
        <f t="shared" si="78"/>
        <v/>
      </c>
      <c r="T30" s="321" t="s">
        <v>75</v>
      </c>
      <c r="U30" s="321">
        <v>5</v>
      </c>
      <c r="V30" s="323">
        <v>9</v>
      </c>
      <c r="W30" s="322" t="str">
        <f t="shared" si="82"/>
        <v/>
      </c>
      <c r="X30" s="323" t="str">
        <f t="shared" si="83"/>
        <v/>
      </c>
      <c r="Z30" s="305" t="s">
        <v>340</v>
      </c>
      <c r="AA30" s="305">
        <v>2</v>
      </c>
      <c r="AG30" s="70">
        <v>4</v>
      </c>
      <c r="AH30" s="406" t="s">
        <v>368</v>
      </c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7"/>
      <c r="AU30" s="305" t="s">
        <v>373</v>
      </c>
    </row>
    <row r="31" spans="1:52" x14ac:dyDescent="0.25">
      <c r="B31" s="29">
        <v>5</v>
      </c>
      <c r="C31" s="51"/>
      <c r="D31" s="58" t="s">
        <v>79</v>
      </c>
      <c r="E31" s="31" t="str">
        <f t="shared" si="84"/>
        <v/>
      </c>
      <c r="F31" s="322" t="str">
        <f t="shared" si="74"/>
        <v/>
      </c>
      <c r="G31" s="322" t="str">
        <f t="shared" si="79"/>
        <v/>
      </c>
      <c r="H31" s="8" t="str">
        <f t="shared" si="80"/>
        <v/>
      </c>
      <c r="I31" s="82">
        <v>4</v>
      </c>
      <c r="J31" s="321" t="str">
        <f t="shared" si="81"/>
        <v/>
      </c>
      <c r="K31" s="322" t="str">
        <f t="shared" si="75"/>
        <v/>
      </c>
      <c r="L31" s="322" t="str">
        <f t="shared" si="75"/>
        <v/>
      </c>
      <c r="M31" s="322" t="str">
        <f t="shared" si="75"/>
        <v/>
      </c>
      <c r="N31" s="322" t="str">
        <f t="shared" si="75"/>
        <v/>
      </c>
      <c r="O31" s="321" t="str">
        <f t="shared" si="76"/>
        <v/>
      </c>
      <c r="P31" s="323" t="str">
        <f t="shared" si="76"/>
        <v/>
      </c>
      <c r="Q31" s="108" t="str">
        <f t="shared" si="77"/>
        <v/>
      </c>
      <c r="R31" s="94" t="str">
        <f t="shared" si="78"/>
        <v/>
      </c>
      <c r="T31" s="321" t="s">
        <v>76</v>
      </c>
      <c r="U31" s="321">
        <v>6</v>
      </c>
      <c r="V31" s="323">
        <v>9</v>
      </c>
      <c r="W31" s="322" t="str">
        <f t="shared" si="82"/>
        <v/>
      </c>
      <c r="X31" s="323" t="str">
        <f t="shared" si="83"/>
        <v/>
      </c>
      <c r="Z31" s="305" t="s">
        <v>339</v>
      </c>
      <c r="AA31" s="305">
        <v>4</v>
      </c>
      <c r="AG31" s="70">
        <v>5</v>
      </c>
      <c r="AH31" s="408" t="s">
        <v>361</v>
      </c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10"/>
    </row>
    <row r="32" spans="1:52" x14ac:dyDescent="0.25">
      <c r="B32" s="29">
        <v>6</v>
      </c>
      <c r="C32" s="51"/>
      <c r="D32" s="58" t="s">
        <v>75</v>
      </c>
      <c r="E32" s="31" t="str">
        <f t="shared" si="84"/>
        <v/>
      </c>
      <c r="F32" s="322" t="str">
        <f t="shared" si="74"/>
        <v/>
      </c>
      <c r="G32" s="322" t="str">
        <f t="shared" si="79"/>
        <v/>
      </c>
      <c r="H32" s="8" t="str">
        <f t="shared" si="80"/>
        <v/>
      </c>
      <c r="I32" s="82">
        <v>6</v>
      </c>
      <c r="J32" s="321" t="str">
        <f t="shared" si="81"/>
        <v/>
      </c>
      <c r="K32" s="322" t="str">
        <f t="shared" si="75"/>
        <v/>
      </c>
      <c r="L32" s="322" t="str">
        <f t="shared" si="75"/>
        <v/>
      </c>
      <c r="M32" s="322" t="str">
        <f t="shared" si="75"/>
        <v/>
      </c>
      <c r="N32" s="322" t="str">
        <f t="shared" si="75"/>
        <v/>
      </c>
      <c r="O32" s="321" t="str">
        <f t="shared" si="76"/>
        <v/>
      </c>
      <c r="P32" s="323" t="str">
        <f t="shared" si="76"/>
        <v/>
      </c>
      <c r="Q32" s="108" t="str">
        <f t="shared" si="77"/>
        <v/>
      </c>
      <c r="R32" s="94" t="str">
        <f t="shared" si="78"/>
        <v/>
      </c>
      <c r="T32" s="321" t="s">
        <v>77</v>
      </c>
      <c r="U32" s="321">
        <v>7</v>
      </c>
      <c r="V32" s="323">
        <v>10</v>
      </c>
      <c r="W32" s="322" t="str">
        <f t="shared" si="82"/>
        <v/>
      </c>
      <c r="X32" s="323" t="str">
        <f t="shared" si="83"/>
        <v/>
      </c>
      <c r="Z32" s="305" t="s">
        <v>343</v>
      </c>
      <c r="AA32" s="305">
        <v>6</v>
      </c>
      <c r="AG32" s="70">
        <v>6</v>
      </c>
      <c r="AH32" s="411" t="s">
        <v>364</v>
      </c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7"/>
      <c r="AU32" s="305" t="s">
        <v>376</v>
      </c>
    </row>
    <row r="33" spans="2:47" x14ac:dyDescent="0.25">
      <c r="B33" s="29">
        <v>7</v>
      </c>
      <c r="C33" s="51"/>
      <c r="D33" s="58" t="s">
        <v>71</v>
      </c>
      <c r="E33" s="31" t="str">
        <f t="shared" si="84"/>
        <v/>
      </c>
      <c r="F33" s="322" t="str">
        <f t="shared" si="74"/>
        <v/>
      </c>
      <c r="G33" s="322" t="str">
        <f t="shared" si="79"/>
        <v/>
      </c>
      <c r="H33" s="8" t="str">
        <f t="shared" si="80"/>
        <v/>
      </c>
      <c r="I33" s="82">
        <v>7</v>
      </c>
      <c r="J33" s="321" t="str">
        <f t="shared" si="81"/>
        <v/>
      </c>
      <c r="K33" s="322" t="str">
        <f t="shared" si="75"/>
        <v/>
      </c>
      <c r="L33" s="322" t="str">
        <f t="shared" si="75"/>
        <v/>
      </c>
      <c r="M33" s="322" t="str">
        <f t="shared" si="75"/>
        <v/>
      </c>
      <c r="N33" s="322" t="str">
        <f t="shared" si="75"/>
        <v/>
      </c>
      <c r="O33" s="321" t="str">
        <f t="shared" si="76"/>
        <v/>
      </c>
      <c r="P33" s="323" t="str">
        <f t="shared" si="76"/>
        <v/>
      </c>
      <c r="Q33" s="108" t="str">
        <f t="shared" si="77"/>
        <v/>
      </c>
      <c r="R33" s="94" t="str">
        <f t="shared" si="78"/>
        <v/>
      </c>
      <c r="T33" s="321" t="s">
        <v>78</v>
      </c>
      <c r="U33" s="321">
        <v>8</v>
      </c>
      <c r="V33" s="323">
        <v>10</v>
      </c>
      <c r="W33" s="322" t="str">
        <f t="shared" si="82"/>
        <v/>
      </c>
      <c r="X33" s="323" t="str">
        <f t="shared" si="83"/>
        <v/>
      </c>
      <c r="Z33" s="305" t="s">
        <v>344</v>
      </c>
      <c r="AA33" s="305">
        <v>7</v>
      </c>
      <c r="AG33" s="70">
        <v>7</v>
      </c>
      <c r="AH33" s="411" t="s">
        <v>365</v>
      </c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7"/>
      <c r="AU33" s="305" t="s">
        <v>367</v>
      </c>
    </row>
    <row r="34" spans="2:47" x14ac:dyDescent="0.25">
      <c r="B34" s="29">
        <v>8</v>
      </c>
      <c r="C34" s="51"/>
      <c r="D34" s="58" t="s">
        <v>77</v>
      </c>
      <c r="E34" s="31" t="str">
        <f t="shared" si="84"/>
        <v/>
      </c>
      <c r="F34" s="322" t="str">
        <f t="shared" si="74"/>
        <v/>
      </c>
      <c r="G34" s="322" t="str">
        <f t="shared" si="79"/>
        <v/>
      </c>
      <c r="H34" s="8" t="str">
        <f t="shared" si="80"/>
        <v/>
      </c>
      <c r="I34" s="82">
        <v>8</v>
      </c>
      <c r="J34" s="321" t="str">
        <f t="shared" si="81"/>
        <v/>
      </c>
      <c r="K34" s="322" t="str">
        <f t="shared" si="75"/>
        <v/>
      </c>
      <c r="L34" s="322" t="str">
        <f t="shared" si="75"/>
        <v/>
      </c>
      <c r="M34" s="322" t="str">
        <f t="shared" si="75"/>
        <v/>
      </c>
      <c r="N34" s="322" t="str">
        <f t="shared" si="75"/>
        <v/>
      </c>
      <c r="O34" s="321" t="str">
        <f t="shared" si="76"/>
        <v/>
      </c>
      <c r="P34" s="323" t="str">
        <f t="shared" si="76"/>
        <v/>
      </c>
      <c r="Q34" s="108" t="str">
        <f t="shared" si="77"/>
        <v/>
      </c>
      <c r="R34" s="94" t="str">
        <f t="shared" si="78"/>
        <v/>
      </c>
      <c r="T34" s="47" t="s">
        <v>79</v>
      </c>
      <c r="U34" s="47">
        <v>9</v>
      </c>
      <c r="V34" s="325">
        <v>10</v>
      </c>
      <c r="W34" s="324" t="str">
        <f t="shared" si="82"/>
        <v/>
      </c>
      <c r="X34" s="325" t="str">
        <f t="shared" si="83"/>
        <v/>
      </c>
      <c r="Z34" s="305" t="s">
        <v>345</v>
      </c>
      <c r="AA34" s="305">
        <v>8</v>
      </c>
      <c r="AG34" s="70">
        <v>8</v>
      </c>
      <c r="AH34" s="412" t="s">
        <v>374</v>
      </c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305" t="s">
        <v>375</v>
      </c>
    </row>
    <row r="35" spans="2:47" x14ac:dyDescent="0.25">
      <c r="B35" s="32">
        <v>9</v>
      </c>
      <c r="C35" s="52" t="s">
        <v>459</v>
      </c>
      <c r="D35" s="33" t="s">
        <v>74</v>
      </c>
      <c r="E35" s="35" t="e">
        <f t="shared" si="84"/>
        <v>#N/A</v>
      </c>
      <c r="F35" s="324" t="e">
        <f t="shared" si="74"/>
        <v>#N/A</v>
      </c>
      <c r="G35" s="324" t="e">
        <f t="shared" si="79"/>
        <v>#N/A</v>
      </c>
      <c r="H35" s="62" t="e">
        <f t="shared" si="80"/>
        <v>#N/A</v>
      </c>
      <c r="I35" s="83">
        <v>9</v>
      </c>
      <c r="J35" s="47" t="e">
        <f>IF($C35="","",VLOOKUP($C35,AMABat!$A$10:$BV$140,AU$1,FALSE))</f>
        <v>#N/A</v>
      </c>
      <c r="K35" s="324" t="e">
        <f>IF($C35="","",VLOOKUP($C35,AMABat!$A$10:$BV$140,AV$1,FALSE))</f>
        <v>#N/A</v>
      </c>
      <c r="L35" s="324" t="e">
        <f>IF($C35="","",VLOOKUP($C35,AMABat!$A$10:$BV$140,AW$1,FALSE))</f>
        <v>#N/A</v>
      </c>
      <c r="M35" s="324" t="e">
        <f>IF($C35="","",VLOOKUP($C35,AMABat!$A$10:$BV$140,AX$1,FALSE))</f>
        <v>#N/A</v>
      </c>
      <c r="N35" s="324" t="e">
        <f>IF($C35="","",VLOOKUP($C35,AMABat!$A$10:$BV$140,AY$1,FALSE))</f>
        <v>#N/A</v>
      </c>
      <c r="O35" s="47" t="e">
        <f t="shared" si="76"/>
        <v>#N/A</v>
      </c>
      <c r="P35" s="325" t="e">
        <f t="shared" si="76"/>
        <v>#N/A</v>
      </c>
      <c r="Q35" s="109" t="e">
        <f t="shared" si="77"/>
        <v>#N/A</v>
      </c>
      <c r="R35" s="95" t="e">
        <f t="shared" si="78"/>
        <v>#N/A</v>
      </c>
      <c r="Z35" s="305" t="s">
        <v>342</v>
      </c>
      <c r="AA35" s="305">
        <v>9</v>
      </c>
      <c r="AG35" s="70">
        <v>9</v>
      </c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7"/>
    </row>
    <row r="36" spans="2:47" x14ac:dyDescent="0.25">
      <c r="B36" s="4"/>
      <c r="C36" s="30"/>
      <c r="D36" s="30"/>
      <c r="E36" s="30"/>
      <c r="F36" s="322"/>
      <c r="G36" s="322"/>
      <c r="H36" s="9"/>
      <c r="AG36" s="71">
        <v>10</v>
      </c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9"/>
    </row>
    <row r="37" spans="2:47" s="1" customFormat="1" x14ac:dyDescent="0.25">
      <c r="B37" s="326" t="s">
        <v>348</v>
      </c>
      <c r="C37" s="37" t="s">
        <v>96</v>
      </c>
      <c r="D37" s="37" t="s">
        <v>97</v>
      </c>
      <c r="E37" s="43" t="s">
        <v>80</v>
      </c>
      <c r="F37" s="327" t="s">
        <v>133</v>
      </c>
      <c r="G37" s="327" t="s">
        <v>137</v>
      </c>
      <c r="H37" s="328" t="s">
        <v>135</v>
      </c>
      <c r="I37" s="81" t="s">
        <v>159</v>
      </c>
      <c r="J37" s="326" t="s">
        <v>71</v>
      </c>
      <c r="K37" s="327" t="s">
        <v>123</v>
      </c>
      <c r="L37" s="327" t="s">
        <v>124</v>
      </c>
      <c r="M37" s="327" t="s">
        <v>180</v>
      </c>
      <c r="N37" s="327" t="s">
        <v>72</v>
      </c>
      <c r="O37" s="326" t="s">
        <v>181</v>
      </c>
      <c r="P37" s="328" t="s">
        <v>182</v>
      </c>
      <c r="Q37" s="326" t="s">
        <v>190</v>
      </c>
      <c r="R37" s="80" t="s">
        <v>203</v>
      </c>
      <c r="T37" s="326" t="s">
        <v>97</v>
      </c>
      <c r="U37" s="326" t="s">
        <v>191</v>
      </c>
      <c r="V37" s="328" t="s">
        <v>204</v>
      </c>
      <c r="W37" s="327" t="s">
        <v>190</v>
      </c>
      <c r="X37" s="328" t="s">
        <v>203</v>
      </c>
      <c r="Z37" s="1" t="s">
        <v>336</v>
      </c>
    </row>
    <row r="38" spans="2:47" x14ac:dyDescent="0.25">
      <c r="B38" s="29">
        <v>1</v>
      </c>
      <c r="C38" s="50"/>
      <c r="D38" s="26" t="s">
        <v>79</v>
      </c>
      <c r="E38" s="31" t="str">
        <f t="shared" ref="E38" si="85">IF($C38="","",VLOOKUP($C38,$C$3:$AK$24,$E$1-2,FALSE))</f>
        <v/>
      </c>
      <c r="F38" s="322" t="str">
        <f t="shared" ref="F38:F46" si="86">IF($C38="","",VLOOKUP($C38,$C$3:$AK$24,18+$B38,FALSE))</f>
        <v/>
      </c>
      <c r="G38" s="322" t="str">
        <f>IF($C38="","",IF(VLOOKUP($C38,$C$3:$AK$24,18+3,FALSE)=1,3,IF(VLOOKUP($C38,$C$3:$AK$24,18+4,FALSE)=1,4,IF(VLOOKUP($C38,$C$3:$AK$24,18+1,FALSE)=1,1,IF(VLOOKUP($C38,$C$3:$AK$24,18+5,FALSE)=1,5,IF(VLOOKUP($C38,$C$3:$AK$24,18+2,FALSE)=1,2,IF(VLOOKUP($C38,$C$3:$AK$24,18+6,FALSE)=1,6,IF(VLOOKUP($C38,$C$3:$AK$24,18+7,FALSE)=1,7,IF(VLOOKUP($C38,$C$3:$AK$24,18+8,FALSE)=1,8,9)))))))))</f>
        <v/>
      </c>
      <c r="H38" s="8" t="str">
        <f>IF($C38="","",VLOOKUP($C38,$C$3:$AK$24,35,FALSE))</f>
        <v/>
      </c>
      <c r="I38" s="82">
        <v>3</v>
      </c>
      <c r="J38" s="321" t="str">
        <f>IF($C38="","",VLOOKUP($C38,$C$3:$AZ$24,17+AD$1,FALSE))</f>
        <v/>
      </c>
      <c r="K38" s="322" t="str">
        <f t="shared" ref="K38:N46" si="87">IF($C38="","",VLOOKUP($C38,$C$3:$AZ$24,17+AE$1,FALSE))</f>
        <v/>
      </c>
      <c r="L38" s="322" t="str">
        <f t="shared" si="87"/>
        <v/>
      </c>
      <c r="M38" s="322" t="str">
        <f t="shared" si="87"/>
        <v/>
      </c>
      <c r="N38" s="322" t="str">
        <f t="shared" si="87"/>
        <v/>
      </c>
      <c r="O38" s="321" t="str">
        <f t="shared" ref="O38:P46" si="88">IF($C38="","",VLOOKUP($C38,$C$3:$AZ$24,1+AI$1,FALSE))</f>
        <v/>
      </c>
      <c r="P38" s="323" t="str">
        <f t="shared" si="88"/>
        <v/>
      </c>
      <c r="Q38" s="107" t="str">
        <f t="shared" ref="Q38:Q46" si="89">IF($C38="","",IF($D38="DH","-",VLOOKUP($C38,$C$2:$AZ$24,9+VLOOKUP($D38,$T$26:$U$34,2,FALSE),FALSE)))</f>
        <v/>
      </c>
      <c r="R38" s="94" t="str">
        <f t="shared" ref="R38:R46" si="90">IF($C38="","",IF($D38="DH","-",VLOOKUP($C38,$C$2:$AZ$24,VLOOKUP($D38,$T$26:$V$34,3,FALSE),FALSE)))</f>
        <v/>
      </c>
      <c r="T38" s="321" t="s">
        <v>71</v>
      </c>
      <c r="U38" s="321">
        <v>2</v>
      </c>
      <c r="V38" s="323">
        <v>8</v>
      </c>
      <c r="W38" s="322" t="str">
        <f>VLOOKUP($T38,$D$37:$R$46,14,FALSE)</f>
        <v/>
      </c>
      <c r="X38" s="323" t="str">
        <f>VLOOKUP($T38,$D$37:$R$46,15,FALSE)</f>
        <v/>
      </c>
      <c r="Z38" s="305" t="s">
        <v>337</v>
      </c>
      <c r="AA38" s="305">
        <v>1</v>
      </c>
      <c r="AG38" s="400" t="s">
        <v>384</v>
      </c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2"/>
    </row>
    <row r="39" spans="2:47" x14ac:dyDescent="0.25">
      <c r="B39" s="29">
        <v>2</v>
      </c>
      <c r="C39" s="51"/>
      <c r="D39" s="30" t="s">
        <v>78</v>
      </c>
      <c r="E39" s="31" t="str">
        <f>IF($C39="","",VLOOKUP($C39,$C$3:$AK$24,$E$1-2,FALSE))</f>
        <v/>
      </c>
      <c r="F39" s="322" t="str">
        <f t="shared" si="86"/>
        <v/>
      </c>
      <c r="G39" s="322" t="str">
        <f t="shared" ref="G39:G46" si="91">IF($C39="","",IF(VLOOKUP($C39,$C$3:$AK$24,18+3,FALSE)=1,3,IF(VLOOKUP($C39,$C$3:$AK$24,18+4,FALSE)=1,4,IF(VLOOKUP($C39,$C$3:$AK$24,18+1,FALSE)=1,1,IF(VLOOKUP($C39,$C$3:$AK$24,18+5,FALSE)=1,5,IF(VLOOKUP($C39,$C$3:$AK$24,18+2,FALSE)=1,2,IF(VLOOKUP($C39,$C$3:$AK$24,18+6,FALSE)=1,6,IF(VLOOKUP($C39,$C$3:$AK$24,18+7,FALSE)=1,7,IF(VLOOKUP($C39,$C$3:$AK$24,18+8,FALSE)=1,8,9)))))))))</f>
        <v/>
      </c>
      <c r="H39" s="8" t="str">
        <f t="shared" ref="H39:H46" si="92">IF($C39="","",VLOOKUP($C39,$C$3:$AK$24,35,FALSE))</f>
        <v/>
      </c>
      <c r="I39" s="82">
        <v>5</v>
      </c>
      <c r="J39" s="321" t="str">
        <f t="shared" ref="J39:J46" si="93">IF($C39="","",VLOOKUP($C39,$C$3:$AZ$24,17+AD$1,FALSE))</f>
        <v/>
      </c>
      <c r="K39" s="322" t="str">
        <f t="shared" si="87"/>
        <v/>
      </c>
      <c r="L39" s="322" t="str">
        <f t="shared" si="87"/>
        <v/>
      </c>
      <c r="M39" s="322" t="str">
        <f t="shared" si="87"/>
        <v/>
      </c>
      <c r="N39" s="322" t="str">
        <f t="shared" si="87"/>
        <v/>
      </c>
      <c r="O39" s="321" t="str">
        <f t="shared" si="88"/>
        <v/>
      </c>
      <c r="P39" s="323" t="str">
        <f t="shared" si="88"/>
        <v/>
      </c>
      <c r="Q39" s="108" t="str">
        <f t="shared" si="89"/>
        <v/>
      </c>
      <c r="R39" s="94" t="str">
        <f t="shared" si="90"/>
        <v/>
      </c>
      <c r="T39" s="321" t="s">
        <v>73</v>
      </c>
      <c r="U39" s="321">
        <v>3</v>
      </c>
      <c r="V39" s="323">
        <v>9</v>
      </c>
      <c r="W39" s="322" t="str">
        <f t="shared" ref="W39:W45" si="94">VLOOKUP($T39,$D$37:$R$46,14,FALSE)</f>
        <v/>
      </c>
      <c r="X39" s="323" t="str">
        <f t="shared" ref="X39:X45" si="95">VLOOKUP($T39,$D$37:$R$46,15,FALSE)</f>
        <v/>
      </c>
      <c r="Z39" s="305" t="s">
        <v>338</v>
      </c>
      <c r="AA39" s="305">
        <v>3</v>
      </c>
      <c r="AG39" s="192">
        <v>1</v>
      </c>
      <c r="AH39" s="396" t="s">
        <v>368</v>
      </c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4"/>
    </row>
    <row r="40" spans="2:47" x14ac:dyDescent="0.25">
      <c r="B40" s="29">
        <v>3</v>
      </c>
      <c r="C40" s="51"/>
      <c r="D40" s="58" t="s">
        <v>73</v>
      </c>
      <c r="E40" s="31" t="str">
        <f t="shared" ref="E40:E46" si="96">IF($C40="","",VLOOKUP($C40,$C$3:$AK$24,$E$1-2,FALSE))</f>
        <v/>
      </c>
      <c r="F40" s="322" t="str">
        <f t="shared" si="86"/>
        <v/>
      </c>
      <c r="G40" s="322" t="str">
        <f t="shared" si="91"/>
        <v/>
      </c>
      <c r="H40" s="8" t="str">
        <f t="shared" si="92"/>
        <v/>
      </c>
      <c r="I40" s="82">
        <v>1</v>
      </c>
      <c r="J40" s="321" t="str">
        <f t="shared" si="93"/>
        <v/>
      </c>
      <c r="K40" s="322" t="str">
        <f t="shared" si="87"/>
        <v/>
      </c>
      <c r="L40" s="322" t="str">
        <f t="shared" si="87"/>
        <v/>
      </c>
      <c r="M40" s="322" t="str">
        <f t="shared" si="87"/>
        <v/>
      </c>
      <c r="N40" s="322" t="str">
        <f t="shared" si="87"/>
        <v/>
      </c>
      <c r="O40" s="321" t="str">
        <f t="shared" si="88"/>
        <v/>
      </c>
      <c r="P40" s="323" t="str">
        <f t="shared" si="88"/>
        <v/>
      </c>
      <c r="Q40" s="108" t="str">
        <f t="shared" si="89"/>
        <v/>
      </c>
      <c r="R40" s="94" t="str">
        <f t="shared" si="90"/>
        <v/>
      </c>
      <c r="T40" s="321" t="s">
        <v>74</v>
      </c>
      <c r="U40" s="321">
        <v>4</v>
      </c>
      <c r="V40" s="323">
        <v>9</v>
      </c>
      <c r="W40" s="322" t="str">
        <f t="shared" si="94"/>
        <v/>
      </c>
      <c r="X40" s="323" t="str">
        <f t="shared" si="95"/>
        <v/>
      </c>
      <c r="Z40" s="305" t="s">
        <v>341</v>
      </c>
      <c r="AA40" s="305">
        <v>5</v>
      </c>
      <c r="AG40" s="70">
        <v>2</v>
      </c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4"/>
    </row>
    <row r="41" spans="2:47" x14ac:dyDescent="0.25">
      <c r="B41" s="29">
        <v>4</v>
      </c>
      <c r="C41" s="51"/>
      <c r="D41" s="58" t="s">
        <v>76</v>
      </c>
      <c r="E41" s="31" t="str">
        <f t="shared" si="96"/>
        <v/>
      </c>
      <c r="F41" s="322" t="str">
        <f t="shared" si="86"/>
        <v/>
      </c>
      <c r="G41" s="322" t="str">
        <f t="shared" si="91"/>
        <v/>
      </c>
      <c r="H41" s="8" t="str">
        <f t="shared" si="92"/>
        <v/>
      </c>
      <c r="I41" s="82">
        <v>2</v>
      </c>
      <c r="J41" s="321" t="str">
        <f t="shared" si="93"/>
        <v/>
      </c>
      <c r="K41" s="322" t="str">
        <f t="shared" si="87"/>
        <v/>
      </c>
      <c r="L41" s="322" t="str">
        <f t="shared" si="87"/>
        <v/>
      </c>
      <c r="M41" s="322" t="str">
        <f t="shared" si="87"/>
        <v/>
      </c>
      <c r="N41" s="322" t="str">
        <f t="shared" si="87"/>
        <v/>
      </c>
      <c r="O41" s="321" t="str">
        <f t="shared" si="88"/>
        <v/>
      </c>
      <c r="P41" s="323" t="str">
        <f t="shared" si="88"/>
        <v/>
      </c>
      <c r="Q41" s="108" t="str">
        <f t="shared" si="89"/>
        <v/>
      </c>
      <c r="R41" s="94" t="str">
        <f t="shared" si="90"/>
        <v/>
      </c>
      <c r="T41" s="321" t="s">
        <v>75</v>
      </c>
      <c r="U41" s="321">
        <v>5</v>
      </c>
      <c r="V41" s="323">
        <v>9</v>
      </c>
      <c r="W41" s="322" t="str">
        <f t="shared" si="94"/>
        <v/>
      </c>
      <c r="X41" s="323" t="str">
        <f t="shared" si="95"/>
        <v/>
      </c>
      <c r="Z41" s="305" t="s">
        <v>340</v>
      </c>
      <c r="AA41" s="305">
        <v>2</v>
      </c>
      <c r="AG41" s="70">
        <v>3</v>
      </c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4"/>
    </row>
    <row r="42" spans="2:47" x14ac:dyDescent="0.25">
      <c r="B42" s="29">
        <v>5</v>
      </c>
      <c r="C42" s="51"/>
      <c r="D42" s="58" t="s">
        <v>71</v>
      </c>
      <c r="E42" s="31" t="str">
        <f t="shared" si="96"/>
        <v/>
      </c>
      <c r="F42" s="322" t="str">
        <f t="shared" si="86"/>
        <v/>
      </c>
      <c r="G42" s="322" t="str">
        <f t="shared" si="91"/>
        <v/>
      </c>
      <c r="H42" s="8" t="str">
        <f t="shared" si="92"/>
        <v/>
      </c>
      <c r="I42" s="82">
        <v>4</v>
      </c>
      <c r="J42" s="321" t="str">
        <f t="shared" si="93"/>
        <v/>
      </c>
      <c r="K42" s="322" t="str">
        <f t="shared" si="87"/>
        <v/>
      </c>
      <c r="L42" s="322" t="str">
        <f t="shared" si="87"/>
        <v/>
      </c>
      <c r="M42" s="322" t="str">
        <f t="shared" si="87"/>
        <v/>
      </c>
      <c r="N42" s="322" t="str">
        <f t="shared" si="87"/>
        <v/>
      </c>
      <c r="O42" s="321" t="str">
        <f t="shared" si="88"/>
        <v/>
      </c>
      <c r="P42" s="323" t="str">
        <f t="shared" si="88"/>
        <v/>
      </c>
      <c r="Q42" s="108" t="str">
        <f t="shared" si="89"/>
        <v/>
      </c>
      <c r="R42" s="94" t="str">
        <f t="shared" si="90"/>
        <v/>
      </c>
      <c r="T42" s="321" t="s">
        <v>76</v>
      </c>
      <c r="U42" s="321">
        <v>6</v>
      </c>
      <c r="V42" s="323">
        <v>9</v>
      </c>
      <c r="W42" s="322" t="str">
        <f t="shared" si="94"/>
        <v/>
      </c>
      <c r="X42" s="323" t="str">
        <f t="shared" si="95"/>
        <v/>
      </c>
      <c r="Z42" s="305" t="s">
        <v>339</v>
      </c>
      <c r="AA42" s="305">
        <v>4</v>
      </c>
      <c r="AG42" s="70">
        <v>4</v>
      </c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4"/>
    </row>
    <row r="43" spans="2:47" x14ac:dyDescent="0.25">
      <c r="B43" s="29">
        <v>6</v>
      </c>
      <c r="C43" s="51"/>
      <c r="D43" s="58" t="s">
        <v>77</v>
      </c>
      <c r="E43" s="31" t="str">
        <f t="shared" si="96"/>
        <v/>
      </c>
      <c r="F43" s="322" t="str">
        <f t="shared" si="86"/>
        <v/>
      </c>
      <c r="G43" s="322" t="str">
        <f t="shared" si="91"/>
        <v/>
      </c>
      <c r="H43" s="8" t="str">
        <f t="shared" si="92"/>
        <v/>
      </c>
      <c r="I43" s="82">
        <v>6</v>
      </c>
      <c r="J43" s="321" t="str">
        <f t="shared" si="93"/>
        <v/>
      </c>
      <c r="K43" s="322" t="str">
        <f t="shared" si="87"/>
        <v/>
      </c>
      <c r="L43" s="322" t="str">
        <f t="shared" si="87"/>
        <v/>
      </c>
      <c r="M43" s="322" t="str">
        <f t="shared" si="87"/>
        <v/>
      </c>
      <c r="N43" s="322" t="str">
        <f t="shared" si="87"/>
        <v/>
      </c>
      <c r="O43" s="321" t="str">
        <f t="shared" si="88"/>
        <v/>
      </c>
      <c r="P43" s="323" t="str">
        <f t="shared" si="88"/>
        <v/>
      </c>
      <c r="Q43" s="108" t="str">
        <f t="shared" si="89"/>
        <v/>
      </c>
      <c r="R43" s="94" t="str">
        <f t="shared" si="90"/>
        <v/>
      </c>
      <c r="T43" s="321" t="s">
        <v>77</v>
      </c>
      <c r="U43" s="321">
        <v>7</v>
      </c>
      <c r="V43" s="323">
        <v>10</v>
      </c>
      <c r="W43" s="322" t="str">
        <f t="shared" si="94"/>
        <v/>
      </c>
      <c r="X43" s="323" t="str">
        <f t="shared" si="95"/>
        <v/>
      </c>
      <c r="Z43" s="305" t="s">
        <v>343</v>
      </c>
      <c r="AA43" s="305">
        <v>6</v>
      </c>
      <c r="AG43" s="70">
        <v>5</v>
      </c>
      <c r="AH43" s="403"/>
      <c r="AI43" s="404"/>
      <c r="AJ43" s="404"/>
      <c r="AK43" s="404"/>
      <c r="AL43" s="404"/>
      <c r="AM43" s="404"/>
      <c r="AN43" s="404"/>
      <c r="AO43" s="404"/>
      <c r="AP43" s="404"/>
      <c r="AQ43" s="404"/>
      <c r="AR43" s="404"/>
      <c r="AS43" s="404"/>
      <c r="AT43" s="405"/>
    </row>
    <row r="44" spans="2:47" x14ac:dyDescent="0.25">
      <c r="B44" s="29">
        <v>7</v>
      </c>
      <c r="C44" s="51"/>
      <c r="D44" s="58" t="s">
        <v>10</v>
      </c>
      <c r="E44" s="31" t="str">
        <f t="shared" si="96"/>
        <v/>
      </c>
      <c r="F44" s="322" t="str">
        <f t="shared" si="86"/>
        <v/>
      </c>
      <c r="G44" s="322" t="str">
        <f t="shared" si="91"/>
        <v/>
      </c>
      <c r="H44" s="8" t="str">
        <f t="shared" si="92"/>
        <v/>
      </c>
      <c r="I44" s="82">
        <v>7</v>
      </c>
      <c r="J44" s="321" t="str">
        <f t="shared" si="93"/>
        <v/>
      </c>
      <c r="K44" s="322" t="str">
        <f t="shared" si="87"/>
        <v/>
      </c>
      <c r="L44" s="322" t="str">
        <f t="shared" si="87"/>
        <v/>
      </c>
      <c r="M44" s="322" t="str">
        <f t="shared" si="87"/>
        <v/>
      </c>
      <c r="N44" s="322" t="str">
        <f t="shared" si="87"/>
        <v/>
      </c>
      <c r="O44" s="321" t="str">
        <f t="shared" si="88"/>
        <v/>
      </c>
      <c r="P44" s="323" t="str">
        <f t="shared" si="88"/>
        <v/>
      </c>
      <c r="Q44" s="108" t="str">
        <f t="shared" si="89"/>
        <v/>
      </c>
      <c r="R44" s="94" t="str">
        <f t="shared" si="90"/>
        <v/>
      </c>
      <c r="T44" s="321" t="s">
        <v>78</v>
      </c>
      <c r="U44" s="321">
        <v>8</v>
      </c>
      <c r="V44" s="323">
        <v>10</v>
      </c>
      <c r="W44" s="322" t="str">
        <f t="shared" si="94"/>
        <v/>
      </c>
      <c r="X44" s="323" t="str">
        <f t="shared" si="95"/>
        <v/>
      </c>
      <c r="Z44" s="305" t="s">
        <v>344</v>
      </c>
      <c r="AA44" s="305">
        <v>7</v>
      </c>
      <c r="AG44" s="70">
        <v>6</v>
      </c>
      <c r="AH44" s="392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4"/>
    </row>
    <row r="45" spans="2:47" x14ac:dyDescent="0.25">
      <c r="B45" s="29">
        <v>8</v>
      </c>
      <c r="C45" s="51"/>
      <c r="D45" s="58" t="s">
        <v>74</v>
      </c>
      <c r="E45" s="31" t="str">
        <f t="shared" si="96"/>
        <v/>
      </c>
      <c r="F45" s="322" t="str">
        <f t="shared" si="86"/>
        <v/>
      </c>
      <c r="G45" s="322" t="str">
        <f t="shared" si="91"/>
        <v/>
      </c>
      <c r="H45" s="8" t="str">
        <f t="shared" si="92"/>
        <v/>
      </c>
      <c r="I45" s="82">
        <v>8</v>
      </c>
      <c r="J45" s="321" t="str">
        <f t="shared" si="93"/>
        <v/>
      </c>
      <c r="K45" s="322" t="str">
        <f t="shared" si="87"/>
        <v/>
      </c>
      <c r="L45" s="322" t="str">
        <f t="shared" si="87"/>
        <v/>
      </c>
      <c r="M45" s="322" t="str">
        <f t="shared" si="87"/>
        <v/>
      </c>
      <c r="N45" s="322" t="str">
        <f t="shared" si="87"/>
        <v/>
      </c>
      <c r="O45" s="321" t="str">
        <f t="shared" si="88"/>
        <v/>
      </c>
      <c r="P45" s="323" t="str">
        <f t="shared" si="88"/>
        <v/>
      </c>
      <c r="Q45" s="108" t="str">
        <f t="shared" si="89"/>
        <v/>
      </c>
      <c r="R45" s="94" t="str">
        <f t="shared" si="90"/>
        <v/>
      </c>
      <c r="T45" s="47" t="s">
        <v>79</v>
      </c>
      <c r="U45" s="47">
        <v>9</v>
      </c>
      <c r="V45" s="325">
        <v>10</v>
      </c>
      <c r="W45" s="324" t="str">
        <f t="shared" si="94"/>
        <v/>
      </c>
      <c r="X45" s="325" t="str">
        <f t="shared" si="95"/>
        <v/>
      </c>
      <c r="Z45" s="305" t="s">
        <v>345</v>
      </c>
      <c r="AA45" s="305">
        <v>8</v>
      </c>
      <c r="AG45" s="70">
        <v>7</v>
      </c>
      <c r="AH45" s="392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4"/>
    </row>
    <row r="46" spans="2:47" x14ac:dyDescent="0.25">
      <c r="B46" s="32">
        <v>9</v>
      </c>
      <c r="C46" s="52"/>
      <c r="D46" s="33" t="s">
        <v>75</v>
      </c>
      <c r="E46" s="35" t="str">
        <f t="shared" si="96"/>
        <v/>
      </c>
      <c r="F46" s="324" t="str">
        <f t="shared" si="86"/>
        <v/>
      </c>
      <c r="G46" s="324" t="str">
        <f t="shared" si="91"/>
        <v/>
      </c>
      <c r="H46" s="62" t="str">
        <f t="shared" si="92"/>
        <v/>
      </c>
      <c r="I46" s="83">
        <v>9</v>
      </c>
      <c r="J46" s="47" t="str">
        <f t="shared" si="93"/>
        <v/>
      </c>
      <c r="K46" s="324" t="str">
        <f t="shared" si="87"/>
        <v/>
      </c>
      <c r="L46" s="324" t="str">
        <f t="shared" si="87"/>
        <v/>
      </c>
      <c r="M46" s="324" t="str">
        <f t="shared" si="87"/>
        <v/>
      </c>
      <c r="N46" s="324" t="str">
        <f t="shared" si="87"/>
        <v/>
      </c>
      <c r="O46" s="47" t="str">
        <f t="shared" si="88"/>
        <v/>
      </c>
      <c r="P46" s="325" t="str">
        <f t="shared" si="88"/>
        <v/>
      </c>
      <c r="Q46" s="109" t="str">
        <f t="shared" si="89"/>
        <v/>
      </c>
      <c r="R46" s="95" t="str">
        <f t="shared" si="90"/>
        <v/>
      </c>
      <c r="Z46" s="305" t="s">
        <v>342</v>
      </c>
      <c r="AA46" s="305">
        <v>9</v>
      </c>
      <c r="AG46" s="70">
        <v>8</v>
      </c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</row>
    <row r="47" spans="2:47" x14ac:dyDescent="0.25">
      <c r="B47" s="4"/>
      <c r="C47" s="30"/>
      <c r="D47" s="30"/>
      <c r="E47" s="30"/>
      <c r="F47" s="322"/>
      <c r="G47" s="322"/>
      <c r="H47" s="9"/>
      <c r="AG47" s="70">
        <v>9</v>
      </c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T47" s="397"/>
    </row>
    <row r="48" spans="2:47" x14ac:dyDescent="0.25">
      <c r="B48" s="25" t="s">
        <v>171</v>
      </c>
      <c r="C48" s="28">
        <f>COUNTA(C3:C11,C14:C19,C22:C24)</f>
        <v>10</v>
      </c>
      <c r="D48" s="250">
        <f>C48/$C$50</f>
        <v>0.58823529411764708</v>
      </c>
      <c r="E48" s="30"/>
      <c r="F48" s="322"/>
      <c r="G48" s="322"/>
      <c r="H48" s="9"/>
      <c r="AG48" s="71">
        <v>10</v>
      </c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9"/>
    </row>
    <row r="49" spans="1:33" x14ac:dyDescent="0.25">
      <c r="B49" s="29" t="s">
        <v>172</v>
      </c>
      <c r="C49" s="31">
        <f>COUNTA(C53:C58,C61:C62,C65:C74)</f>
        <v>7</v>
      </c>
      <c r="D49" s="250">
        <f>C49/$C$50</f>
        <v>0.41176470588235292</v>
      </c>
      <c r="E49" s="30"/>
      <c r="F49" s="322"/>
      <c r="G49" s="322"/>
      <c r="H49" s="9"/>
    </row>
    <row r="50" spans="1:33" x14ac:dyDescent="0.25">
      <c r="B50" s="32" t="s">
        <v>173</v>
      </c>
      <c r="C50" s="35">
        <f>C48+C49</f>
        <v>17</v>
      </c>
      <c r="D50" s="30"/>
      <c r="E50" s="30"/>
      <c r="F50" s="322"/>
      <c r="G50" s="322"/>
      <c r="H50" s="9"/>
    </row>
    <row r="51" spans="1:33" x14ac:dyDescent="0.25">
      <c r="I51" s="305">
        <v>12</v>
      </c>
      <c r="K51" s="305">
        <v>17</v>
      </c>
      <c r="L51" s="305">
        <v>18</v>
      </c>
      <c r="M51" s="305">
        <v>19</v>
      </c>
      <c r="N51" s="305">
        <v>23</v>
      </c>
      <c r="O51" s="305">
        <v>25</v>
      </c>
      <c r="P51" s="305">
        <v>27</v>
      </c>
      <c r="Q51" s="305">
        <v>29</v>
      </c>
      <c r="R51" s="305">
        <v>31</v>
      </c>
      <c r="S51" s="305">
        <v>33</v>
      </c>
      <c r="T51" s="305">
        <v>35</v>
      </c>
      <c r="U51" s="305">
        <v>37</v>
      </c>
      <c r="V51" s="305">
        <v>39</v>
      </c>
      <c r="W51" s="305">
        <v>41</v>
      </c>
      <c r="X51" s="305">
        <v>43</v>
      </c>
      <c r="Y51" s="305">
        <v>45</v>
      </c>
      <c r="Z51" s="305">
        <v>47</v>
      </c>
      <c r="AA51" s="305">
        <v>48</v>
      </c>
      <c r="AB51" s="305">
        <v>49</v>
      </c>
      <c r="AC51" s="305">
        <v>52</v>
      </c>
      <c r="AD51" s="305">
        <v>20</v>
      </c>
      <c r="AE51" s="305">
        <v>21</v>
      </c>
      <c r="AF51" s="305">
        <v>22</v>
      </c>
      <c r="AG51" s="305">
        <v>54</v>
      </c>
    </row>
    <row r="52" spans="1:33" s="322" customFormat="1" ht="74.25" x14ac:dyDescent="0.25">
      <c r="A52" s="66" t="s">
        <v>170</v>
      </c>
      <c r="B52" s="326" t="s">
        <v>104</v>
      </c>
      <c r="C52" s="37" t="s">
        <v>96</v>
      </c>
      <c r="D52" s="37" t="s">
        <v>70</v>
      </c>
      <c r="E52" s="43" t="s">
        <v>81</v>
      </c>
      <c r="F52" s="39" t="s">
        <v>160</v>
      </c>
      <c r="G52" s="39" t="s">
        <v>161</v>
      </c>
      <c r="H52" s="39" t="s">
        <v>162</v>
      </c>
      <c r="I52" s="69" t="s">
        <v>189</v>
      </c>
      <c r="J52" s="69" t="s">
        <v>166</v>
      </c>
      <c r="K52" s="67" t="s">
        <v>163</v>
      </c>
      <c r="L52" s="67" t="s">
        <v>164</v>
      </c>
      <c r="M52" s="68" t="s">
        <v>165</v>
      </c>
      <c r="N52" s="67" t="s">
        <v>40</v>
      </c>
      <c r="O52" s="67" t="s">
        <v>42</v>
      </c>
      <c r="P52" s="67" t="s">
        <v>44</v>
      </c>
      <c r="Q52" s="67" t="s">
        <v>46</v>
      </c>
      <c r="R52" s="67" t="s">
        <v>48</v>
      </c>
      <c r="S52" s="67" t="s">
        <v>87</v>
      </c>
      <c r="T52" s="67" t="s">
        <v>51</v>
      </c>
      <c r="U52" s="67" t="s">
        <v>53</v>
      </c>
      <c r="V52" s="67" t="s">
        <v>55</v>
      </c>
      <c r="W52" s="67" t="s">
        <v>57</v>
      </c>
      <c r="X52" s="67" t="s">
        <v>59</v>
      </c>
      <c r="Y52" s="68" t="s">
        <v>61</v>
      </c>
      <c r="Z52" s="72" t="s">
        <v>176</v>
      </c>
      <c r="AA52" s="67" t="s">
        <v>175</v>
      </c>
      <c r="AB52" s="68" t="s">
        <v>177</v>
      </c>
      <c r="AC52" s="251" t="s">
        <v>354</v>
      </c>
      <c r="AD52" s="67" t="s">
        <v>163</v>
      </c>
      <c r="AE52" s="67" t="s">
        <v>164</v>
      </c>
      <c r="AF52" s="68" t="s">
        <v>165</v>
      </c>
      <c r="AG52" s="251" t="s">
        <v>174</v>
      </c>
    </row>
    <row r="53" spans="1:33" x14ac:dyDescent="0.25">
      <c r="A53" s="322">
        <v>1</v>
      </c>
      <c r="B53" s="29" t="s">
        <v>87</v>
      </c>
      <c r="C53" s="329" t="s">
        <v>511</v>
      </c>
      <c r="D53" s="30" t="e">
        <f>IF($C53="","",VLOOKUP($C53,AMAPit!$A$10:$BJ$122,D$1-2,FALSE))</f>
        <v>#N/A</v>
      </c>
      <c r="E53" s="31" t="e">
        <f>IF($C53="","",VLOOKUP($C53,AMAPit!$A$10:$BJ$122,E$1-1,FALSE))</f>
        <v>#N/A</v>
      </c>
      <c r="F53" s="322" t="e">
        <f t="shared" ref="F53:F58" si="97">IF($C53="","",IF(AVERAGE(K53:M53)&gt;7,1,0))</f>
        <v>#N/A</v>
      </c>
      <c r="G53" s="322" t="e">
        <f t="shared" ref="G53:G58" si="98">IF($C53="","",IF(AVERAGE(K53:M53)&gt;6.5,1,0))</f>
        <v>#N/A</v>
      </c>
      <c r="H53" s="322" t="e">
        <f t="shared" ref="H53:H58" si="99">IF($C53="","",IF(AVERAGE(K53:M53)&gt;6,1,0))</f>
        <v>#N/A</v>
      </c>
      <c r="I53" s="91" t="e">
        <f>IF($C53="","",VLOOKUP($C53,AMAPit!$A$10:$BJ$122,I$51,FALSE))</f>
        <v>#N/A</v>
      </c>
      <c r="J53" s="70">
        <f t="shared" ref="J53:J58" si="100">IF($C53="","",COUNT(N53:Y53))</f>
        <v>0</v>
      </c>
      <c r="K53" s="322" t="e">
        <f>IF($C53="","",VLOOKUP($C53,AMAPit!$A$10:$BJ$122,K$51,FALSE))</f>
        <v>#N/A</v>
      </c>
      <c r="L53" s="322" t="e">
        <f>IF($C53="","",VLOOKUP($C53,AMAPit!$A$10:$BJ$122,L$51,FALSE))</f>
        <v>#N/A</v>
      </c>
      <c r="M53" s="323" t="e">
        <f>IF($C53="","",VLOOKUP($C53,AMAPit!$A$10:$BJ$122,M$51,FALSE))</f>
        <v>#N/A</v>
      </c>
      <c r="N53" s="322" t="e">
        <f>IF($C53="","",VLOOKUP($C53,AMAPit!$A$10:$BJ$122,N$51,FALSE))</f>
        <v>#N/A</v>
      </c>
      <c r="O53" s="322" t="e">
        <f>IF($C53="","",VLOOKUP($C53,AMAPit!$A$10:$BJ$122,O$51,FALSE))</f>
        <v>#N/A</v>
      </c>
      <c r="P53" s="322" t="e">
        <f>IF($C53="","",VLOOKUP($C53,AMAPit!$A$10:$BJ$122,P$51,FALSE))</f>
        <v>#N/A</v>
      </c>
      <c r="Q53" s="322" t="e">
        <f>IF($C53="","",VLOOKUP($C53,AMAPit!$A$10:$BJ$122,Q$51,FALSE))</f>
        <v>#N/A</v>
      </c>
      <c r="R53" s="322" t="e">
        <f>IF($C53="","",VLOOKUP($C53,AMAPit!$A$10:$BJ$122,R$51,FALSE))</f>
        <v>#N/A</v>
      </c>
      <c r="S53" s="322" t="e">
        <f>IF($C53="","",VLOOKUP($C53,AMAPit!$A$10:$BJ$122,S$51,FALSE))</f>
        <v>#N/A</v>
      </c>
      <c r="T53" s="322" t="e">
        <f>IF($C53="","",VLOOKUP($C53,AMAPit!$A$10:$BJ$122,T$51,FALSE))</f>
        <v>#N/A</v>
      </c>
      <c r="U53" s="322" t="e">
        <f>IF($C53="","",VLOOKUP($C53,AMAPit!$A$10:$BJ$122,U$51,FALSE))</f>
        <v>#N/A</v>
      </c>
      <c r="V53" s="322" t="e">
        <f>IF($C53="","",VLOOKUP($C53,AMAPit!$A$10:$BJ$122,V$51,FALSE))</f>
        <v>#N/A</v>
      </c>
      <c r="W53" s="322" t="e">
        <f>IF($C53="","",VLOOKUP($C53,AMAPit!$A$10:$BJ$122,W$51,FALSE))</f>
        <v>#N/A</v>
      </c>
      <c r="X53" s="322" t="e">
        <f>IF($C53="","",VLOOKUP($C53,AMAPit!$A$10:$BJ$122,X$51,FALSE))</f>
        <v>#N/A</v>
      </c>
      <c r="Y53" s="323" t="e">
        <f>IF($C53="","",VLOOKUP($C53,AMAPit!$A$10:$BJ$122,Y$51,FALSE))</f>
        <v>#N/A</v>
      </c>
      <c r="Z53" s="321" t="e">
        <f>IF($C53="","",VLOOKUP($C53,AMAPit!$A$10:$BJ$122,Z$51,FALSE))</f>
        <v>#N/A</v>
      </c>
      <c r="AA53" s="322" t="e">
        <f>IF($C53="","",VLOOKUP($C53,AMAPit!$A$10:$BJ$122,AA$51,FALSE))</f>
        <v>#N/A</v>
      </c>
      <c r="AB53" s="73" t="e">
        <f>IF($C53="","",VLOOKUP($C53,AMAPit!$A$10:$BJ$122,AB$51,FALSE))</f>
        <v>#N/A</v>
      </c>
      <c r="AC53" s="252" t="e">
        <f>IF($C53="","",VLOOKUP($C53,AMAPit!$A$10:$BJ$122,AC$51,FALSE))</f>
        <v>#N/A</v>
      </c>
      <c r="AD53" s="322" t="e">
        <f>IF($C53="","",VLOOKUP($C53,AMAPit!$A$10:$BJ$122,AD$51,FALSE))</f>
        <v>#N/A</v>
      </c>
      <c r="AE53" s="322" t="e">
        <f>IF($C53="","",VLOOKUP($C53,AMAPit!$A$10:$BJ$122,AE$51,FALSE))</f>
        <v>#N/A</v>
      </c>
      <c r="AF53" s="323" t="e">
        <f>IF($C53="","",VLOOKUP($C53,AMAPit!$A$10:$BJ$122,AF$51,FALSE))</f>
        <v>#N/A</v>
      </c>
      <c r="AG53" s="252" t="e">
        <f>IF($C53="","",VLOOKUP($C53,AMAPit!$A$10:$BJ$122,AG$51,FALSE))</f>
        <v>#N/A</v>
      </c>
    </row>
    <row r="54" spans="1:33" x14ac:dyDescent="0.25">
      <c r="A54" s="322">
        <v>2</v>
      </c>
      <c r="B54" s="29" t="s">
        <v>87</v>
      </c>
      <c r="C54" s="58" t="s">
        <v>526</v>
      </c>
      <c r="D54" s="30" t="e">
        <f>IF($C54="","",VLOOKUP($C54,AMAPit!$A$10:$BJ$122,D$1-2,FALSE))</f>
        <v>#N/A</v>
      </c>
      <c r="E54" s="31" t="e">
        <f>IF($C54="","",VLOOKUP($C54,AMAPit!$A$10:$BJ$122,E$1-1,FALSE))</f>
        <v>#N/A</v>
      </c>
      <c r="F54" s="322" t="e">
        <f t="shared" si="97"/>
        <v>#N/A</v>
      </c>
      <c r="G54" s="322" t="e">
        <f t="shared" si="98"/>
        <v>#N/A</v>
      </c>
      <c r="H54" s="322" t="e">
        <f t="shared" si="99"/>
        <v>#N/A</v>
      </c>
      <c r="I54" s="92" t="e">
        <f>IF($C54="","",VLOOKUP($C54,AMAPit!$A$10:$BJ$122,I$51,FALSE))</f>
        <v>#N/A</v>
      </c>
      <c r="J54" s="70">
        <f t="shared" si="100"/>
        <v>0</v>
      </c>
      <c r="K54" s="322" t="e">
        <f>IF($C54="","",VLOOKUP($C54,AMAPit!$A$10:$BJ$122,K$51,FALSE))</f>
        <v>#N/A</v>
      </c>
      <c r="L54" s="322" t="e">
        <f>IF($C54="","",VLOOKUP($C54,AMAPit!$A$10:$BJ$122,L$51,FALSE))</f>
        <v>#N/A</v>
      </c>
      <c r="M54" s="323" t="e">
        <f>IF($C54="","",VLOOKUP($C54,AMAPit!$A$10:$BJ$122,M$51,FALSE))</f>
        <v>#N/A</v>
      </c>
      <c r="N54" s="322" t="e">
        <f>IF($C54="","",VLOOKUP($C54,AMAPit!$A$10:$BJ$122,N$51,FALSE))</f>
        <v>#N/A</v>
      </c>
      <c r="O54" s="322" t="e">
        <f>IF($C54="","",VLOOKUP($C54,AMAPit!$A$10:$BJ$122,O$51,FALSE))</f>
        <v>#N/A</v>
      </c>
      <c r="P54" s="322" t="e">
        <f>IF($C54="","",VLOOKUP($C54,AMAPit!$A$10:$BJ$122,P$51,FALSE))</f>
        <v>#N/A</v>
      </c>
      <c r="Q54" s="322" t="e">
        <f>IF($C54="","",VLOOKUP($C54,AMAPit!$A$10:$BJ$122,Q$51,FALSE))</f>
        <v>#N/A</v>
      </c>
      <c r="R54" s="322" t="e">
        <f>IF($C54="","",VLOOKUP($C54,AMAPit!$A$10:$BJ$122,R$51,FALSE))</f>
        <v>#N/A</v>
      </c>
      <c r="S54" s="322" t="e">
        <f>IF($C54="","",VLOOKUP($C54,AMAPit!$A$10:$BJ$122,S$51,FALSE))</f>
        <v>#N/A</v>
      </c>
      <c r="T54" s="322" t="e">
        <f>IF($C54="","",VLOOKUP($C54,AMAPit!$A$10:$BJ$122,T$51,FALSE))</f>
        <v>#N/A</v>
      </c>
      <c r="U54" s="322" t="e">
        <f>IF($C54="","",VLOOKUP($C54,AMAPit!$A$10:$BJ$122,U$51,FALSE))</f>
        <v>#N/A</v>
      </c>
      <c r="V54" s="322" t="e">
        <f>IF($C54="","",VLOOKUP($C54,AMAPit!$A$10:$BJ$122,V$51,FALSE))</f>
        <v>#N/A</v>
      </c>
      <c r="W54" s="322" t="e">
        <f>IF($C54="","",VLOOKUP($C54,AMAPit!$A$10:$BJ$122,W$51,FALSE))</f>
        <v>#N/A</v>
      </c>
      <c r="X54" s="322" t="e">
        <f>IF($C54="","",VLOOKUP($C54,AMAPit!$A$10:$BJ$122,X$51,FALSE))</f>
        <v>#N/A</v>
      </c>
      <c r="Y54" s="323" t="e">
        <f>IF($C54="","",VLOOKUP($C54,AMAPit!$A$10:$BJ$122,Y$51,FALSE))</f>
        <v>#N/A</v>
      </c>
      <c r="Z54" s="321" t="e">
        <f>IF($C54="","",VLOOKUP($C54,AMAPit!$A$10:$BJ$122,Z$51,FALSE))</f>
        <v>#N/A</v>
      </c>
      <c r="AA54" s="322" t="e">
        <f>IF($C54="","",VLOOKUP($C54,AMAPit!$A$10:$BJ$122,AA$51,FALSE))</f>
        <v>#N/A</v>
      </c>
      <c r="AB54" s="73" t="e">
        <f>IF($C54="","",VLOOKUP($C54,AMAPit!$A$10:$BJ$122,AB$51,FALSE))</f>
        <v>#N/A</v>
      </c>
      <c r="AC54" s="60" t="e">
        <f>IF($C54="","",VLOOKUP($C54,AMAPit!$A$10:$BJ$122,AC$51,FALSE))</f>
        <v>#N/A</v>
      </c>
      <c r="AD54" s="322" t="e">
        <f>IF($C54="","",VLOOKUP($C54,AMAPit!$A$10:$BJ$122,AD$51,FALSE))</f>
        <v>#N/A</v>
      </c>
      <c r="AE54" s="322" t="e">
        <f>IF($C54="","",VLOOKUP($C54,AMAPit!$A$10:$BJ$122,AE$51,FALSE))</f>
        <v>#N/A</v>
      </c>
      <c r="AF54" s="323" t="e">
        <f>IF($C54="","",VLOOKUP($C54,AMAPit!$A$10:$BJ$122,AF$51,FALSE))</f>
        <v>#N/A</v>
      </c>
      <c r="AG54" s="60" t="e">
        <f>IF($C54="","",VLOOKUP($C54,AMAPit!$A$10:$BJ$122,AG$51,FALSE))</f>
        <v>#N/A</v>
      </c>
    </row>
    <row r="55" spans="1:33" x14ac:dyDescent="0.25">
      <c r="A55" s="322">
        <v>3</v>
      </c>
      <c r="B55" s="29" t="s">
        <v>87</v>
      </c>
      <c r="C55" s="58" t="s">
        <v>527</v>
      </c>
      <c r="D55" s="30" t="e">
        <f>IF($C55="","",VLOOKUP($C55,AMAPit!$A$10:$BJ$122,D$1-2,FALSE))</f>
        <v>#N/A</v>
      </c>
      <c r="E55" s="31" t="e">
        <f>IF($C55="","",VLOOKUP($C55,AMAPit!$A$10:$BJ$122,E$1-1,FALSE))</f>
        <v>#N/A</v>
      </c>
      <c r="F55" s="322" t="e">
        <f t="shared" si="97"/>
        <v>#N/A</v>
      </c>
      <c r="G55" s="322" t="e">
        <f t="shared" si="98"/>
        <v>#N/A</v>
      </c>
      <c r="H55" s="322" t="e">
        <f t="shared" si="99"/>
        <v>#N/A</v>
      </c>
      <c r="I55" s="92" t="e">
        <f>IF($C55="","",VLOOKUP($C55,AMAPit!$A$10:$BJ$122,I$51,FALSE))</f>
        <v>#N/A</v>
      </c>
      <c r="J55" s="70">
        <f t="shared" si="100"/>
        <v>0</v>
      </c>
      <c r="K55" s="322" t="e">
        <f>IF($C55="","",VLOOKUP($C55,AMAPit!$A$10:$BJ$122,K$51,FALSE))</f>
        <v>#N/A</v>
      </c>
      <c r="L55" s="322" t="e">
        <f>IF($C55="","",VLOOKUP($C55,AMAPit!$A$10:$BJ$122,L$51,FALSE))</f>
        <v>#N/A</v>
      </c>
      <c r="M55" s="323" t="e">
        <f>IF($C55="","",VLOOKUP($C55,AMAPit!$A$10:$BJ$122,M$51,FALSE))</f>
        <v>#N/A</v>
      </c>
      <c r="N55" s="322" t="e">
        <f>IF($C55="","",VLOOKUP($C55,AMAPit!$A$10:$BJ$122,N$51,FALSE))</f>
        <v>#N/A</v>
      </c>
      <c r="O55" s="322" t="e">
        <f>IF($C55="","",VLOOKUP($C55,AMAPit!$A$10:$BJ$122,O$51,FALSE))</f>
        <v>#N/A</v>
      </c>
      <c r="P55" s="322" t="e">
        <f>IF($C55="","",VLOOKUP($C55,AMAPit!$A$10:$BJ$122,P$51,FALSE))</f>
        <v>#N/A</v>
      </c>
      <c r="Q55" s="322" t="e">
        <f>IF($C55="","",VLOOKUP($C55,AMAPit!$A$10:$BJ$122,Q$51,FALSE))</f>
        <v>#N/A</v>
      </c>
      <c r="R55" s="322" t="e">
        <f>IF($C55="","",VLOOKUP($C55,AMAPit!$A$10:$BJ$122,R$51,FALSE))</f>
        <v>#N/A</v>
      </c>
      <c r="S55" s="322" t="e">
        <f>IF($C55="","",VLOOKUP($C55,AMAPit!$A$10:$BJ$122,S$51,FALSE))</f>
        <v>#N/A</v>
      </c>
      <c r="T55" s="322" t="e">
        <f>IF($C55="","",VLOOKUP($C55,AMAPit!$A$10:$BJ$122,T$51,FALSE))</f>
        <v>#N/A</v>
      </c>
      <c r="U55" s="322" t="e">
        <f>IF($C55="","",VLOOKUP($C55,AMAPit!$A$10:$BJ$122,U$51,FALSE))</f>
        <v>#N/A</v>
      </c>
      <c r="V55" s="322" t="e">
        <f>IF($C55="","",VLOOKUP($C55,AMAPit!$A$10:$BJ$122,V$51,FALSE))</f>
        <v>#N/A</v>
      </c>
      <c r="W55" s="322" t="e">
        <f>IF($C55="","",VLOOKUP($C55,AMAPit!$A$10:$BJ$122,W$51,FALSE))</f>
        <v>#N/A</v>
      </c>
      <c r="X55" s="322" t="e">
        <f>IF($C55="","",VLOOKUP($C55,AMAPit!$A$10:$BJ$122,X$51,FALSE))</f>
        <v>#N/A</v>
      </c>
      <c r="Y55" s="323" t="e">
        <f>IF($C55="","",VLOOKUP($C55,AMAPit!$A$10:$BJ$122,Y$51,FALSE))</f>
        <v>#N/A</v>
      </c>
      <c r="Z55" s="321" t="e">
        <f>IF($C55="","",VLOOKUP($C55,AMAPit!$A$10:$BJ$122,Z$51,FALSE))</f>
        <v>#N/A</v>
      </c>
      <c r="AA55" s="322" t="e">
        <f>IF($C55="","",VLOOKUP($C55,AMAPit!$A$10:$BJ$122,AA$51,FALSE))</f>
        <v>#N/A</v>
      </c>
      <c r="AB55" s="73" t="e">
        <f>IF($C55="","",VLOOKUP($C55,AMAPit!$A$10:$BJ$122,AB$51,FALSE))</f>
        <v>#N/A</v>
      </c>
      <c r="AC55" s="60" t="e">
        <f>IF($C55="","",VLOOKUP($C55,AMAPit!$A$10:$BJ$122,AC$51,FALSE))</f>
        <v>#N/A</v>
      </c>
      <c r="AD55" s="322" t="e">
        <f>IF($C55="","",VLOOKUP($C55,AMAPit!$A$10:$BJ$122,AD$51,FALSE))</f>
        <v>#N/A</v>
      </c>
      <c r="AE55" s="322" t="e">
        <f>IF($C55="","",VLOOKUP($C55,AMAPit!$A$10:$BJ$122,AE$51,FALSE))</f>
        <v>#N/A</v>
      </c>
      <c r="AF55" s="323" t="e">
        <f>IF($C55="","",VLOOKUP($C55,AMAPit!$A$10:$BJ$122,AF$51,FALSE))</f>
        <v>#N/A</v>
      </c>
      <c r="AG55" s="60" t="e">
        <f>IF($C55="","",VLOOKUP($C55,AMAPit!$A$10:$BJ$122,AG$51,FALSE))</f>
        <v>#N/A</v>
      </c>
    </row>
    <row r="56" spans="1:33" x14ac:dyDescent="0.25">
      <c r="A56" s="322">
        <v>4</v>
      </c>
      <c r="B56" s="29" t="s">
        <v>87</v>
      </c>
      <c r="C56" s="58" t="s">
        <v>531</v>
      </c>
      <c r="D56" s="30" t="e">
        <f>IF($C56="","",VLOOKUP($C56,AMAPit!$A$10:$BJ$122,D$1-2,FALSE))</f>
        <v>#N/A</v>
      </c>
      <c r="E56" s="31" t="e">
        <f>IF($C56="","",VLOOKUP($C56,AMAPit!$A$10:$BJ$122,E$1-1,FALSE))</f>
        <v>#N/A</v>
      </c>
      <c r="F56" s="322" t="e">
        <f t="shared" si="97"/>
        <v>#N/A</v>
      </c>
      <c r="G56" s="322" t="e">
        <f t="shared" si="98"/>
        <v>#N/A</v>
      </c>
      <c r="H56" s="322" t="e">
        <f t="shared" si="99"/>
        <v>#N/A</v>
      </c>
      <c r="I56" s="92" t="e">
        <f>IF($C56="","",VLOOKUP($C56,AMAPit!$A$10:$BJ$122,I$51,FALSE))</f>
        <v>#N/A</v>
      </c>
      <c r="J56" s="70">
        <f t="shared" si="100"/>
        <v>0</v>
      </c>
      <c r="K56" s="322" t="e">
        <f>IF($C56="","",VLOOKUP($C56,AMAPit!$A$10:$BJ$122,K$51,FALSE))</f>
        <v>#N/A</v>
      </c>
      <c r="L56" s="322" t="e">
        <f>IF($C56="","",VLOOKUP($C56,AMAPit!$A$10:$BJ$122,L$51,FALSE))</f>
        <v>#N/A</v>
      </c>
      <c r="M56" s="323" t="e">
        <f>IF($C56="","",VLOOKUP($C56,AMAPit!$A$10:$BJ$122,M$51,FALSE))</f>
        <v>#N/A</v>
      </c>
      <c r="N56" s="322" t="e">
        <f>IF($C56="","",VLOOKUP($C56,AMAPit!$A$10:$BJ$122,N$51,FALSE))</f>
        <v>#N/A</v>
      </c>
      <c r="O56" s="322" t="e">
        <f>IF($C56="","",VLOOKUP($C56,AMAPit!$A$10:$BJ$122,O$51,FALSE))</f>
        <v>#N/A</v>
      </c>
      <c r="P56" s="322" t="e">
        <f>IF($C56="","",VLOOKUP($C56,AMAPit!$A$10:$BJ$122,P$51,FALSE))</f>
        <v>#N/A</v>
      </c>
      <c r="Q56" s="322" t="e">
        <f>IF($C56="","",VLOOKUP($C56,AMAPit!$A$10:$BJ$122,Q$51,FALSE))</f>
        <v>#N/A</v>
      </c>
      <c r="R56" s="322" t="e">
        <f>IF($C56="","",VLOOKUP($C56,AMAPit!$A$10:$BJ$122,R$51,FALSE))</f>
        <v>#N/A</v>
      </c>
      <c r="S56" s="322" t="e">
        <f>IF($C56="","",VLOOKUP($C56,AMAPit!$A$10:$BJ$122,S$51,FALSE))</f>
        <v>#N/A</v>
      </c>
      <c r="T56" s="322" t="e">
        <f>IF($C56="","",VLOOKUP($C56,AMAPit!$A$10:$BJ$122,T$51,FALSE))</f>
        <v>#N/A</v>
      </c>
      <c r="U56" s="322" t="e">
        <f>IF($C56="","",VLOOKUP($C56,AMAPit!$A$10:$BJ$122,U$51,FALSE))</f>
        <v>#N/A</v>
      </c>
      <c r="V56" s="322" t="e">
        <f>IF($C56="","",VLOOKUP($C56,AMAPit!$A$10:$BJ$122,V$51,FALSE))</f>
        <v>#N/A</v>
      </c>
      <c r="W56" s="322" t="e">
        <f>IF($C56="","",VLOOKUP($C56,AMAPit!$A$10:$BJ$122,W$51,FALSE))</f>
        <v>#N/A</v>
      </c>
      <c r="X56" s="322" t="e">
        <f>IF($C56="","",VLOOKUP($C56,AMAPit!$A$10:$BJ$122,X$51,FALSE))</f>
        <v>#N/A</v>
      </c>
      <c r="Y56" s="323" t="e">
        <f>IF($C56="","",VLOOKUP($C56,AMAPit!$A$10:$BJ$122,Y$51,FALSE))</f>
        <v>#N/A</v>
      </c>
      <c r="Z56" s="321" t="e">
        <f>IF($C56="","",VLOOKUP($C56,AMAPit!$A$10:$BJ$122,Z$51,FALSE))</f>
        <v>#N/A</v>
      </c>
      <c r="AA56" s="322" t="e">
        <f>IF($C56="","",VLOOKUP($C56,AMAPit!$A$10:$BJ$122,AA$51,FALSE))</f>
        <v>#N/A</v>
      </c>
      <c r="AB56" s="73" t="e">
        <f>IF($C56="","",VLOOKUP($C56,AMAPit!$A$10:$BJ$122,AB$51,FALSE))</f>
        <v>#N/A</v>
      </c>
      <c r="AC56" s="60" t="e">
        <f>IF($C56="","",VLOOKUP($C56,AMAPit!$A$10:$BJ$122,AC$51,FALSE))</f>
        <v>#N/A</v>
      </c>
      <c r="AD56" s="322" t="e">
        <f>IF($C56="","",VLOOKUP($C56,AMAPit!$A$10:$BJ$122,AD$51,FALSE))</f>
        <v>#N/A</v>
      </c>
      <c r="AE56" s="322" t="e">
        <f>IF($C56="","",VLOOKUP($C56,AMAPit!$A$10:$BJ$122,AE$51,FALSE))</f>
        <v>#N/A</v>
      </c>
      <c r="AF56" s="323" t="e">
        <f>IF($C56="","",VLOOKUP($C56,AMAPit!$A$10:$BJ$122,AF$51,FALSE))</f>
        <v>#N/A</v>
      </c>
      <c r="AG56" s="60" t="e">
        <f>IF($C56="","",VLOOKUP($C56,AMAPit!$A$10:$BJ$122,AG$51,FALSE))</f>
        <v>#N/A</v>
      </c>
    </row>
    <row r="57" spans="1:33" x14ac:dyDescent="0.25">
      <c r="A57" s="322">
        <v>5</v>
      </c>
      <c r="B57" s="29" t="s">
        <v>87</v>
      </c>
      <c r="C57" s="58" t="s">
        <v>532</v>
      </c>
      <c r="D57" s="30" t="e">
        <f>IF($C57="","",VLOOKUP($C57,AMAPit!$A$10:$BJ$122,D$1-2,FALSE))</f>
        <v>#N/A</v>
      </c>
      <c r="E57" s="31" t="e">
        <f>IF($C57="","",VLOOKUP($C57,AMAPit!$A$10:$BJ$122,E$1-1,FALSE))</f>
        <v>#N/A</v>
      </c>
      <c r="F57" s="322" t="e">
        <f t="shared" si="97"/>
        <v>#N/A</v>
      </c>
      <c r="G57" s="322" t="e">
        <f t="shared" si="98"/>
        <v>#N/A</v>
      </c>
      <c r="H57" s="322" t="e">
        <f t="shared" si="99"/>
        <v>#N/A</v>
      </c>
      <c r="I57" s="92" t="e">
        <f>IF($C57="","",VLOOKUP($C57,AMAPit!$A$10:$BJ$122,I$51,FALSE))</f>
        <v>#N/A</v>
      </c>
      <c r="J57" s="70">
        <f t="shared" si="100"/>
        <v>0</v>
      </c>
      <c r="K57" s="322" t="e">
        <f>IF($C57="","",VLOOKUP($C57,AMAPit!$A$10:$BJ$122,K$51,FALSE))</f>
        <v>#N/A</v>
      </c>
      <c r="L57" s="322" t="e">
        <f>IF($C57="","",VLOOKUP($C57,AMAPit!$A$10:$BJ$122,L$51,FALSE))</f>
        <v>#N/A</v>
      </c>
      <c r="M57" s="323" t="e">
        <f>IF($C57="","",VLOOKUP($C57,AMAPit!$A$10:$BJ$122,M$51,FALSE))</f>
        <v>#N/A</v>
      </c>
      <c r="N57" s="322" t="e">
        <f>IF($C57="","",VLOOKUP($C57,AMAPit!$A$10:$BJ$122,N$51,FALSE))</f>
        <v>#N/A</v>
      </c>
      <c r="O57" s="322" t="e">
        <f>IF($C57="","",VLOOKUP($C57,AMAPit!$A$10:$BJ$122,O$51,FALSE))</f>
        <v>#N/A</v>
      </c>
      <c r="P57" s="322" t="e">
        <f>IF($C57="","",VLOOKUP($C57,AMAPit!$A$10:$BJ$122,P$51,FALSE))</f>
        <v>#N/A</v>
      </c>
      <c r="Q57" s="322" t="e">
        <f>IF($C57="","",VLOOKUP($C57,AMAPit!$A$10:$BJ$122,Q$51,FALSE))</f>
        <v>#N/A</v>
      </c>
      <c r="R57" s="322" t="e">
        <f>IF($C57="","",VLOOKUP($C57,AMAPit!$A$10:$BJ$122,R$51,FALSE))</f>
        <v>#N/A</v>
      </c>
      <c r="S57" s="322" t="e">
        <f>IF($C57="","",VLOOKUP($C57,AMAPit!$A$10:$BJ$122,S$51,FALSE))</f>
        <v>#N/A</v>
      </c>
      <c r="T57" s="322" t="e">
        <f>IF($C57="","",VLOOKUP($C57,AMAPit!$A$10:$BJ$122,T$51,FALSE))</f>
        <v>#N/A</v>
      </c>
      <c r="U57" s="322" t="e">
        <f>IF($C57="","",VLOOKUP($C57,AMAPit!$A$10:$BJ$122,U$51,FALSE))</f>
        <v>#N/A</v>
      </c>
      <c r="V57" s="322" t="e">
        <f>IF($C57="","",VLOOKUP($C57,AMAPit!$A$10:$BJ$122,V$51,FALSE))</f>
        <v>#N/A</v>
      </c>
      <c r="W57" s="322" t="e">
        <f>IF($C57="","",VLOOKUP($C57,AMAPit!$A$10:$BJ$122,W$51,FALSE))</f>
        <v>#N/A</v>
      </c>
      <c r="X57" s="322" t="e">
        <f>IF($C57="","",VLOOKUP($C57,AMAPit!$A$10:$BJ$122,X$51,FALSE))</f>
        <v>#N/A</v>
      </c>
      <c r="Y57" s="323" t="e">
        <f>IF($C57="","",VLOOKUP($C57,AMAPit!$A$10:$BJ$122,Y$51,FALSE))</f>
        <v>#N/A</v>
      </c>
      <c r="Z57" s="321" t="e">
        <f>IF($C57="","",VLOOKUP($C57,AMAPit!$A$10:$BJ$122,Z$51,FALSE))</f>
        <v>#N/A</v>
      </c>
      <c r="AA57" s="322" t="e">
        <f>IF($C57="","",VLOOKUP($C57,AMAPit!$A$10:$BJ$122,AA$51,FALSE))</f>
        <v>#N/A</v>
      </c>
      <c r="AB57" s="73" t="e">
        <f>IF($C57="","",VLOOKUP($C57,AMAPit!$A$10:$BJ$122,AB$51,FALSE))</f>
        <v>#N/A</v>
      </c>
      <c r="AC57" s="60" t="e">
        <f>IF($C57="","",VLOOKUP($C57,AMAPit!$A$10:$BJ$122,AC$51,FALSE))</f>
        <v>#N/A</v>
      </c>
      <c r="AD57" s="322" t="e">
        <f>IF($C57="","",VLOOKUP($C57,AMAPit!$A$10:$BJ$122,AD$51,FALSE))</f>
        <v>#N/A</v>
      </c>
      <c r="AE57" s="322" t="e">
        <f>IF($C57="","",VLOOKUP($C57,AMAPit!$A$10:$BJ$122,AE$51,FALSE))</f>
        <v>#N/A</v>
      </c>
      <c r="AF57" s="323" t="e">
        <f>IF($C57="","",VLOOKUP($C57,AMAPit!$A$10:$BJ$122,AF$51,FALSE))</f>
        <v>#N/A</v>
      </c>
      <c r="AG57" s="60" t="e">
        <f>IF($C57="","",VLOOKUP($C57,AMAPit!$A$10:$BJ$122,AG$51,FALSE))</f>
        <v>#N/A</v>
      </c>
    </row>
    <row r="58" spans="1:33" x14ac:dyDescent="0.25">
      <c r="A58" s="322">
        <v>6</v>
      </c>
      <c r="B58" s="32" t="s">
        <v>105</v>
      </c>
      <c r="C58" s="279" t="s">
        <v>533</v>
      </c>
      <c r="D58" s="33" t="e">
        <f>IF($C58="","",VLOOKUP($C58,AMAPit!$A$10:$BJ$122,D$1-2,FALSE))</f>
        <v>#N/A</v>
      </c>
      <c r="E58" s="35" t="e">
        <f>IF($C58="","",VLOOKUP($C58,AMAPit!$A$10:$BJ$122,E$1-1,FALSE))</f>
        <v>#N/A</v>
      </c>
      <c r="F58" s="324" t="e">
        <f t="shared" si="97"/>
        <v>#N/A</v>
      </c>
      <c r="G58" s="324" t="e">
        <f t="shared" si="98"/>
        <v>#N/A</v>
      </c>
      <c r="H58" s="324" t="e">
        <f t="shared" si="99"/>
        <v>#N/A</v>
      </c>
      <c r="I58" s="93" t="e">
        <f>IF($C58="","",VLOOKUP($C58,AMAPit!$A$10:$BJ$122,I$51,FALSE))</f>
        <v>#N/A</v>
      </c>
      <c r="J58" s="71">
        <f t="shared" si="100"/>
        <v>0</v>
      </c>
      <c r="K58" s="324" t="e">
        <f>IF($C58="","",VLOOKUP($C58,AMAPit!$A$10:$BJ$122,K$51,FALSE))</f>
        <v>#N/A</v>
      </c>
      <c r="L58" s="324" t="e">
        <f>IF($C58="","",VLOOKUP($C58,AMAPit!$A$10:$BJ$122,L$51,FALSE))</f>
        <v>#N/A</v>
      </c>
      <c r="M58" s="325" t="e">
        <f>IF($C58="","",VLOOKUP($C58,AMAPit!$A$10:$BJ$122,M$51,FALSE))</f>
        <v>#N/A</v>
      </c>
      <c r="N58" s="324" t="e">
        <f>IF($C58="","",VLOOKUP($C58,AMAPit!$A$10:$BJ$122,N$51,FALSE))</f>
        <v>#N/A</v>
      </c>
      <c r="O58" s="324" t="e">
        <f>IF($C58="","",VLOOKUP($C58,AMAPit!$A$10:$BJ$122,O$51,FALSE))</f>
        <v>#N/A</v>
      </c>
      <c r="P58" s="324" t="e">
        <f>IF($C58="","",VLOOKUP($C58,AMAPit!$A$10:$BJ$122,P$51,FALSE))</f>
        <v>#N/A</v>
      </c>
      <c r="Q58" s="324" t="e">
        <f>IF($C58="","",VLOOKUP($C58,AMAPit!$A$10:$BJ$122,Q$51,FALSE))</f>
        <v>#N/A</v>
      </c>
      <c r="R58" s="324" t="e">
        <f>IF($C58="","",VLOOKUP($C58,AMAPit!$A$10:$BJ$122,R$51,FALSE))</f>
        <v>#N/A</v>
      </c>
      <c r="S58" s="324" t="e">
        <f>IF($C58="","",VLOOKUP($C58,AMAPit!$A$10:$BJ$122,S$51,FALSE))</f>
        <v>#N/A</v>
      </c>
      <c r="T58" s="324" t="e">
        <f>IF($C58="","",VLOOKUP($C58,AMAPit!$A$10:$BJ$122,T$51,FALSE))</f>
        <v>#N/A</v>
      </c>
      <c r="U58" s="324" t="e">
        <f>IF($C58="","",VLOOKUP($C58,AMAPit!$A$10:$BJ$122,U$51,FALSE))</f>
        <v>#N/A</v>
      </c>
      <c r="V58" s="324" t="e">
        <f>IF($C58="","",VLOOKUP($C58,AMAPit!$A$10:$BJ$122,V$51,FALSE))</f>
        <v>#N/A</v>
      </c>
      <c r="W58" s="324" t="e">
        <f>IF($C58="","",VLOOKUP($C58,AMAPit!$A$10:$BJ$122,W$51,FALSE))</f>
        <v>#N/A</v>
      </c>
      <c r="X58" s="324" t="e">
        <f>IF($C58="","",VLOOKUP($C58,AMAPit!$A$10:$BJ$122,X$51,FALSE))</f>
        <v>#N/A</v>
      </c>
      <c r="Y58" s="325" t="e">
        <f>IF($C58="","",VLOOKUP($C58,AMAPit!$A$10:$BJ$122,Y$51,FALSE))</f>
        <v>#N/A</v>
      </c>
      <c r="Z58" s="47" t="e">
        <f>IF($C58="","",VLOOKUP($C58,AMAPit!$A$10:$BJ$122,Z$51,FALSE))</f>
        <v>#N/A</v>
      </c>
      <c r="AA58" s="324" t="e">
        <f>IF($C58="","",VLOOKUP($C58,AMAPit!$A$10:$BJ$122,AA$51,FALSE))</f>
        <v>#N/A</v>
      </c>
      <c r="AB58" s="74" t="e">
        <f>IF($C58="","",VLOOKUP($C58,AMAPit!$A$10:$BJ$122,AB$51,FALSE))</f>
        <v>#N/A</v>
      </c>
      <c r="AC58" s="61" t="e">
        <f>IF($C58="","",VLOOKUP($C58,AMAPit!$A$10:$BJ$122,AC$51,FALSE))</f>
        <v>#N/A</v>
      </c>
      <c r="AD58" s="324" t="e">
        <f>IF($C58="","",VLOOKUP($C58,AMAPit!$A$10:$BJ$122,AD$51,FALSE))</f>
        <v>#N/A</v>
      </c>
      <c r="AE58" s="324" t="e">
        <f>IF($C58="","",VLOOKUP($C58,AMAPit!$A$10:$BJ$122,AE$51,FALSE))</f>
        <v>#N/A</v>
      </c>
      <c r="AF58" s="325" t="e">
        <f>IF($C58="","",VLOOKUP($C58,AMAPit!$A$10:$BJ$122,AF$51,FALSE))</f>
        <v>#N/A</v>
      </c>
      <c r="AG58" s="61" t="e">
        <f>IF($C58="","",VLOOKUP($C58,AMAPit!$A$10:$BJ$122,AG$51,FALSE))</f>
        <v>#N/A</v>
      </c>
    </row>
    <row r="59" spans="1:33" x14ac:dyDescent="0.25">
      <c r="C59" s="280"/>
      <c r="Z59" s="322"/>
      <c r="AA59" s="322"/>
      <c r="AB59" s="322"/>
    </row>
    <row r="60" spans="1:33" ht="57" x14ac:dyDescent="0.25">
      <c r="A60" s="18" t="s">
        <v>170</v>
      </c>
      <c r="B60" s="326" t="s">
        <v>106</v>
      </c>
      <c r="C60" s="281" t="s">
        <v>96</v>
      </c>
      <c r="D60" s="37" t="s">
        <v>70</v>
      </c>
      <c r="E60" s="37" t="s">
        <v>81</v>
      </c>
      <c r="F60" s="48" t="s">
        <v>167</v>
      </c>
      <c r="G60" s="40" t="s">
        <v>168</v>
      </c>
      <c r="H60" s="49" t="s">
        <v>169</v>
      </c>
      <c r="I60" s="69" t="s">
        <v>189</v>
      </c>
      <c r="J60" s="40" t="s">
        <v>166</v>
      </c>
      <c r="K60" s="72" t="s">
        <v>163</v>
      </c>
      <c r="L60" s="67" t="s">
        <v>164</v>
      </c>
      <c r="M60" s="68" t="s">
        <v>165</v>
      </c>
      <c r="N60" s="67" t="s">
        <v>40</v>
      </c>
      <c r="O60" s="67" t="s">
        <v>42</v>
      </c>
      <c r="P60" s="67" t="s">
        <v>44</v>
      </c>
      <c r="Q60" s="67" t="s">
        <v>46</v>
      </c>
      <c r="R60" s="67" t="s">
        <v>48</v>
      </c>
      <c r="S60" s="67" t="s">
        <v>87</v>
      </c>
      <c r="T60" s="67" t="s">
        <v>51</v>
      </c>
      <c r="U60" s="67" t="s">
        <v>53</v>
      </c>
      <c r="V60" s="67" t="s">
        <v>55</v>
      </c>
      <c r="W60" s="67" t="s">
        <v>57</v>
      </c>
      <c r="X60" s="67" t="s">
        <v>59</v>
      </c>
      <c r="Y60" s="68" t="s">
        <v>61</v>
      </c>
      <c r="Z60" s="72" t="s">
        <v>176</v>
      </c>
      <c r="AA60" s="67" t="s">
        <v>175</v>
      </c>
      <c r="AB60" s="68" t="s">
        <v>177</v>
      </c>
      <c r="AC60" s="251" t="s">
        <v>354</v>
      </c>
      <c r="AD60" s="67" t="s">
        <v>163</v>
      </c>
      <c r="AE60" s="67" t="s">
        <v>164</v>
      </c>
      <c r="AF60" s="68" t="s">
        <v>165</v>
      </c>
      <c r="AG60" s="251" t="s">
        <v>174</v>
      </c>
    </row>
    <row r="61" spans="1:33" x14ac:dyDescent="0.25">
      <c r="A61" s="305">
        <v>1</v>
      </c>
      <c r="B61" s="29" t="s">
        <v>88</v>
      </c>
      <c r="C61" s="58" t="s">
        <v>456</v>
      </c>
      <c r="D61" s="30" t="e">
        <f>IF($C61="","",VLOOKUP($C61,AMAPit!$A$10:$BJ$122,D$1-2,FALSE))</f>
        <v>#N/A</v>
      </c>
      <c r="E61" s="30" t="e">
        <f>IF($C61="","",VLOOKUP($C61,AMAPit!$A$10:$BJ$122,E$1-1,FALSE))</f>
        <v>#N/A</v>
      </c>
      <c r="F61" s="321" t="e">
        <f>IF($C61="","",IF(AVERAGE(K61:M61)&gt;7,1,0))</f>
        <v>#N/A</v>
      </c>
      <c r="G61" s="322" t="e">
        <f>IF($C61="","",IF(AVERAGE(K61:M61)&gt;6.5,1,0))</f>
        <v>#N/A</v>
      </c>
      <c r="H61" s="323" t="e">
        <f>IF($C61="","",IF(AVERAGE(K61:M61)&gt;6,1,0))</f>
        <v>#N/A</v>
      </c>
      <c r="I61" s="91" t="e">
        <f>IF($C61="","",VLOOKUP($C61,AMAPit!$A$10:$BJ$122,I$51,FALSE))</f>
        <v>#N/A</v>
      </c>
      <c r="J61" s="322">
        <f>IF($C61="","",COUNT(N61:Y61))</f>
        <v>0</v>
      </c>
      <c r="K61" s="321" t="e">
        <f>IF($C61="","",VLOOKUP($C61,AMAPit!$A$10:$BJ$122,K$51,FALSE))</f>
        <v>#N/A</v>
      </c>
      <c r="L61" s="322" t="e">
        <f>IF($C61="","",VLOOKUP($C61,AMAPit!$A$10:$BJ$122,L$51,FALSE))</f>
        <v>#N/A</v>
      </c>
      <c r="M61" s="323" t="e">
        <f>IF($C61="","",VLOOKUP($C61,AMAPit!$A$10:$BJ$122,M$51,FALSE))</f>
        <v>#N/A</v>
      </c>
      <c r="N61" s="322" t="e">
        <f>IF($C61="","",VLOOKUP($C61,AMAPit!$A$10:$BJ$122,N$51,FALSE))</f>
        <v>#N/A</v>
      </c>
      <c r="O61" s="322" t="e">
        <f>IF($C61="","",VLOOKUP($C61,AMAPit!$A$10:$BJ$122,O$51,FALSE))</f>
        <v>#N/A</v>
      </c>
      <c r="P61" s="322" t="e">
        <f>IF($C61="","",VLOOKUP($C61,AMAPit!$A$10:$BJ$122,P$51,FALSE))</f>
        <v>#N/A</v>
      </c>
      <c r="Q61" s="322" t="e">
        <f>IF($C61="","",VLOOKUP($C61,AMAPit!$A$10:$BJ$122,Q$51,FALSE))</f>
        <v>#N/A</v>
      </c>
      <c r="R61" s="322" t="e">
        <f>IF($C61="","",VLOOKUP($C61,AMAPit!$A$10:$BJ$122,R$51,FALSE))</f>
        <v>#N/A</v>
      </c>
      <c r="S61" s="322" t="e">
        <f>IF($C61="","",VLOOKUP($C61,AMAPit!$A$10:$BJ$122,S$51,FALSE))</f>
        <v>#N/A</v>
      </c>
      <c r="T61" s="322" t="e">
        <f>IF($C61="","",VLOOKUP($C61,AMAPit!$A$10:$BJ$122,T$51,FALSE))</f>
        <v>#N/A</v>
      </c>
      <c r="U61" s="322" t="e">
        <f>IF($C61="","",VLOOKUP($C61,AMAPit!$A$10:$BJ$122,U$51,FALSE))</f>
        <v>#N/A</v>
      </c>
      <c r="V61" s="322" t="e">
        <f>IF($C61="","",VLOOKUP($C61,AMAPit!$A$10:$BJ$122,V$51,FALSE))</f>
        <v>#N/A</v>
      </c>
      <c r="W61" s="322" t="e">
        <f>IF($C61="","",VLOOKUP($C61,AMAPit!$A$10:$BJ$122,W$51,FALSE))</f>
        <v>#N/A</v>
      </c>
      <c r="X61" s="322" t="e">
        <f>IF($C61="","",VLOOKUP($C61,AMAPit!$A$10:$BJ$122,X$51,FALSE))</f>
        <v>#N/A</v>
      </c>
      <c r="Y61" s="323" t="e">
        <f>IF($C61="","",VLOOKUP($C61,AMAPit!$A$10:$BJ$122,Y$51,FALSE))</f>
        <v>#N/A</v>
      </c>
      <c r="Z61" s="321" t="e">
        <f>IF($C61="","",VLOOKUP($C61,AMAPit!$A$10:$BJ$122,Z$51,FALSE))</f>
        <v>#N/A</v>
      </c>
      <c r="AA61" s="322" t="e">
        <f>IF($C61="","",VLOOKUP($C61,AMAPit!$A$10:$BJ$122,AA$51,FALSE))</f>
        <v>#N/A</v>
      </c>
      <c r="AB61" s="73" t="e">
        <f>IF($C61="","",VLOOKUP($C61,AMAPit!$A$10:$BJ$122,AB$51,FALSE))</f>
        <v>#N/A</v>
      </c>
      <c r="AC61" s="252" t="e">
        <f>IF($C61="","",VLOOKUP($C61,AMAPit!$A$10:$BJ$122,AC$51,FALSE))</f>
        <v>#N/A</v>
      </c>
      <c r="AD61" s="322" t="e">
        <f>IF($C61="","",VLOOKUP($C61,AMAPit!$A$10:$BJ$122,AD$51,FALSE))</f>
        <v>#N/A</v>
      </c>
      <c r="AE61" s="322" t="e">
        <f>IF($C61="","",VLOOKUP($C61,AMAPit!$A$10:$BJ$122,AE$51,FALSE))</f>
        <v>#N/A</v>
      </c>
      <c r="AF61" s="323" t="e">
        <f>IF($C61="","",VLOOKUP($C61,AMAPit!$A$10:$BJ$122,AF$51,FALSE))</f>
        <v>#N/A</v>
      </c>
      <c r="AG61" s="252" t="e">
        <f>IF($C61="","",VLOOKUP($C61,AMAPit!$A$10:$BJ$122,AG$51,FALSE))</f>
        <v>#N/A</v>
      </c>
    </row>
    <row r="62" spans="1:33" x14ac:dyDescent="0.25">
      <c r="A62" s="305">
        <v>2</v>
      </c>
      <c r="B62" s="32" t="s">
        <v>107</v>
      </c>
      <c r="C62" s="282"/>
      <c r="D62" s="33" t="str">
        <f>IF($C62="","",VLOOKUP($C62,AMAPit!$A$10:$BJ$122,D$1-2,FALSE))</f>
        <v/>
      </c>
      <c r="E62" s="33" t="str">
        <f>IF($C62="","",VLOOKUP($C62,AMAPit!$A$10:$BJ$122,E$1-1,FALSE))</f>
        <v/>
      </c>
      <c r="F62" s="47" t="str">
        <f>IF($C62="","",IF(AVERAGE(K62:M62)&gt;7,1,0))</f>
        <v/>
      </c>
      <c r="G62" s="324" t="str">
        <f>IF($C62="","",IF(AVERAGE(K62:M62)&gt;6.5,1,0))</f>
        <v/>
      </c>
      <c r="H62" s="325" t="str">
        <f>IF($C62="","",IF(AVERAGE(K62:M62)&gt;6,1,0))</f>
        <v/>
      </c>
      <c r="I62" s="93" t="str">
        <f>IF($C62="","",VLOOKUP($C62,AMAPit!$A$10:$BJ$122,I$51,FALSE))</f>
        <v/>
      </c>
      <c r="J62" s="324" t="str">
        <f>IF($C62="","",COUNT(N62:Y62))</f>
        <v/>
      </c>
      <c r="K62" s="47" t="str">
        <f>IF($C62="","",VLOOKUP($C62,AMAPit!$A$10:$BJ$122,K$51,FALSE))</f>
        <v/>
      </c>
      <c r="L62" s="324" t="str">
        <f>IF($C62="","",VLOOKUP($C62,AMAPit!$A$10:$BJ$122,L$51,FALSE))</f>
        <v/>
      </c>
      <c r="M62" s="325" t="str">
        <f>IF($C62="","",VLOOKUP($C62,AMAPit!$A$10:$BJ$122,M$51,FALSE))</f>
        <v/>
      </c>
      <c r="N62" s="324" t="str">
        <f>IF($C62="","",VLOOKUP($C62,AMAPit!$A$10:$BJ$122,N$51,FALSE))</f>
        <v/>
      </c>
      <c r="O62" s="324" t="str">
        <f>IF($C62="","",VLOOKUP($C62,AMAPit!$A$10:$BJ$122,O$51,FALSE))</f>
        <v/>
      </c>
      <c r="P62" s="324" t="str">
        <f>IF($C62="","",VLOOKUP($C62,AMAPit!$A$10:$BJ$122,P$51,FALSE))</f>
        <v/>
      </c>
      <c r="Q62" s="324" t="str">
        <f>IF($C62="","",VLOOKUP($C62,AMAPit!$A$10:$BJ$122,Q$51,FALSE))</f>
        <v/>
      </c>
      <c r="R62" s="324" t="str">
        <f>IF($C62="","",VLOOKUP($C62,AMAPit!$A$10:$BJ$122,R$51,FALSE))</f>
        <v/>
      </c>
      <c r="S62" s="324" t="str">
        <f>IF($C62="","",VLOOKUP($C62,AMAPit!$A$10:$BJ$122,S$51,FALSE))</f>
        <v/>
      </c>
      <c r="T62" s="324" t="str">
        <f>IF($C62="","",VLOOKUP($C62,AMAPit!$A$10:$BJ$122,T$51,FALSE))</f>
        <v/>
      </c>
      <c r="U62" s="324" t="str">
        <f>IF($C62="","",VLOOKUP($C62,AMAPit!$A$10:$BJ$122,U$51,FALSE))</f>
        <v/>
      </c>
      <c r="V62" s="324" t="str">
        <f>IF($C62="","",VLOOKUP($C62,AMAPit!$A$10:$BJ$122,V$51,FALSE))</f>
        <v/>
      </c>
      <c r="W62" s="324" t="str">
        <f>IF($C62="","",VLOOKUP($C62,AMAPit!$A$10:$BJ$122,W$51,FALSE))</f>
        <v/>
      </c>
      <c r="X62" s="324" t="str">
        <f>IF($C62="","",VLOOKUP($C62,AMAPit!$A$10:$BJ$122,X$51,FALSE))</f>
        <v/>
      </c>
      <c r="Y62" s="325" t="str">
        <f>IF($C62="","",VLOOKUP($C62,AMAPit!$A$10:$BJ$122,Y$51,FALSE))</f>
        <v/>
      </c>
      <c r="Z62" s="47" t="str">
        <f>IF($C62="","",VLOOKUP($C62,AMAPit!$A$10:$BJ$122,Z$51,FALSE))</f>
        <v/>
      </c>
      <c r="AA62" s="324" t="str">
        <f>IF($C62="","",VLOOKUP($C62,AMAPit!$A$10:$BJ$122,AA$51,FALSE))</f>
        <v/>
      </c>
      <c r="AB62" s="74" t="str">
        <f>IF($C62="","",VLOOKUP($C62,AMAPit!$A$10:$BJ$122,AB$51,FALSE))</f>
        <v/>
      </c>
      <c r="AC62" s="61" t="str">
        <f>IF($C62="","",VLOOKUP($C62,AMAPit!$A$10:$BJ$122,AC$51,FALSE))</f>
        <v/>
      </c>
      <c r="AD62" s="324" t="str">
        <f>IF($C62="","",VLOOKUP($C62,AMAPit!$A$10:$BJ$122,AD$51,FALSE))</f>
        <v/>
      </c>
      <c r="AE62" s="324" t="str">
        <f>IF($C62="","",VLOOKUP($C62,AMAPit!$A$10:$BJ$122,AE$51,FALSE))</f>
        <v/>
      </c>
      <c r="AF62" s="325" t="str">
        <f>IF($C62="","",VLOOKUP($C62,AMAPit!$A$10:$BJ$122,AF$51,FALSE))</f>
        <v/>
      </c>
      <c r="AG62" s="61" t="str">
        <f>IF($C62="","",VLOOKUP($C62,AMAPit!$A$10:$BJ$122,AG$51,FALSE))</f>
        <v/>
      </c>
    </row>
    <row r="63" spans="1:33" x14ac:dyDescent="0.25">
      <c r="C63" s="280"/>
      <c r="Z63" s="322"/>
      <c r="AA63" s="322"/>
      <c r="AB63" s="322"/>
    </row>
    <row r="64" spans="1:33" ht="57" x14ac:dyDescent="0.25">
      <c r="A64" s="18" t="s">
        <v>170</v>
      </c>
      <c r="B64" s="326" t="s">
        <v>108</v>
      </c>
      <c r="C64" s="281" t="s">
        <v>96</v>
      </c>
      <c r="D64" s="37" t="s">
        <v>70</v>
      </c>
      <c r="E64" s="37" t="s">
        <v>81</v>
      </c>
      <c r="F64" s="48" t="s">
        <v>167</v>
      </c>
      <c r="G64" s="40" t="s">
        <v>168</v>
      </c>
      <c r="H64" s="49" t="s">
        <v>169</v>
      </c>
      <c r="I64" s="69" t="s">
        <v>189</v>
      </c>
      <c r="J64" s="40" t="s">
        <v>166</v>
      </c>
      <c r="K64" s="72" t="s">
        <v>163</v>
      </c>
      <c r="L64" s="67" t="s">
        <v>164</v>
      </c>
      <c r="M64" s="68" t="s">
        <v>165</v>
      </c>
      <c r="N64" s="67" t="s">
        <v>40</v>
      </c>
      <c r="O64" s="67" t="s">
        <v>42</v>
      </c>
      <c r="P64" s="67" t="s">
        <v>44</v>
      </c>
      <c r="Q64" s="67" t="s">
        <v>46</v>
      </c>
      <c r="R64" s="67" t="s">
        <v>48</v>
      </c>
      <c r="S64" s="67" t="s">
        <v>87</v>
      </c>
      <c r="T64" s="67" t="s">
        <v>51</v>
      </c>
      <c r="U64" s="67" t="s">
        <v>53</v>
      </c>
      <c r="V64" s="67" t="s">
        <v>55</v>
      </c>
      <c r="W64" s="67" t="s">
        <v>57</v>
      </c>
      <c r="X64" s="67" t="s">
        <v>59</v>
      </c>
      <c r="Y64" s="68" t="s">
        <v>61</v>
      </c>
      <c r="Z64" s="72" t="s">
        <v>176</v>
      </c>
      <c r="AA64" s="67" t="s">
        <v>175</v>
      </c>
      <c r="AB64" s="68" t="s">
        <v>177</v>
      </c>
      <c r="AC64" s="251" t="s">
        <v>354</v>
      </c>
      <c r="AD64" s="67" t="s">
        <v>163</v>
      </c>
      <c r="AE64" s="67" t="s">
        <v>164</v>
      </c>
      <c r="AF64" s="68" t="s">
        <v>165</v>
      </c>
      <c r="AG64" s="251" t="s">
        <v>174</v>
      </c>
    </row>
    <row r="65" spans="1:33" x14ac:dyDescent="0.25">
      <c r="A65" s="305">
        <v>1</v>
      </c>
      <c r="B65" s="29" t="s">
        <v>109</v>
      </c>
      <c r="C65" s="58"/>
      <c r="D65" s="30" t="str">
        <f>IF($C65="","",VLOOKUP($C65,AMAPit!$A$10:$BJ$122,D$1-2,FALSE))</f>
        <v/>
      </c>
      <c r="E65" s="30" t="str">
        <f>IF($C65="","",VLOOKUP($C65,AMAPit!$A$10:$BJ$122,E$1-1,FALSE))</f>
        <v/>
      </c>
      <c r="F65" s="321" t="str">
        <f t="shared" ref="F65:F74" si="101">IF($C65="","",IF(AVERAGE(K65:M65)&gt;7,1,0))</f>
        <v/>
      </c>
      <c r="G65" s="322" t="str">
        <f t="shared" ref="G65:G74" si="102">IF($C65="","",IF(AVERAGE(K65:M65)&gt;6.5,1,0))</f>
        <v/>
      </c>
      <c r="H65" s="323" t="str">
        <f t="shared" ref="H65:H74" si="103">IF($C65="","",IF(AVERAGE(K65:M65)&gt;6,1,0))</f>
        <v/>
      </c>
      <c r="I65" s="92" t="str">
        <f>IF($C65="","",VLOOKUP($C65,AMAPit!$A$10:$BJ$122,I$51,FALSE))</f>
        <v/>
      </c>
      <c r="J65" s="322" t="str">
        <f t="shared" ref="J65:J74" si="104">IF($C65="","",COUNT(N65:Y65))</f>
        <v/>
      </c>
      <c r="K65" s="321" t="str">
        <f>IF($C65="","",VLOOKUP($C65,AMAPit!$A$10:$BJ$122,K$51,FALSE))</f>
        <v/>
      </c>
      <c r="L65" s="322" t="str">
        <f>IF($C65="","",VLOOKUP($C65,AMAPit!$A$10:$BJ$122,L$51,FALSE))</f>
        <v/>
      </c>
      <c r="M65" s="323" t="str">
        <f>IF($C65="","",VLOOKUP($C65,AMAPit!$A$10:$BJ$122,M$51,FALSE))</f>
        <v/>
      </c>
      <c r="N65" s="322" t="str">
        <f>IF($C65="","",VLOOKUP($C65,AMAPit!$A$10:$BJ$122,N$51,FALSE))</f>
        <v/>
      </c>
      <c r="O65" s="322" t="str">
        <f>IF($C65="","",VLOOKUP($C65,AMAPit!$A$10:$BJ$122,O$51,FALSE))</f>
        <v/>
      </c>
      <c r="P65" s="322" t="str">
        <f>IF($C65="","",VLOOKUP($C65,AMAPit!$A$10:$BJ$122,P$51,FALSE))</f>
        <v/>
      </c>
      <c r="Q65" s="322" t="str">
        <f>IF($C65="","",VLOOKUP($C65,AMAPit!$A$10:$BJ$122,Q$51,FALSE))</f>
        <v/>
      </c>
      <c r="R65" s="322" t="str">
        <f>IF($C65="","",VLOOKUP($C65,AMAPit!$A$10:$BJ$122,R$51,FALSE))</f>
        <v/>
      </c>
      <c r="S65" s="322" t="str">
        <f>IF($C65="","",VLOOKUP($C65,AMAPit!$A$10:$BJ$122,S$51,FALSE))</f>
        <v/>
      </c>
      <c r="T65" s="322" t="str">
        <f>IF($C65="","",VLOOKUP($C65,AMAPit!$A$10:$BJ$122,T$51,FALSE))</f>
        <v/>
      </c>
      <c r="U65" s="322" t="str">
        <f>IF($C65="","",VLOOKUP($C65,AMAPit!$A$10:$BJ$122,U$51,FALSE))</f>
        <v/>
      </c>
      <c r="V65" s="322" t="str">
        <f>IF($C65="","",VLOOKUP($C65,AMAPit!$A$10:$BJ$122,V$51,FALSE))</f>
        <v/>
      </c>
      <c r="W65" s="322" t="str">
        <f>IF($C65="","",VLOOKUP($C65,AMAPit!$A$10:$BJ$122,W$51,FALSE))</f>
        <v/>
      </c>
      <c r="X65" s="322" t="str">
        <f>IF($C65="","",VLOOKUP($C65,AMAPit!$A$10:$BJ$122,X$51,FALSE))</f>
        <v/>
      </c>
      <c r="Y65" s="323" t="str">
        <f>IF($C65="","",VLOOKUP($C65,AMAPit!$A$10:$BJ$122,Y$51,FALSE))</f>
        <v/>
      </c>
      <c r="Z65" s="321" t="str">
        <f>IF($C65="","",VLOOKUP($C65,AMAPit!$A$10:$BJ$122,Z$51,FALSE))</f>
        <v/>
      </c>
      <c r="AA65" s="322" t="str">
        <f>IF($C65="","",VLOOKUP($C65,AMAPit!$A$10:$BJ$122,AA$51,FALSE))</f>
        <v/>
      </c>
      <c r="AB65" s="73" t="str">
        <f>IF($C65="","",VLOOKUP($C65,AMAPit!$A$10:$BJ$122,AB$51,FALSE))</f>
        <v/>
      </c>
      <c r="AC65" s="252" t="str">
        <f>IF($C65="","",VLOOKUP($C65,AMAPit!$A$10:$BJ$122,AC$51,FALSE))</f>
        <v/>
      </c>
      <c r="AD65" s="322" t="str">
        <f>IF($C65="","",VLOOKUP($C65,AMAPit!$A$10:$BJ$122,AD$51,FALSE))</f>
        <v/>
      </c>
      <c r="AE65" s="322" t="str">
        <f>IF($C65="","",VLOOKUP($C65,AMAPit!$A$10:$BJ$122,AE$51,FALSE))</f>
        <v/>
      </c>
      <c r="AF65" s="323" t="str">
        <f>IF($C65="","",VLOOKUP($C65,AMAPit!$A$10:$BJ$122,AF$51,FALSE))</f>
        <v/>
      </c>
      <c r="AG65" s="252" t="str">
        <f>IF($C65="","",VLOOKUP($C65,AMAPit!$A$10:$BJ$122,AG$51,FALSE))</f>
        <v/>
      </c>
    </row>
    <row r="66" spans="1:33" x14ac:dyDescent="0.25">
      <c r="A66" s="305">
        <v>2</v>
      </c>
      <c r="B66" s="29" t="s">
        <v>110</v>
      </c>
      <c r="C66" s="58"/>
      <c r="D66" s="30" t="str">
        <f>IF($C66="","",VLOOKUP($C66,AMAPit!$A$10:$BJ$122,D$1-2,FALSE))</f>
        <v/>
      </c>
      <c r="E66" s="30" t="str">
        <f>IF($C66="","",VLOOKUP($C66,AMAPit!$A$10:$BJ$122,E$1-1,FALSE))</f>
        <v/>
      </c>
      <c r="F66" s="321" t="str">
        <f t="shared" si="101"/>
        <v/>
      </c>
      <c r="G66" s="322" t="str">
        <f t="shared" si="102"/>
        <v/>
      </c>
      <c r="H66" s="323" t="str">
        <f t="shared" si="103"/>
        <v/>
      </c>
      <c r="I66" s="92" t="str">
        <f>IF($C66="","",VLOOKUP($C66,AMAPit!$A$10:$BJ$122,I$51,FALSE))</f>
        <v/>
      </c>
      <c r="J66" s="322" t="str">
        <f t="shared" si="104"/>
        <v/>
      </c>
      <c r="K66" s="321" t="str">
        <f>IF($C66="","",VLOOKUP($C66,AMAPit!$A$10:$BJ$122,K$51,FALSE))</f>
        <v/>
      </c>
      <c r="L66" s="322" t="str">
        <f>IF($C66="","",VLOOKUP($C66,AMAPit!$A$10:$BJ$122,L$51,FALSE))</f>
        <v/>
      </c>
      <c r="M66" s="323" t="str">
        <f>IF($C66="","",VLOOKUP($C66,AMAPit!$A$10:$BJ$122,M$51,FALSE))</f>
        <v/>
      </c>
      <c r="N66" s="322" t="str">
        <f>IF($C66="","",VLOOKUP($C66,AMAPit!$A$10:$BJ$122,N$51,FALSE))</f>
        <v/>
      </c>
      <c r="O66" s="322" t="str">
        <f>IF($C66="","",VLOOKUP($C66,AMAPit!$A$10:$BJ$122,O$51,FALSE))</f>
        <v/>
      </c>
      <c r="P66" s="322" t="str">
        <f>IF($C66="","",VLOOKUP($C66,AMAPit!$A$10:$BJ$122,P$51,FALSE))</f>
        <v/>
      </c>
      <c r="Q66" s="322" t="str">
        <f>IF($C66="","",VLOOKUP($C66,AMAPit!$A$10:$BJ$122,Q$51,FALSE))</f>
        <v/>
      </c>
      <c r="R66" s="322" t="str">
        <f>IF($C66="","",VLOOKUP($C66,AMAPit!$A$10:$BJ$122,R$51,FALSE))</f>
        <v/>
      </c>
      <c r="S66" s="322" t="str">
        <f>IF($C66="","",VLOOKUP($C66,AMAPit!$A$10:$BJ$122,S$51,FALSE))</f>
        <v/>
      </c>
      <c r="T66" s="322" t="str">
        <f>IF($C66="","",VLOOKUP($C66,AMAPit!$A$10:$BJ$122,T$51,FALSE))</f>
        <v/>
      </c>
      <c r="U66" s="322" t="str">
        <f>IF($C66="","",VLOOKUP($C66,AMAPit!$A$10:$BJ$122,U$51,FALSE))</f>
        <v/>
      </c>
      <c r="V66" s="322" t="str">
        <f>IF($C66="","",VLOOKUP($C66,AMAPit!$A$10:$BJ$122,V$51,FALSE))</f>
        <v/>
      </c>
      <c r="W66" s="322" t="str">
        <f>IF($C66="","",VLOOKUP($C66,AMAPit!$A$10:$BJ$122,W$51,FALSE))</f>
        <v/>
      </c>
      <c r="X66" s="322" t="str">
        <f>IF($C66="","",VLOOKUP($C66,AMAPit!$A$10:$BJ$122,X$51,FALSE))</f>
        <v/>
      </c>
      <c r="Y66" s="323" t="str">
        <f>IF($C66="","",VLOOKUP($C66,AMAPit!$A$10:$BJ$122,Y$51,FALSE))</f>
        <v/>
      </c>
      <c r="Z66" s="321" t="str">
        <f>IF($C66="","",VLOOKUP($C66,AMAPit!$A$10:$BJ$122,Z$51,FALSE))</f>
        <v/>
      </c>
      <c r="AA66" s="322" t="str">
        <f>IF($C66="","",VLOOKUP($C66,AMAPit!$A$10:$BJ$122,AA$51,FALSE))</f>
        <v/>
      </c>
      <c r="AB66" s="73" t="str">
        <f>IF($C66="","",VLOOKUP($C66,AMAPit!$A$10:$BJ$122,AB$51,FALSE))</f>
        <v/>
      </c>
      <c r="AC66" s="60" t="str">
        <f>IF($C66="","",VLOOKUP($C66,AMAPit!$A$10:$BJ$122,AC$51,FALSE))</f>
        <v/>
      </c>
      <c r="AD66" s="322" t="str">
        <f>IF($C66="","",VLOOKUP($C66,AMAPit!$A$10:$BJ$122,AD$51,FALSE))</f>
        <v/>
      </c>
      <c r="AE66" s="322" t="str">
        <f>IF($C66="","",VLOOKUP($C66,AMAPit!$A$10:$BJ$122,AE$51,FALSE))</f>
        <v/>
      </c>
      <c r="AF66" s="323" t="str">
        <f>IF($C66="","",VLOOKUP($C66,AMAPit!$A$10:$BJ$122,AF$51,FALSE))</f>
        <v/>
      </c>
      <c r="AG66" s="60" t="str">
        <f>IF($C66="","",VLOOKUP($C66,AMAPit!$A$10:$BJ$122,AG$51,FALSE))</f>
        <v/>
      </c>
    </row>
    <row r="67" spans="1:33" x14ac:dyDescent="0.25">
      <c r="A67" s="305">
        <v>3</v>
      </c>
      <c r="B67" s="29" t="s">
        <v>11</v>
      </c>
      <c r="C67" s="58"/>
      <c r="D67" s="30" t="str">
        <f>IF($C67="","",VLOOKUP($C67,AMAPit!$A$10:$BJ$122,D$1-2,FALSE))</f>
        <v/>
      </c>
      <c r="E67" s="30" t="str">
        <f>IF($C67="","",VLOOKUP($C67,AMAPit!$A$10:$BJ$122,E$1-1,FALSE))</f>
        <v/>
      </c>
      <c r="F67" s="321" t="str">
        <f t="shared" si="101"/>
        <v/>
      </c>
      <c r="G67" s="322" t="str">
        <f t="shared" si="102"/>
        <v/>
      </c>
      <c r="H67" s="323" t="str">
        <f t="shared" si="103"/>
        <v/>
      </c>
      <c r="I67" s="92" t="str">
        <f>IF($C67="","",VLOOKUP($C67,AMAPit!$A$10:$BJ$122,I$51,FALSE))</f>
        <v/>
      </c>
      <c r="J67" s="322" t="str">
        <f t="shared" si="104"/>
        <v/>
      </c>
      <c r="K67" s="321" t="str">
        <f>IF($C67="","",VLOOKUP($C67,AMAPit!$A$10:$BJ$122,K$51,FALSE))</f>
        <v/>
      </c>
      <c r="L67" s="322" t="str">
        <f>IF($C67="","",VLOOKUP($C67,AMAPit!$A$10:$BJ$122,L$51,FALSE))</f>
        <v/>
      </c>
      <c r="M67" s="323" t="str">
        <f>IF($C67="","",VLOOKUP($C67,AMAPit!$A$10:$BJ$122,M$51,FALSE))</f>
        <v/>
      </c>
      <c r="N67" s="322" t="str">
        <f>IF($C67="","",VLOOKUP($C67,AMAPit!$A$10:$BJ$122,N$51,FALSE))</f>
        <v/>
      </c>
      <c r="O67" s="322" t="str">
        <f>IF($C67="","",VLOOKUP($C67,AMAPit!$A$10:$BJ$122,O$51,FALSE))</f>
        <v/>
      </c>
      <c r="P67" s="322" t="str">
        <f>IF($C67="","",VLOOKUP($C67,AMAPit!$A$10:$BJ$122,P$51,FALSE))</f>
        <v/>
      </c>
      <c r="Q67" s="322" t="str">
        <f>IF($C67="","",VLOOKUP($C67,AMAPit!$A$10:$BJ$122,Q$51,FALSE))</f>
        <v/>
      </c>
      <c r="R67" s="322" t="str">
        <f>IF($C67="","",VLOOKUP($C67,AMAPit!$A$10:$BJ$122,R$51,FALSE))</f>
        <v/>
      </c>
      <c r="S67" s="322" t="str">
        <f>IF($C67="","",VLOOKUP($C67,AMAPit!$A$10:$BJ$122,S$51,FALSE))</f>
        <v/>
      </c>
      <c r="T67" s="322" t="str">
        <f>IF($C67="","",VLOOKUP($C67,AMAPit!$A$10:$BJ$122,T$51,FALSE))</f>
        <v/>
      </c>
      <c r="U67" s="322" t="str">
        <f>IF($C67="","",VLOOKUP($C67,AMAPit!$A$10:$BJ$122,U$51,FALSE))</f>
        <v/>
      </c>
      <c r="V67" s="322" t="str">
        <f>IF($C67="","",VLOOKUP($C67,AMAPit!$A$10:$BJ$122,V$51,FALSE))</f>
        <v/>
      </c>
      <c r="W67" s="322" t="str">
        <f>IF($C67="","",VLOOKUP($C67,AMAPit!$A$10:$BJ$122,W$51,FALSE))</f>
        <v/>
      </c>
      <c r="X67" s="322" t="str">
        <f>IF($C67="","",VLOOKUP($C67,AMAPit!$A$10:$BJ$122,X$51,FALSE))</f>
        <v/>
      </c>
      <c r="Y67" s="323" t="str">
        <f>IF($C67="","",VLOOKUP($C67,AMAPit!$A$10:$BJ$122,Y$51,FALSE))</f>
        <v/>
      </c>
      <c r="Z67" s="321" t="str">
        <f>IF($C67="","",VLOOKUP($C67,AMAPit!$A$10:$BJ$122,Z$51,FALSE))</f>
        <v/>
      </c>
      <c r="AA67" s="322" t="str">
        <f>IF($C67="","",VLOOKUP($C67,AMAPit!$A$10:$BJ$122,AA$51,FALSE))</f>
        <v/>
      </c>
      <c r="AB67" s="73" t="str">
        <f>IF($C67="","",VLOOKUP($C67,AMAPit!$A$10:$BJ$122,AB$51,FALSE))</f>
        <v/>
      </c>
      <c r="AC67" s="60" t="str">
        <f>IF($C67="","",VLOOKUP($C67,AMAPit!$A$10:$BJ$122,AC$51,FALSE))</f>
        <v/>
      </c>
      <c r="AD67" s="322" t="str">
        <f>IF($C67="","",VLOOKUP($C67,AMAPit!$A$10:$BJ$122,AD$51,FALSE))</f>
        <v/>
      </c>
      <c r="AE67" s="322" t="str">
        <f>IF($C67="","",VLOOKUP($C67,AMAPit!$A$10:$BJ$122,AE$51,FALSE))</f>
        <v/>
      </c>
      <c r="AF67" s="323" t="str">
        <f>IF($C67="","",VLOOKUP($C67,AMAPit!$A$10:$BJ$122,AF$51,FALSE))</f>
        <v/>
      </c>
      <c r="AG67" s="60" t="str">
        <f>IF($C67="","",VLOOKUP($C67,AMAPit!$A$10:$BJ$122,AG$51,FALSE))</f>
        <v/>
      </c>
    </row>
    <row r="68" spans="1:33" x14ac:dyDescent="0.25">
      <c r="A68" s="305">
        <v>4</v>
      </c>
      <c r="B68" s="29" t="s">
        <v>11</v>
      </c>
      <c r="C68" s="58"/>
      <c r="D68" s="30" t="str">
        <f>IF($C68="","",VLOOKUP($C68,AMAPit!$A$10:$BJ$122,D$1-2,FALSE))</f>
        <v/>
      </c>
      <c r="E68" s="30" t="str">
        <f>IF($C68="","",VLOOKUP($C68,AMAPit!$A$10:$BJ$122,E$1-1,FALSE))</f>
        <v/>
      </c>
      <c r="F68" s="321" t="str">
        <f t="shared" si="101"/>
        <v/>
      </c>
      <c r="G68" s="322" t="str">
        <f t="shared" si="102"/>
        <v/>
      </c>
      <c r="H68" s="323" t="str">
        <f t="shared" si="103"/>
        <v/>
      </c>
      <c r="I68" s="92" t="str">
        <f>IF($C68="","",VLOOKUP($C68,AMAPit!$A$10:$BJ$122,I$51,FALSE))</f>
        <v/>
      </c>
      <c r="J68" s="322" t="str">
        <f t="shared" si="104"/>
        <v/>
      </c>
      <c r="K68" s="321" t="str">
        <f>IF($C68="","",VLOOKUP($C68,AMAPit!$A$10:$BJ$122,K$51,FALSE))</f>
        <v/>
      </c>
      <c r="L68" s="322" t="str">
        <f>IF($C68="","",VLOOKUP($C68,AMAPit!$A$10:$BJ$122,L$51,FALSE))</f>
        <v/>
      </c>
      <c r="M68" s="323" t="str">
        <f>IF($C68="","",VLOOKUP($C68,AMAPit!$A$10:$BJ$122,M$51,FALSE))</f>
        <v/>
      </c>
      <c r="N68" s="322" t="str">
        <f>IF($C68="","",VLOOKUP($C68,AMAPit!$A$10:$BJ$122,N$51,FALSE))</f>
        <v/>
      </c>
      <c r="O68" s="322" t="str">
        <f>IF($C68="","",VLOOKUP($C68,AMAPit!$A$10:$BJ$122,O$51,FALSE))</f>
        <v/>
      </c>
      <c r="P68" s="322" t="str">
        <f>IF($C68="","",VLOOKUP($C68,AMAPit!$A$10:$BJ$122,P$51,FALSE))</f>
        <v/>
      </c>
      <c r="Q68" s="322" t="str">
        <f>IF($C68="","",VLOOKUP($C68,AMAPit!$A$10:$BJ$122,Q$51,FALSE))</f>
        <v/>
      </c>
      <c r="R68" s="322" t="str">
        <f>IF($C68="","",VLOOKUP($C68,AMAPit!$A$10:$BJ$122,R$51,FALSE))</f>
        <v/>
      </c>
      <c r="S68" s="322" t="str">
        <f>IF($C68="","",VLOOKUP($C68,AMAPit!$A$10:$BJ$122,S$51,FALSE))</f>
        <v/>
      </c>
      <c r="T68" s="322" t="str">
        <f>IF($C68="","",VLOOKUP($C68,AMAPit!$A$10:$BJ$122,T$51,FALSE))</f>
        <v/>
      </c>
      <c r="U68" s="322" t="str">
        <f>IF($C68="","",VLOOKUP($C68,AMAPit!$A$10:$BJ$122,U$51,FALSE))</f>
        <v/>
      </c>
      <c r="V68" s="322" t="str">
        <f>IF($C68="","",VLOOKUP($C68,AMAPit!$A$10:$BJ$122,V$51,FALSE))</f>
        <v/>
      </c>
      <c r="W68" s="322" t="str">
        <f>IF($C68="","",VLOOKUP($C68,AMAPit!$A$10:$BJ$122,W$51,FALSE))</f>
        <v/>
      </c>
      <c r="X68" s="322" t="str">
        <f>IF($C68="","",VLOOKUP($C68,AMAPit!$A$10:$BJ$122,X$51,FALSE))</f>
        <v/>
      </c>
      <c r="Y68" s="323" t="str">
        <f>IF($C68="","",VLOOKUP($C68,AMAPit!$A$10:$BJ$122,Y$51,FALSE))</f>
        <v/>
      </c>
      <c r="Z68" s="321" t="str">
        <f>IF($C68="","",VLOOKUP($C68,AMAPit!$A$10:$BJ$122,Z$51,FALSE))</f>
        <v/>
      </c>
      <c r="AA68" s="322" t="str">
        <f>IF($C68="","",VLOOKUP($C68,AMAPit!$A$10:$BJ$122,AA$51,FALSE))</f>
        <v/>
      </c>
      <c r="AB68" s="73" t="str">
        <f>IF($C68="","",VLOOKUP($C68,AMAPit!$A$10:$BJ$122,AB$51,FALSE))</f>
        <v/>
      </c>
      <c r="AC68" s="60" t="str">
        <f>IF($C68="","",VLOOKUP($C68,AMAPit!$A$10:$BJ$122,AC$51,FALSE))</f>
        <v/>
      </c>
      <c r="AD68" s="322" t="str">
        <f>IF($C68="","",VLOOKUP($C68,AMAPit!$A$10:$BJ$122,AD$51,FALSE))</f>
        <v/>
      </c>
      <c r="AE68" s="322" t="str">
        <f>IF($C68="","",VLOOKUP($C68,AMAPit!$A$10:$BJ$122,AE$51,FALSE))</f>
        <v/>
      </c>
      <c r="AF68" s="323" t="str">
        <f>IF($C68="","",VLOOKUP($C68,AMAPit!$A$10:$BJ$122,AF$51,FALSE))</f>
        <v/>
      </c>
      <c r="AG68" s="60" t="str">
        <f>IF($C68="","",VLOOKUP($C68,AMAPit!$A$10:$BJ$122,AG$51,FALSE))</f>
        <v/>
      </c>
    </row>
    <row r="69" spans="1:33" x14ac:dyDescent="0.25">
      <c r="A69" s="305">
        <v>5</v>
      </c>
      <c r="B69" s="29" t="s">
        <v>11</v>
      </c>
      <c r="C69" s="58"/>
      <c r="D69" s="30" t="str">
        <f>IF($C69="","",VLOOKUP($C69,AMAPit!$A$10:$BJ$122,D$1-2,FALSE))</f>
        <v/>
      </c>
      <c r="E69" s="30" t="str">
        <f>IF($C69="","",VLOOKUP($C69,AMAPit!$A$10:$BJ$122,E$1-1,FALSE))</f>
        <v/>
      </c>
      <c r="F69" s="321" t="str">
        <f t="shared" si="101"/>
        <v/>
      </c>
      <c r="G69" s="322" t="str">
        <f t="shared" si="102"/>
        <v/>
      </c>
      <c r="H69" s="323" t="str">
        <f t="shared" si="103"/>
        <v/>
      </c>
      <c r="I69" s="92" t="str">
        <f>IF($C69="","",VLOOKUP($C69,AMAPit!$A$10:$BJ$122,I$51,FALSE))</f>
        <v/>
      </c>
      <c r="J69" s="322" t="str">
        <f t="shared" si="104"/>
        <v/>
      </c>
      <c r="K69" s="321" t="str">
        <f>IF($C69="","",VLOOKUP($C69,AMAPit!$A$10:$BJ$122,K$51,FALSE))</f>
        <v/>
      </c>
      <c r="L69" s="322" t="str">
        <f>IF($C69="","",VLOOKUP($C69,AMAPit!$A$10:$BJ$122,L$51,FALSE))</f>
        <v/>
      </c>
      <c r="M69" s="323" t="str">
        <f>IF($C69="","",VLOOKUP($C69,AMAPit!$A$10:$BJ$122,M$51,FALSE))</f>
        <v/>
      </c>
      <c r="N69" s="322" t="str">
        <f>IF($C69="","",VLOOKUP($C69,AMAPit!$A$10:$BJ$122,N$51,FALSE))</f>
        <v/>
      </c>
      <c r="O69" s="322" t="str">
        <f>IF($C69="","",VLOOKUP($C69,AMAPit!$A$10:$BJ$122,O$51,FALSE))</f>
        <v/>
      </c>
      <c r="P69" s="322" t="str">
        <f>IF($C69="","",VLOOKUP($C69,AMAPit!$A$10:$BJ$122,P$51,FALSE))</f>
        <v/>
      </c>
      <c r="Q69" s="322" t="str">
        <f>IF($C69="","",VLOOKUP($C69,AMAPit!$A$10:$BJ$122,Q$51,FALSE))</f>
        <v/>
      </c>
      <c r="R69" s="322" t="str">
        <f>IF($C69="","",VLOOKUP($C69,AMAPit!$A$10:$BJ$122,R$51,FALSE))</f>
        <v/>
      </c>
      <c r="S69" s="322" t="str">
        <f>IF($C69="","",VLOOKUP($C69,AMAPit!$A$10:$BJ$122,S$51,FALSE))</f>
        <v/>
      </c>
      <c r="T69" s="322" t="str">
        <f>IF($C69="","",VLOOKUP($C69,AMAPit!$A$10:$BJ$122,T$51,FALSE))</f>
        <v/>
      </c>
      <c r="U69" s="322" t="str">
        <f>IF($C69="","",VLOOKUP($C69,AMAPit!$A$10:$BJ$122,U$51,FALSE))</f>
        <v/>
      </c>
      <c r="V69" s="322" t="str">
        <f>IF($C69="","",VLOOKUP($C69,AMAPit!$A$10:$BJ$122,V$51,FALSE))</f>
        <v/>
      </c>
      <c r="W69" s="322" t="str">
        <f>IF($C69="","",VLOOKUP($C69,AMAPit!$A$10:$BJ$122,W$51,FALSE))</f>
        <v/>
      </c>
      <c r="X69" s="322" t="str">
        <f>IF($C69="","",VLOOKUP($C69,AMAPit!$A$10:$BJ$122,X$51,FALSE))</f>
        <v/>
      </c>
      <c r="Y69" s="323" t="str">
        <f>IF($C69="","",VLOOKUP($C69,AMAPit!$A$10:$BJ$122,Y$51,FALSE))</f>
        <v/>
      </c>
      <c r="Z69" s="321" t="str">
        <f>IF($C69="","",VLOOKUP($C69,AMAPit!$A$10:$BJ$122,Z$51,FALSE))</f>
        <v/>
      </c>
      <c r="AA69" s="322" t="str">
        <f>IF($C69="","",VLOOKUP($C69,AMAPit!$A$10:$BJ$122,AA$51,FALSE))</f>
        <v/>
      </c>
      <c r="AB69" s="73" t="str">
        <f>IF($C69="","",VLOOKUP($C69,AMAPit!$A$10:$BJ$122,AB$51,FALSE))</f>
        <v/>
      </c>
      <c r="AC69" s="60" t="str">
        <f>IF($C69="","",VLOOKUP($C69,AMAPit!$A$10:$BJ$122,AC$51,FALSE))</f>
        <v/>
      </c>
      <c r="AD69" s="322" t="str">
        <f>IF($C69="","",VLOOKUP($C69,AMAPit!$A$10:$BJ$122,AD$51,FALSE))</f>
        <v/>
      </c>
      <c r="AE69" s="322" t="str">
        <f>IF($C69="","",VLOOKUP($C69,AMAPit!$A$10:$BJ$122,AE$51,FALSE))</f>
        <v/>
      </c>
      <c r="AF69" s="323" t="str">
        <f>IF($C69="","",VLOOKUP($C69,AMAPit!$A$10:$BJ$122,AF$51,FALSE))</f>
        <v/>
      </c>
      <c r="AG69" s="60" t="str">
        <f>IF($C69="","",VLOOKUP($C69,AMAPit!$A$10:$BJ$122,AG$51,FALSE))</f>
        <v/>
      </c>
    </row>
    <row r="70" spans="1:33" x14ac:dyDescent="0.25">
      <c r="A70" s="305">
        <v>6</v>
      </c>
      <c r="B70" s="29" t="s">
        <v>11</v>
      </c>
      <c r="C70" s="58"/>
      <c r="D70" s="30" t="str">
        <f>IF($C70="","",VLOOKUP($C70,AMAPit!$A$10:$BJ$122,D$1-2,FALSE))</f>
        <v/>
      </c>
      <c r="E70" s="30" t="str">
        <f>IF($C70="","",VLOOKUP($C70,AMAPit!$A$10:$BJ$122,E$1-1,FALSE))</f>
        <v/>
      </c>
      <c r="F70" s="321" t="str">
        <f t="shared" si="101"/>
        <v/>
      </c>
      <c r="G70" s="322" t="str">
        <f t="shared" si="102"/>
        <v/>
      </c>
      <c r="H70" s="323" t="str">
        <f t="shared" si="103"/>
        <v/>
      </c>
      <c r="I70" s="92" t="str">
        <f>IF($C70="","",VLOOKUP($C70,AMAPit!$A$10:$BJ$122,I$51,FALSE))</f>
        <v/>
      </c>
      <c r="J70" s="322" t="str">
        <f t="shared" si="104"/>
        <v/>
      </c>
      <c r="K70" s="321" t="str">
        <f>IF($C70="","",VLOOKUP($C70,AMAPit!$A$10:$BJ$122,K$51,FALSE))</f>
        <v/>
      </c>
      <c r="L70" s="322" t="str">
        <f>IF($C70="","",VLOOKUP($C70,AMAPit!$A$10:$BJ$122,L$51,FALSE))</f>
        <v/>
      </c>
      <c r="M70" s="323" t="str">
        <f>IF($C70="","",VLOOKUP($C70,AMAPit!$A$10:$BJ$122,M$51,FALSE))</f>
        <v/>
      </c>
      <c r="N70" s="322" t="str">
        <f>IF($C70="","",VLOOKUP($C70,AMAPit!$A$10:$BJ$122,N$51,FALSE))</f>
        <v/>
      </c>
      <c r="O70" s="322" t="str">
        <f>IF($C70="","",VLOOKUP($C70,AMAPit!$A$10:$BJ$122,O$51,FALSE))</f>
        <v/>
      </c>
      <c r="P70" s="322" t="str">
        <f>IF($C70="","",VLOOKUP($C70,AMAPit!$A$10:$BJ$122,P$51,FALSE))</f>
        <v/>
      </c>
      <c r="Q70" s="322" t="str">
        <f>IF($C70="","",VLOOKUP($C70,AMAPit!$A$10:$BJ$122,Q$51,FALSE))</f>
        <v/>
      </c>
      <c r="R70" s="322" t="str">
        <f>IF($C70="","",VLOOKUP($C70,AMAPit!$A$10:$BJ$122,R$51,FALSE))</f>
        <v/>
      </c>
      <c r="S70" s="322" t="str">
        <f>IF($C70="","",VLOOKUP($C70,AMAPit!$A$10:$BJ$122,S$51,FALSE))</f>
        <v/>
      </c>
      <c r="T70" s="322" t="str">
        <f>IF($C70="","",VLOOKUP($C70,AMAPit!$A$10:$BJ$122,T$51,FALSE))</f>
        <v/>
      </c>
      <c r="U70" s="322" t="str">
        <f>IF($C70="","",VLOOKUP($C70,AMAPit!$A$10:$BJ$122,U$51,FALSE))</f>
        <v/>
      </c>
      <c r="V70" s="322" t="str">
        <f>IF($C70="","",VLOOKUP($C70,AMAPit!$A$10:$BJ$122,V$51,FALSE))</f>
        <v/>
      </c>
      <c r="W70" s="322" t="str">
        <f>IF($C70="","",VLOOKUP($C70,AMAPit!$A$10:$BJ$122,W$51,FALSE))</f>
        <v/>
      </c>
      <c r="X70" s="322" t="str">
        <f>IF($C70="","",VLOOKUP($C70,AMAPit!$A$10:$BJ$122,X$51,FALSE))</f>
        <v/>
      </c>
      <c r="Y70" s="323" t="str">
        <f>IF($C70="","",VLOOKUP($C70,AMAPit!$A$10:$BJ$122,Y$51,FALSE))</f>
        <v/>
      </c>
      <c r="Z70" s="321" t="str">
        <f>IF($C70="","",VLOOKUP($C70,AMAPit!$A$10:$BJ$122,Z$51,FALSE))</f>
        <v/>
      </c>
      <c r="AA70" s="322" t="str">
        <f>IF($C70="","",VLOOKUP($C70,AMAPit!$A$10:$BJ$122,AA$51,FALSE))</f>
        <v/>
      </c>
      <c r="AB70" s="73" t="str">
        <f>IF($C70="","",VLOOKUP($C70,AMAPit!$A$10:$BJ$122,AB$51,FALSE))</f>
        <v/>
      </c>
      <c r="AC70" s="60" t="str">
        <f>IF($C70="","",VLOOKUP($C70,AMAPit!$A$10:$BJ$122,AC$51,FALSE))</f>
        <v/>
      </c>
      <c r="AD70" s="322" t="str">
        <f>IF($C70="","",VLOOKUP($C70,AMAPit!$A$10:$BJ$122,AD$51,FALSE))</f>
        <v/>
      </c>
      <c r="AE70" s="322" t="str">
        <f>IF($C70="","",VLOOKUP($C70,AMAPit!$A$10:$BJ$122,AE$51,FALSE))</f>
        <v/>
      </c>
      <c r="AF70" s="323" t="str">
        <f>IF($C70="","",VLOOKUP($C70,AMAPit!$A$10:$BJ$122,AF$51,FALSE))</f>
        <v/>
      </c>
      <c r="AG70" s="60" t="str">
        <f>IF($C70="","",VLOOKUP($C70,AMAPit!$A$10:$BJ$122,AG$51,FALSE))</f>
        <v/>
      </c>
    </row>
    <row r="71" spans="1:33" x14ac:dyDescent="0.25">
      <c r="A71" s="305">
        <v>7</v>
      </c>
      <c r="B71" s="29" t="s">
        <v>11</v>
      </c>
      <c r="C71" s="58"/>
      <c r="D71" s="30" t="str">
        <f>IF($C71="","",VLOOKUP($C71,AMAPit!$A$10:$BJ$122,D$1-2,FALSE))</f>
        <v/>
      </c>
      <c r="E71" s="30" t="str">
        <f>IF($C71="","",VLOOKUP($C71,AMAPit!$A$10:$BJ$122,E$1-1,FALSE))</f>
        <v/>
      </c>
      <c r="F71" s="321" t="str">
        <f t="shared" si="101"/>
        <v/>
      </c>
      <c r="G71" s="322" t="str">
        <f t="shared" si="102"/>
        <v/>
      </c>
      <c r="H71" s="323" t="str">
        <f t="shared" si="103"/>
        <v/>
      </c>
      <c r="I71" s="92" t="str">
        <f>IF($C71="","",VLOOKUP($C71,AMAPit!$A$10:$BJ$122,I$51,FALSE))</f>
        <v/>
      </c>
      <c r="J71" s="322" t="str">
        <f t="shared" si="104"/>
        <v/>
      </c>
      <c r="K71" s="321" t="str">
        <f>IF($C71="","",VLOOKUP($C71,AMAPit!$A$10:$BJ$122,K$51,FALSE))</f>
        <v/>
      </c>
      <c r="L71" s="322" t="str">
        <f>IF($C71="","",VLOOKUP($C71,AMAPit!$A$10:$BJ$122,L$51,FALSE))</f>
        <v/>
      </c>
      <c r="M71" s="323" t="str">
        <f>IF($C71="","",VLOOKUP($C71,AMAPit!$A$10:$BJ$122,M$51,FALSE))</f>
        <v/>
      </c>
      <c r="N71" s="322" t="str">
        <f>IF($C71="","",VLOOKUP($C71,AMAPit!$A$10:$BJ$122,N$51,FALSE))</f>
        <v/>
      </c>
      <c r="O71" s="322" t="str">
        <f>IF($C71="","",VLOOKUP($C71,AMAPit!$A$10:$BJ$122,O$51,FALSE))</f>
        <v/>
      </c>
      <c r="P71" s="322" t="str">
        <f>IF($C71="","",VLOOKUP($C71,AMAPit!$A$10:$BJ$122,P$51,FALSE))</f>
        <v/>
      </c>
      <c r="Q71" s="322" t="str">
        <f>IF($C71="","",VLOOKUP($C71,AMAPit!$A$10:$BJ$122,Q$51,FALSE))</f>
        <v/>
      </c>
      <c r="R71" s="322" t="str">
        <f>IF($C71="","",VLOOKUP($C71,AMAPit!$A$10:$BJ$122,R$51,FALSE))</f>
        <v/>
      </c>
      <c r="S71" s="322" t="str">
        <f>IF($C71="","",VLOOKUP($C71,AMAPit!$A$10:$BJ$122,S$51,FALSE))</f>
        <v/>
      </c>
      <c r="T71" s="322" t="str">
        <f>IF($C71="","",VLOOKUP($C71,AMAPit!$A$10:$BJ$122,T$51,FALSE))</f>
        <v/>
      </c>
      <c r="U71" s="322" t="str">
        <f>IF($C71="","",VLOOKUP($C71,AMAPit!$A$10:$BJ$122,U$51,FALSE))</f>
        <v/>
      </c>
      <c r="V71" s="322" t="str">
        <f>IF($C71="","",VLOOKUP($C71,AMAPit!$A$10:$BJ$122,V$51,FALSE))</f>
        <v/>
      </c>
      <c r="W71" s="322" t="str">
        <f>IF($C71="","",VLOOKUP($C71,AMAPit!$A$10:$BJ$122,W$51,FALSE))</f>
        <v/>
      </c>
      <c r="X71" s="322" t="str">
        <f>IF($C71="","",VLOOKUP($C71,AMAPit!$A$10:$BJ$122,X$51,FALSE))</f>
        <v/>
      </c>
      <c r="Y71" s="323" t="str">
        <f>IF($C71="","",VLOOKUP($C71,AMAPit!$A$10:$BJ$122,Y$51,FALSE))</f>
        <v/>
      </c>
      <c r="Z71" s="321" t="str">
        <f>IF($C71="","",VLOOKUP($C71,AMAPit!$A$10:$BJ$122,Z$51,FALSE))</f>
        <v/>
      </c>
      <c r="AA71" s="322" t="str">
        <f>IF($C71="","",VLOOKUP($C71,AMAPit!$A$10:$BJ$122,AA$51,FALSE))</f>
        <v/>
      </c>
      <c r="AB71" s="73" t="str">
        <f>IF($C71="","",VLOOKUP($C71,AMAPit!$A$10:$BJ$122,AB$51,FALSE))</f>
        <v/>
      </c>
      <c r="AC71" s="60" t="str">
        <f>IF($C71="","",VLOOKUP($C71,AMAPit!$A$10:$BJ$122,AC$51,FALSE))</f>
        <v/>
      </c>
      <c r="AD71" s="322" t="str">
        <f>IF($C71="","",VLOOKUP($C71,AMAPit!$A$10:$BJ$122,AD$51,FALSE))</f>
        <v/>
      </c>
      <c r="AE71" s="322" t="str">
        <f>IF($C71="","",VLOOKUP($C71,AMAPit!$A$10:$BJ$122,AE$51,FALSE))</f>
        <v/>
      </c>
      <c r="AF71" s="323" t="str">
        <f>IF($C71="","",VLOOKUP($C71,AMAPit!$A$10:$BJ$122,AF$51,FALSE))</f>
        <v/>
      </c>
      <c r="AG71" s="60" t="str">
        <f>IF($C71="","",VLOOKUP($C71,AMAPit!$A$10:$BJ$122,AG$51,FALSE))</f>
        <v/>
      </c>
    </row>
    <row r="72" spans="1:33" x14ac:dyDescent="0.25">
      <c r="A72" s="305">
        <v>8</v>
      </c>
      <c r="B72" s="29" t="s">
        <v>11</v>
      </c>
      <c r="C72" s="58"/>
      <c r="D72" s="30" t="str">
        <f>IF($C72="","",VLOOKUP($C72,AMAPit!$A$10:$BJ$122,D$1-2,FALSE))</f>
        <v/>
      </c>
      <c r="E72" s="30" t="str">
        <f>IF($C72="","",VLOOKUP($C72,AMAPit!$A$10:$BJ$122,E$1-1,FALSE))</f>
        <v/>
      </c>
      <c r="F72" s="321" t="str">
        <f t="shared" si="101"/>
        <v/>
      </c>
      <c r="G72" s="322" t="str">
        <f t="shared" si="102"/>
        <v/>
      </c>
      <c r="H72" s="323" t="str">
        <f t="shared" si="103"/>
        <v/>
      </c>
      <c r="I72" s="92" t="str">
        <f>IF($C72="","",VLOOKUP($C72,AMAPit!$A$10:$BJ$122,I$51,FALSE))</f>
        <v/>
      </c>
      <c r="J72" s="322" t="str">
        <f t="shared" si="104"/>
        <v/>
      </c>
      <c r="K72" s="321" t="str">
        <f>IF($C72="","",VLOOKUP($C72,AMAPit!$A$10:$BJ$122,K$51,FALSE))</f>
        <v/>
      </c>
      <c r="L72" s="322" t="str">
        <f>IF($C72="","",VLOOKUP($C72,AMAPit!$A$10:$BJ$122,L$51,FALSE))</f>
        <v/>
      </c>
      <c r="M72" s="323" t="str">
        <f>IF($C72="","",VLOOKUP($C72,AMAPit!$A$10:$BJ$122,M$51,FALSE))</f>
        <v/>
      </c>
      <c r="N72" s="322" t="str">
        <f>IF($C72="","",VLOOKUP($C72,AMAPit!$A$10:$BJ$122,N$51,FALSE))</f>
        <v/>
      </c>
      <c r="O72" s="322" t="str">
        <f>IF($C72="","",VLOOKUP($C72,AMAPit!$A$10:$BJ$122,O$51,FALSE))</f>
        <v/>
      </c>
      <c r="P72" s="322" t="str">
        <f>IF($C72="","",VLOOKUP($C72,AMAPit!$A$10:$BJ$122,P$51,FALSE))</f>
        <v/>
      </c>
      <c r="Q72" s="322" t="str">
        <f>IF($C72="","",VLOOKUP($C72,AMAPit!$A$10:$BJ$122,Q$51,FALSE))</f>
        <v/>
      </c>
      <c r="R72" s="322" t="str">
        <f>IF($C72="","",VLOOKUP($C72,AMAPit!$A$10:$BJ$122,R$51,FALSE))</f>
        <v/>
      </c>
      <c r="S72" s="322" t="str">
        <f>IF($C72="","",VLOOKUP($C72,AMAPit!$A$10:$BJ$122,S$51,FALSE))</f>
        <v/>
      </c>
      <c r="T72" s="322" t="str">
        <f>IF($C72="","",VLOOKUP($C72,AMAPit!$A$10:$BJ$122,T$51,FALSE))</f>
        <v/>
      </c>
      <c r="U72" s="322" t="str">
        <f>IF($C72="","",VLOOKUP($C72,AMAPit!$A$10:$BJ$122,U$51,FALSE))</f>
        <v/>
      </c>
      <c r="V72" s="322" t="str">
        <f>IF($C72="","",VLOOKUP($C72,AMAPit!$A$10:$BJ$122,V$51,FALSE))</f>
        <v/>
      </c>
      <c r="W72" s="322" t="str">
        <f>IF($C72="","",VLOOKUP($C72,AMAPit!$A$10:$BJ$122,W$51,FALSE))</f>
        <v/>
      </c>
      <c r="X72" s="322" t="str">
        <f>IF($C72="","",VLOOKUP($C72,AMAPit!$A$10:$BJ$122,X$51,FALSE))</f>
        <v/>
      </c>
      <c r="Y72" s="323" t="str">
        <f>IF($C72="","",VLOOKUP($C72,AMAPit!$A$10:$BJ$122,Y$51,FALSE))</f>
        <v/>
      </c>
      <c r="Z72" s="321" t="str">
        <f>IF($C72="","",VLOOKUP($C72,AMAPit!$A$10:$BJ$122,Z$51,FALSE))</f>
        <v/>
      </c>
      <c r="AA72" s="322" t="str">
        <f>IF($C72="","",VLOOKUP($C72,AMAPit!$A$10:$BJ$122,AA$51,FALSE))</f>
        <v/>
      </c>
      <c r="AB72" s="73" t="str">
        <f>IF($C72="","",VLOOKUP($C72,AMAPit!$A$10:$BJ$122,AB$51,FALSE))</f>
        <v/>
      </c>
      <c r="AC72" s="60" t="str">
        <f>IF($C72="","",VLOOKUP($C72,AMAPit!$A$10:$BJ$122,AC$51,FALSE))</f>
        <v/>
      </c>
      <c r="AD72" s="322" t="str">
        <f>IF($C72="","",VLOOKUP($C72,AMAPit!$A$10:$BJ$122,AD$51,FALSE))</f>
        <v/>
      </c>
      <c r="AE72" s="322" t="str">
        <f>IF($C72="","",VLOOKUP($C72,AMAPit!$A$10:$BJ$122,AE$51,FALSE))</f>
        <v/>
      </c>
      <c r="AF72" s="323" t="str">
        <f>IF($C72="","",VLOOKUP($C72,AMAPit!$A$10:$BJ$122,AF$51,FALSE))</f>
        <v/>
      </c>
      <c r="AG72" s="60" t="str">
        <f>IF($C72="","",VLOOKUP($C72,AMAPit!$A$10:$BJ$122,AG$51,FALSE))</f>
        <v/>
      </c>
    </row>
    <row r="73" spans="1:33" x14ac:dyDescent="0.25">
      <c r="A73" s="305">
        <v>9</v>
      </c>
      <c r="B73" s="29" t="s">
        <v>11</v>
      </c>
      <c r="C73" s="58"/>
      <c r="D73" s="30" t="str">
        <f>IF($C73="","",VLOOKUP($C73,AMAPit!$A$10:$BJ$122,D$1-2,FALSE))</f>
        <v/>
      </c>
      <c r="E73" s="30" t="str">
        <f>IF($C73="","",VLOOKUP($C73,AMAPit!$A$10:$BJ$122,E$1-1,FALSE))</f>
        <v/>
      </c>
      <c r="F73" s="321" t="str">
        <f t="shared" si="101"/>
        <v/>
      </c>
      <c r="G73" s="322" t="str">
        <f t="shared" si="102"/>
        <v/>
      </c>
      <c r="H73" s="323" t="str">
        <f t="shared" si="103"/>
        <v/>
      </c>
      <c r="I73" s="92" t="str">
        <f>IF($C73="","",VLOOKUP($C73,AMAPit!$A$10:$BJ$122,I$51,FALSE))</f>
        <v/>
      </c>
      <c r="J73" s="322" t="str">
        <f t="shared" si="104"/>
        <v/>
      </c>
      <c r="K73" s="321" t="str">
        <f>IF($C73="","",VLOOKUP($C73,AMAPit!$A$10:$BJ$122,K$51,FALSE))</f>
        <v/>
      </c>
      <c r="L73" s="322" t="str">
        <f>IF($C73="","",VLOOKUP($C73,AMAPit!$A$10:$BJ$122,L$51,FALSE))</f>
        <v/>
      </c>
      <c r="M73" s="323" t="str">
        <f>IF($C73="","",VLOOKUP($C73,AMAPit!$A$10:$BJ$122,M$51,FALSE))</f>
        <v/>
      </c>
      <c r="N73" s="322" t="str">
        <f>IF($C73="","",VLOOKUP($C73,AMAPit!$A$10:$BJ$122,N$51,FALSE))</f>
        <v/>
      </c>
      <c r="O73" s="322" t="str">
        <f>IF($C73="","",VLOOKUP($C73,AMAPit!$A$10:$BJ$122,O$51,FALSE))</f>
        <v/>
      </c>
      <c r="P73" s="322" t="str">
        <f>IF($C73="","",VLOOKUP($C73,AMAPit!$A$10:$BJ$122,P$51,FALSE))</f>
        <v/>
      </c>
      <c r="Q73" s="322" t="str">
        <f>IF($C73="","",VLOOKUP($C73,AMAPit!$A$10:$BJ$122,Q$51,FALSE))</f>
        <v/>
      </c>
      <c r="R73" s="322" t="str">
        <f>IF($C73="","",VLOOKUP($C73,AMAPit!$A$10:$BJ$122,R$51,FALSE))</f>
        <v/>
      </c>
      <c r="S73" s="322" t="str">
        <f>IF($C73="","",VLOOKUP($C73,AMAPit!$A$10:$BJ$122,S$51,FALSE))</f>
        <v/>
      </c>
      <c r="T73" s="322" t="str">
        <f>IF($C73="","",VLOOKUP($C73,AMAPit!$A$10:$BJ$122,T$51,FALSE))</f>
        <v/>
      </c>
      <c r="U73" s="322" t="str">
        <f>IF($C73="","",VLOOKUP($C73,AMAPit!$A$10:$BJ$122,U$51,FALSE))</f>
        <v/>
      </c>
      <c r="V73" s="322" t="str">
        <f>IF($C73="","",VLOOKUP($C73,AMAPit!$A$10:$BJ$122,V$51,FALSE))</f>
        <v/>
      </c>
      <c r="W73" s="322" t="str">
        <f>IF($C73="","",VLOOKUP($C73,AMAPit!$A$10:$BJ$122,W$51,FALSE))</f>
        <v/>
      </c>
      <c r="X73" s="322" t="str">
        <f>IF($C73="","",VLOOKUP($C73,AMAPit!$A$10:$BJ$122,X$51,FALSE))</f>
        <v/>
      </c>
      <c r="Y73" s="323" t="str">
        <f>IF($C73="","",VLOOKUP($C73,AMAPit!$A$10:$BJ$122,Y$51,FALSE))</f>
        <v/>
      </c>
      <c r="Z73" s="321" t="str">
        <f>IF($C73="","",VLOOKUP($C73,AMAPit!$A$10:$BJ$122,Z$51,FALSE))</f>
        <v/>
      </c>
      <c r="AA73" s="322" t="str">
        <f>IF($C73="","",VLOOKUP($C73,AMAPit!$A$10:$BJ$122,AA$51,FALSE))</f>
        <v/>
      </c>
      <c r="AB73" s="73" t="str">
        <f>IF($C73="","",VLOOKUP($C73,AMAPit!$A$10:$BJ$122,AB$51,FALSE))</f>
        <v/>
      </c>
      <c r="AC73" s="60" t="str">
        <f>IF($C73="","",VLOOKUP($C73,AMAPit!$A$10:$BJ$122,AC$51,FALSE))</f>
        <v/>
      </c>
      <c r="AD73" s="322" t="str">
        <f>IF($C73="","",VLOOKUP($C73,AMAPit!$A$10:$BJ$122,AD$51,FALSE))</f>
        <v/>
      </c>
      <c r="AE73" s="322" t="str">
        <f>IF($C73="","",VLOOKUP($C73,AMAPit!$A$10:$BJ$122,AE$51,FALSE))</f>
        <v/>
      </c>
      <c r="AF73" s="323" t="str">
        <f>IF($C73="","",VLOOKUP($C73,AMAPit!$A$10:$BJ$122,AF$51,FALSE))</f>
        <v/>
      </c>
      <c r="AG73" s="60" t="str">
        <f>IF($C73="","",VLOOKUP($C73,AMAPit!$A$10:$BJ$122,AG$51,FALSE))</f>
        <v/>
      </c>
    </row>
    <row r="74" spans="1:33" x14ac:dyDescent="0.25">
      <c r="A74" s="305">
        <v>10</v>
      </c>
      <c r="B74" s="32" t="s">
        <v>11</v>
      </c>
      <c r="C74" s="33"/>
      <c r="D74" s="33" t="str">
        <f>IF($C74="","",VLOOKUP($C74,AMAPit!$A$10:$BJ$122,D$1-2,FALSE))</f>
        <v/>
      </c>
      <c r="E74" s="33" t="str">
        <f>IF($C74="","",VLOOKUP($C74,AMAPit!$A$10:$BJ$122,E$1-1,FALSE))</f>
        <v/>
      </c>
      <c r="F74" s="47" t="str">
        <f t="shared" si="101"/>
        <v/>
      </c>
      <c r="G74" s="324" t="str">
        <f t="shared" si="102"/>
        <v/>
      </c>
      <c r="H74" s="325" t="str">
        <f t="shared" si="103"/>
        <v/>
      </c>
      <c r="I74" s="93" t="str">
        <f>IF($C74="","",VLOOKUP($C74,AMAPit!$A$10:$BJ$122,I$51,FALSE))</f>
        <v/>
      </c>
      <c r="J74" s="324" t="str">
        <f t="shared" si="104"/>
        <v/>
      </c>
      <c r="K74" s="47" t="str">
        <f>IF($C74="","",VLOOKUP($C74,AMAPit!$A$10:$BJ$122,K$51,FALSE))</f>
        <v/>
      </c>
      <c r="L74" s="324" t="str">
        <f>IF($C74="","",VLOOKUP($C74,AMAPit!$A$10:$BJ$122,L$51,FALSE))</f>
        <v/>
      </c>
      <c r="M74" s="325" t="str">
        <f>IF($C74="","",VLOOKUP($C74,AMAPit!$A$10:$BJ$122,M$51,FALSE))</f>
        <v/>
      </c>
      <c r="N74" s="324" t="str">
        <f>IF($C74="","",VLOOKUP($C74,AMAPit!$A$10:$BJ$122,N$51,FALSE))</f>
        <v/>
      </c>
      <c r="O74" s="324" t="str">
        <f>IF($C74="","",VLOOKUP($C74,AMAPit!$A$10:$BJ$122,O$51,FALSE))</f>
        <v/>
      </c>
      <c r="P74" s="324" t="str">
        <f>IF($C74="","",VLOOKUP($C74,AMAPit!$A$10:$BJ$122,P$51,FALSE))</f>
        <v/>
      </c>
      <c r="Q74" s="324" t="str">
        <f>IF($C74="","",VLOOKUP($C74,AMAPit!$A$10:$BJ$122,Q$51,FALSE))</f>
        <v/>
      </c>
      <c r="R74" s="324" t="str">
        <f>IF($C74="","",VLOOKUP($C74,AMAPit!$A$10:$BJ$122,R$51,FALSE))</f>
        <v/>
      </c>
      <c r="S74" s="324" t="str">
        <f>IF($C74="","",VLOOKUP($C74,AMAPit!$A$10:$BJ$122,S$51,FALSE))</f>
        <v/>
      </c>
      <c r="T74" s="324" t="str">
        <f>IF($C74="","",VLOOKUP($C74,AMAPit!$A$10:$BJ$122,T$51,FALSE))</f>
        <v/>
      </c>
      <c r="U74" s="324" t="str">
        <f>IF($C74="","",VLOOKUP($C74,AMAPit!$A$10:$BJ$122,U$51,FALSE))</f>
        <v/>
      </c>
      <c r="V74" s="324" t="str">
        <f>IF($C74="","",VLOOKUP($C74,AMAPit!$A$10:$BJ$122,V$51,FALSE))</f>
        <v/>
      </c>
      <c r="W74" s="324" t="str">
        <f>IF($C74="","",VLOOKUP($C74,AMAPit!$A$10:$BJ$122,W$51,FALSE))</f>
        <v/>
      </c>
      <c r="X74" s="324" t="str">
        <f>IF($C74="","",VLOOKUP($C74,AMAPit!$A$10:$BJ$122,X$51,FALSE))</f>
        <v/>
      </c>
      <c r="Y74" s="325" t="str">
        <f>IF($C74="","",VLOOKUP($C74,AMAPit!$A$10:$BJ$122,Y$51,FALSE))</f>
        <v/>
      </c>
      <c r="Z74" s="47" t="str">
        <f>IF($C74="","",VLOOKUP($C74,AMAPit!$A$10:$BJ$122,Z$51,FALSE))</f>
        <v/>
      </c>
      <c r="AA74" s="324" t="str">
        <f>IF($C74="","",VLOOKUP($C74,AMAPit!$A$10:$BJ$122,AA$51,FALSE))</f>
        <v/>
      </c>
      <c r="AB74" s="74" t="str">
        <f>IF($C74="","",VLOOKUP($C74,AMAPit!$A$10:$BJ$122,AB$51,FALSE))</f>
        <v/>
      </c>
      <c r="AC74" s="61" t="str">
        <f>IF($C74="","",VLOOKUP($C74,AMAPit!$A$10:$BJ$122,AC$51,FALSE))</f>
        <v/>
      </c>
      <c r="AD74" s="324" t="str">
        <f>IF($C74="","",VLOOKUP($C74,AMAPit!$A$10:$BJ$122,AD$51,FALSE))</f>
        <v/>
      </c>
      <c r="AE74" s="324" t="str">
        <f>IF($C74="","",VLOOKUP($C74,AMAPit!$A$10:$BJ$122,AE$51,FALSE))</f>
        <v/>
      </c>
      <c r="AF74" s="325" t="str">
        <f>IF($C74="","",VLOOKUP($C74,AMAPit!$A$10:$BJ$122,AF$51,FALSE))</f>
        <v/>
      </c>
      <c r="AG74" s="61" t="str">
        <f>IF($C74="","",VLOOKUP($C74,AMAPit!$A$10:$BJ$122,AG$51,FALSE))</f>
        <v/>
      </c>
    </row>
  </sheetData>
  <mergeCells count="22">
    <mergeCell ref="AG38:AT38"/>
    <mergeCell ref="AG26:AT26"/>
    <mergeCell ref="AH27:AT27"/>
    <mergeCell ref="AH28:AT28"/>
    <mergeCell ref="AH29:AT29"/>
    <mergeCell ref="AH30:AT30"/>
    <mergeCell ref="AH31:AT31"/>
    <mergeCell ref="AH32:AT32"/>
    <mergeCell ref="AH33:AT33"/>
    <mergeCell ref="AH34:AT34"/>
    <mergeCell ref="AH35:AT35"/>
    <mergeCell ref="AH36:AT36"/>
    <mergeCell ref="AH45:AT45"/>
    <mergeCell ref="AH46:AT46"/>
    <mergeCell ref="AH47:AT47"/>
    <mergeCell ref="AH48:AT48"/>
    <mergeCell ref="AH39:AT39"/>
    <mergeCell ref="AH40:AT40"/>
    <mergeCell ref="AH41:AT41"/>
    <mergeCell ref="AH42:AT42"/>
    <mergeCell ref="AH43:AT43"/>
    <mergeCell ref="AH44:AT44"/>
  </mergeCells>
  <conditionalFormatting sqref="G13">
    <cfRule type="expression" dxfId="93" priority="15">
      <formula>IF(SUM(G14:G19)&gt;1,1,0)</formula>
    </cfRule>
  </conditionalFormatting>
  <conditionalFormatting sqref="H13">
    <cfRule type="expression" dxfId="92" priority="14">
      <formula>IF(SUM(H14:H19)&gt;1,1,0)</formula>
    </cfRule>
  </conditionalFormatting>
  <conditionalFormatting sqref="F13">
    <cfRule type="expression" dxfId="91" priority="13">
      <formula>IF(SUM(F14:F19)&gt;1,1,0)</formula>
    </cfRule>
  </conditionalFormatting>
  <conditionalFormatting sqref="I2">
    <cfRule type="expression" dxfId="90" priority="12">
      <formula>-IF(SUM(I3:I11)&gt;1,1,0)</formula>
    </cfRule>
  </conditionalFormatting>
  <conditionalFormatting sqref="H2">
    <cfRule type="expression" dxfId="89" priority="11">
      <formula>-IF(SUM(H3:H11)&gt;1,1,0)</formula>
    </cfRule>
  </conditionalFormatting>
  <conditionalFormatting sqref="F21">
    <cfRule type="expression" dxfId="88" priority="10">
      <formula>IF(SUM($F$22:$F$24)&gt;1,1,0)</formula>
    </cfRule>
  </conditionalFormatting>
  <conditionalFormatting sqref="F52">
    <cfRule type="expression" dxfId="87" priority="9">
      <formula>IF(SUM($F$53:$F$58)&gt;1,1,0)</formula>
    </cfRule>
  </conditionalFormatting>
  <conditionalFormatting sqref="H52">
    <cfRule type="expression" dxfId="86" priority="8">
      <formula>IF(SUM($H$53:$H$58)&gt;3,1,0)</formula>
    </cfRule>
  </conditionalFormatting>
  <conditionalFormatting sqref="G52">
    <cfRule type="expression" dxfId="85" priority="7">
      <formula>IF(SUM($G$53:$G$58)&gt;2,1,0)</formula>
    </cfRule>
  </conditionalFormatting>
  <conditionalFormatting sqref="C22:C24 C14:C19 C3:C11">
    <cfRule type="expression" dxfId="84" priority="5">
      <formula>IF($AK3&lt;4.5,1,0)</formula>
    </cfRule>
    <cfRule type="expression" dxfId="83" priority="6">
      <formula>IF($AK3&gt;7,1,0)</formula>
    </cfRule>
  </conditionalFormatting>
  <conditionalFormatting sqref="C15">
    <cfRule type="expression" dxfId="82" priority="3">
      <formula>IF($AK15&lt;4.5,1,0)</formula>
    </cfRule>
    <cfRule type="expression" dxfId="81" priority="4">
      <formula>IF($AK15&gt;7,1,0)</formula>
    </cfRule>
  </conditionalFormatting>
  <conditionalFormatting sqref="F2">
    <cfRule type="expression" dxfId="80" priority="2">
      <formula>IF(SUM(F3:F11)&gt;1,1,0)</formula>
    </cfRule>
  </conditionalFormatting>
  <conditionalFormatting sqref="G2">
    <cfRule type="expression" dxfId="79" priority="1">
      <formula>IF(SUM(G3:G11)&gt;1,1,0)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3">
    <tabColor theme="9"/>
  </sheetPr>
  <dimension ref="A1:R101"/>
  <sheetViews>
    <sheetView zoomScale="85" zoomScaleNormal="85" workbookViewId="0">
      <selection activeCell="F28" sqref="F28"/>
    </sheetView>
  </sheetViews>
  <sheetFormatPr defaultRowHeight="15" x14ac:dyDescent="0.25"/>
  <cols>
    <col min="1" max="1" width="12.140625" customWidth="1"/>
    <col min="2" max="2" width="27.85546875" style="101" customWidth="1"/>
    <col min="3" max="4" width="5.5703125" bestFit="1" customWidth="1"/>
    <col min="5" max="5" width="14.85546875" customWidth="1"/>
    <col min="6" max="6" width="14.28515625" bestFit="1" customWidth="1"/>
    <col min="7" max="7" width="15.140625" bestFit="1" customWidth="1"/>
    <col min="8" max="8" width="13.7109375" bestFit="1" customWidth="1"/>
    <col min="9" max="9" width="14.5703125" bestFit="1" customWidth="1"/>
    <col min="10" max="12" width="13.7109375" bestFit="1" customWidth="1"/>
    <col min="13" max="16" width="12.85546875" bestFit="1" customWidth="1"/>
    <col min="17" max="17" width="12.85546875" customWidth="1"/>
  </cols>
  <sheetData>
    <row r="1" spans="1:16" x14ac:dyDescent="0.25">
      <c r="A1">
        <f>COUNTIF(A3:A45,"ML")</f>
        <v>19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</row>
    <row r="2" spans="1:16" ht="15.75" thickBot="1" x14ac:dyDescent="0.3">
      <c r="A2" s="213" t="s">
        <v>183</v>
      </c>
      <c r="B2" s="389" t="s">
        <v>96</v>
      </c>
      <c r="C2" s="390" t="s">
        <v>97</v>
      </c>
      <c r="D2" s="390" t="s">
        <v>70</v>
      </c>
      <c r="E2" s="390" t="s">
        <v>98</v>
      </c>
      <c r="F2" s="390">
        <v>2034</v>
      </c>
      <c r="G2" s="390">
        <v>2035</v>
      </c>
      <c r="H2" s="390">
        <v>2036</v>
      </c>
      <c r="I2" s="390">
        <v>2037</v>
      </c>
      <c r="J2" s="390">
        <v>2038</v>
      </c>
      <c r="K2" s="390">
        <v>2039</v>
      </c>
      <c r="L2" s="390">
        <v>2040</v>
      </c>
      <c r="M2" s="284">
        <f t="shared" ref="M2" si="0">L2+1</f>
        <v>2041</v>
      </c>
      <c r="N2" s="284">
        <f t="shared" ref="N2:O2" si="1">M2+1</f>
        <v>2042</v>
      </c>
      <c r="O2" s="284">
        <f t="shared" si="1"/>
        <v>2043</v>
      </c>
    </row>
    <row r="3" spans="1:16" ht="15.75" thickBot="1" x14ac:dyDescent="0.3">
      <c r="A3" t="str">
        <f>IF(ISERROR(VLOOKUP(P3,AMA!$C$3:$C$100,1,FALSE)),IF(ISERROR(VLOOKUP(P3,'END-AAA'!$C$6:$C$100,1,FALSE)),IF(ISERROR(VLOOKUP(P3,'DB-AA'!$C$6:$C$100,1,FALSE)),IF(ISERROR(VLOOKUP(P3,'UTR-A'!$C$6:$C$100,1,FALSE)),IF(ISERROR(VLOOKUP(P3,'FAI-S A'!$C$6:$C$77,1,FALSE)),"","S A"),"A"),"AA"),"AAA"),"ML")</f>
        <v/>
      </c>
      <c r="B3" s="331" t="s">
        <v>1218</v>
      </c>
      <c r="C3" s="332" t="s">
        <v>87</v>
      </c>
      <c r="D3" s="332">
        <v>31</v>
      </c>
      <c r="E3" s="332" t="s">
        <v>1219</v>
      </c>
      <c r="F3" s="333">
        <v>44180000</v>
      </c>
      <c r="G3" s="333">
        <v>44380000</v>
      </c>
      <c r="H3" s="333">
        <v>44580000</v>
      </c>
      <c r="I3" s="333">
        <v>44780000</v>
      </c>
      <c r="J3" s="332" t="s">
        <v>1220</v>
      </c>
      <c r="K3" s="332"/>
      <c r="L3" s="332"/>
      <c r="M3" s="314"/>
      <c r="N3" s="314"/>
      <c r="O3" s="12"/>
      <c r="P3" t="str">
        <f>IF(B3="","",SUBSTITUTE(SUBSTITUTE(B3,"~",""),"*",""))</f>
        <v>Enrique Vazquez</v>
      </c>
    </row>
    <row r="4" spans="1:16" ht="15.75" customHeight="1" thickBot="1" x14ac:dyDescent="0.3">
      <c r="A4" s="305" t="str">
        <f>IF(ISERROR(VLOOKUP(P4,AMA!$C$3:$C$100,1,FALSE)),IF(ISERROR(VLOOKUP(P4,'END-AAA'!$C$6:$C$100,1,FALSE)),IF(ISERROR(VLOOKUP(P4,'DB-AA'!$C$6:$C$100,1,FALSE)),IF(ISERROR(VLOOKUP(P4,'UTR-A'!$C$6:$C$100,1,FALSE)),IF(ISERROR(VLOOKUP(P4,'FAI-S A'!$C$6:$C$77,1,FALSE)),"","S A"),"A"),"AA"),"AAA"),"ML")</f>
        <v/>
      </c>
      <c r="B4" s="334" t="s">
        <v>1040</v>
      </c>
      <c r="C4" s="335" t="s">
        <v>87</v>
      </c>
      <c r="D4" s="335">
        <v>34</v>
      </c>
      <c r="E4" s="335" t="s">
        <v>1221</v>
      </c>
      <c r="F4" s="336"/>
      <c r="G4" s="336"/>
      <c r="H4" s="335"/>
      <c r="I4" s="335"/>
      <c r="J4" s="335"/>
      <c r="K4" s="335"/>
      <c r="L4" s="335"/>
      <c r="M4" s="314"/>
      <c r="N4" s="314"/>
      <c r="O4" s="13"/>
      <c r="P4" s="305" t="str">
        <f t="shared" ref="P4:P34" si="2">IF(B4="","",SUBSTITUTE(SUBSTITUTE(B4,"~",""),"*",""))</f>
        <v>John Turner</v>
      </c>
    </row>
    <row r="5" spans="1:16" s="305" customFormat="1" ht="15.75" customHeight="1" thickBot="1" x14ac:dyDescent="0.3">
      <c r="A5" s="305" t="str">
        <f>IF(ISERROR(VLOOKUP(P5,AMA!$C$3:$C$100,1,FALSE)),IF(ISERROR(VLOOKUP(P5,'END-AAA'!$C$6:$C$100,1,FALSE)),IF(ISERROR(VLOOKUP(P5,'DB-AA'!$C$6:$C$100,1,FALSE)),IF(ISERROR(VLOOKUP(P5,'UTR-A'!$C$6:$C$100,1,FALSE)),IF(ISERROR(VLOOKUP(P5,'FAI-S A'!$C$6:$C$77,1,FALSE)),"","S A"),"A"),"AA"),"AAA"),"ML")</f>
        <v/>
      </c>
      <c r="B5" s="331" t="s">
        <v>1222</v>
      </c>
      <c r="C5" s="332" t="s">
        <v>75</v>
      </c>
      <c r="D5" s="332">
        <v>35</v>
      </c>
      <c r="E5" s="332" t="s">
        <v>1223</v>
      </c>
      <c r="F5" s="333">
        <v>17610000</v>
      </c>
      <c r="G5" s="333">
        <v>17610000</v>
      </c>
      <c r="H5" s="333">
        <v>17610000</v>
      </c>
      <c r="I5" s="332" t="s">
        <v>1224</v>
      </c>
      <c r="J5" s="332" t="s">
        <v>99</v>
      </c>
      <c r="K5" s="332" t="s">
        <v>99</v>
      </c>
      <c r="L5" s="332" t="s">
        <v>99</v>
      </c>
      <c r="M5" s="315"/>
      <c r="N5" s="315"/>
      <c r="O5" s="13"/>
      <c r="P5" s="305" t="str">
        <f t="shared" si="2"/>
        <v>Luis Cruz</v>
      </c>
    </row>
    <row r="6" spans="1:16" ht="15.75" thickBot="1" x14ac:dyDescent="0.3">
      <c r="A6" s="305" t="str">
        <f>IF(ISERROR(VLOOKUP(P6,AMA!$C$3:$C$100,1,FALSE)),IF(ISERROR(VLOOKUP(P6,'END-AAA'!$C$6:$C$100,1,FALSE)),IF(ISERROR(VLOOKUP(P6,'DB-AA'!$C$6:$C$100,1,FALSE)),IF(ISERROR(VLOOKUP(P6,'UTR-A'!$C$6:$C$100,1,FALSE)),IF(ISERROR(VLOOKUP(P6,'FAI-S A'!$C$6:$C$77,1,FALSE)),"","S A"),"A"),"AA"),"AAA"),"ML")</f>
        <v>ML</v>
      </c>
      <c r="B6" s="334" t="s">
        <v>1041</v>
      </c>
      <c r="C6" s="335" t="s">
        <v>73</v>
      </c>
      <c r="D6" s="335">
        <v>34</v>
      </c>
      <c r="E6" s="335" t="s">
        <v>1225</v>
      </c>
      <c r="F6" s="336"/>
      <c r="G6" s="336"/>
      <c r="H6" s="335"/>
      <c r="I6" s="335"/>
      <c r="J6" s="335"/>
      <c r="K6" s="335"/>
      <c r="L6" s="335"/>
      <c r="M6" s="314"/>
      <c r="N6" s="314"/>
      <c r="O6" s="12"/>
      <c r="P6" s="305" t="str">
        <f t="shared" si="2"/>
        <v>Dave Petersen</v>
      </c>
    </row>
    <row r="7" spans="1:16" s="305" customFormat="1" ht="15.75" thickBot="1" x14ac:dyDescent="0.3">
      <c r="A7" s="305" t="str">
        <f>IF(ISERROR(VLOOKUP(P7,AMA!$C$3:$C$100,1,FALSE)),IF(ISERROR(VLOOKUP(P7,'END-AAA'!$C$6:$C$100,1,FALSE)),IF(ISERROR(VLOOKUP(P7,'DB-AA'!$C$6:$C$100,1,FALSE)),IF(ISERROR(VLOOKUP(P7,'UTR-A'!$C$6:$C$100,1,FALSE)),IF(ISERROR(VLOOKUP(P7,'FAI-S A'!$C$6:$C$77,1,FALSE)),"","S A"),"A"),"AA"),"AAA"),"ML")</f>
        <v>ML</v>
      </c>
      <c r="B7" s="331" t="s">
        <v>1226</v>
      </c>
      <c r="C7" s="332" t="s">
        <v>77</v>
      </c>
      <c r="D7" s="332">
        <v>32</v>
      </c>
      <c r="E7" s="332" t="s">
        <v>1227</v>
      </c>
      <c r="F7" s="333">
        <v>9000000</v>
      </c>
      <c r="G7" s="333">
        <v>9000000</v>
      </c>
      <c r="H7" s="333">
        <v>9000000</v>
      </c>
      <c r="I7" s="333">
        <v>9000000</v>
      </c>
      <c r="J7" s="332" t="s">
        <v>1228</v>
      </c>
      <c r="K7" s="332"/>
      <c r="L7" s="332"/>
      <c r="M7" s="314"/>
      <c r="N7" s="314"/>
      <c r="O7" s="12"/>
      <c r="P7" s="305" t="str">
        <f t="shared" si="2"/>
        <v>Roberto Martinez</v>
      </c>
    </row>
    <row r="8" spans="1:16" ht="15.75" thickBot="1" x14ac:dyDescent="0.3">
      <c r="A8" s="305" t="str">
        <f>IF(ISERROR(VLOOKUP(P8,AMA!$C$3:$C$100,1,FALSE)),IF(ISERROR(VLOOKUP(P8,'END-AAA'!$C$6:$C$100,1,FALSE)),IF(ISERROR(VLOOKUP(P8,'DB-AA'!$C$6:$C$100,1,FALSE)),IF(ISERROR(VLOOKUP(P8,'UTR-A'!$C$6:$C$100,1,FALSE)),IF(ISERROR(VLOOKUP(P8,'FAI-S A'!$C$6:$C$77,1,FALSE)),"","S A"),"A"),"AA"),"AAA"),"ML")</f>
        <v>ML</v>
      </c>
      <c r="B8" s="334" t="s">
        <v>1161</v>
      </c>
      <c r="C8" s="335" t="s">
        <v>73</v>
      </c>
      <c r="D8" s="335">
        <v>30</v>
      </c>
      <c r="E8" s="335" t="s">
        <v>1048</v>
      </c>
      <c r="F8" s="336">
        <v>8900000</v>
      </c>
      <c r="G8" s="336">
        <v>10900000</v>
      </c>
      <c r="H8" s="336">
        <v>10900000</v>
      </c>
      <c r="I8" s="335" t="s">
        <v>99</v>
      </c>
      <c r="J8" s="335"/>
      <c r="K8" s="335"/>
      <c r="L8" s="335"/>
      <c r="M8" s="315"/>
      <c r="N8" s="315"/>
      <c r="O8" s="13"/>
      <c r="P8" s="305" t="str">
        <f t="shared" si="2"/>
        <v>Norberto Escamilla</v>
      </c>
    </row>
    <row r="9" spans="1:16" s="305" customFormat="1" ht="15.75" thickBot="1" x14ac:dyDescent="0.3">
      <c r="A9" s="305" t="str">
        <f>IF(ISERROR(VLOOKUP(P9,AMA!$C$3:$C$100,1,FALSE)),IF(ISERROR(VLOOKUP(P9,'END-AAA'!$C$6:$C$100,1,FALSE)),IF(ISERROR(VLOOKUP(P9,'DB-AA'!$C$6:$C$100,1,FALSE)),IF(ISERROR(VLOOKUP(P9,'UTR-A'!$C$6:$C$100,1,FALSE)),IF(ISERROR(VLOOKUP(P9,'FAI-S A'!$C$6:$C$77,1,FALSE)),"","S A"),"A"),"AA"),"AAA"),"ML")</f>
        <v>ML</v>
      </c>
      <c r="B9" s="331" t="s">
        <v>1047</v>
      </c>
      <c r="C9" s="332" t="s">
        <v>86</v>
      </c>
      <c r="D9" s="332">
        <v>28</v>
      </c>
      <c r="E9" s="332" t="s">
        <v>1229</v>
      </c>
      <c r="F9" s="333">
        <v>3740000</v>
      </c>
      <c r="G9" s="333">
        <v>3740000</v>
      </c>
      <c r="H9" s="332" t="s">
        <v>99</v>
      </c>
      <c r="I9" s="332"/>
      <c r="J9" s="332"/>
      <c r="K9" s="332"/>
      <c r="L9" s="332"/>
      <c r="M9" s="315"/>
      <c r="N9" s="315"/>
      <c r="O9" s="13"/>
      <c r="P9" s="305" t="str">
        <f t="shared" si="2"/>
        <v>Kelsey Buck</v>
      </c>
    </row>
    <row r="10" spans="1:16" s="305" customFormat="1" ht="15.75" thickBot="1" x14ac:dyDescent="0.3">
      <c r="A10" s="305" t="str">
        <f>IF(ISERROR(VLOOKUP(P10,AMA!$C$3:$C$100,1,FALSE)),IF(ISERROR(VLOOKUP(P10,'END-AAA'!$C$6:$C$100,1,FALSE)),IF(ISERROR(VLOOKUP(P10,'DB-AA'!$C$6:$C$100,1,FALSE)),IF(ISERROR(VLOOKUP(P10,'UTR-A'!$C$6:$C$100,1,FALSE)),IF(ISERROR(VLOOKUP(P10,'FAI-S A'!$C$6:$C$77,1,FALSE)),"","S A"),"A"),"AA"),"AAA"),"ML")</f>
        <v>ML</v>
      </c>
      <c r="B10" s="334" t="s">
        <v>1043</v>
      </c>
      <c r="C10" s="335" t="s">
        <v>87</v>
      </c>
      <c r="D10" s="335">
        <v>31</v>
      </c>
      <c r="E10" s="335" t="s">
        <v>1230</v>
      </c>
      <c r="F10" s="336">
        <v>2200000</v>
      </c>
      <c r="G10" s="336">
        <v>2400000</v>
      </c>
      <c r="H10" s="335" t="s">
        <v>1231</v>
      </c>
      <c r="I10" s="335"/>
      <c r="J10" s="335"/>
      <c r="K10" s="335"/>
      <c r="L10" s="335"/>
      <c r="M10" s="314"/>
      <c r="N10" s="314"/>
      <c r="O10" s="12"/>
      <c r="P10" s="305" t="str">
        <f t="shared" si="2"/>
        <v>Mike Ryan</v>
      </c>
    </row>
    <row r="11" spans="1:16" ht="15.75" thickBot="1" x14ac:dyDescent="0.3">
      <c r="A11" s="305" t="str">
        <f>IF(ISERROR(VLOOKUP(P11,AMA!$C$3:$C$100,1,FALSE)),IF(ISERROR(VLOOKUP(P11,'END-AAA'!$C$6:$C$100,1,FALSE)),IF(ISERROR(VLOOKUP(P11,'DB-AA'!$C$6:$C$100,1,FALSE)),IF(ISERROR(VLOOKUP(P11,'UTR-A'!$C$6:$C$100,1,FALSE)),IF(ISERROR(VLOOKUP(P11,'FAI-S A'!$C$6:$C$77,1,FALSE)),"","S A"),"A"),"AA"),"AAA"),"ML")</f>
        <v>ML</v>
      </c>
      <c r="B11" s="331" t="s">
        <v>1061</v>
      </c>
      <c r="C11" s="332" t="s">
        <v>87</v>
      </c>
      <c r="D11" s="332">
        <v>28</v>
      </c>
      <c r="E11" s="332" t="s">
        <v>1232</v>
      </c>
      <c r="F11" s="333">
        <v>1480000</v>
      </c>
      <c r="G11" s="332" t="s">
        <v>99</v>
      </c>
      <c r="H11" s="332" t="s">
        <v>99</v>
      </c>
      <c r="I11" s="332" t="s">
        <v>99</v>
      </c>
      <c r="J11" s="332"/>
      <c r="K11" s="332"/>
      <c r="L11" s="332"/>
      <c r="M11" s="315"/>
      <c r="N11" s="315"/>
      <c r="O11" s="12"/>
      <c r="P11" s="305" t="str">
        <f t="shared" si="2"/>
        <v>Carl Ford</v>
      </c>
    </row>
    <row r="12" spans="1:16" ht="15.75" thickBot="1" x14ac:dyDescent="0.3">
      <c r="A12" s="305" t="str">
        <f>IF(ISERROR(VLOOKUP(P12,AMA!$C$3:$C$100,1,FALSE)),IF(ISERROR(VLOOKUP(P12,'END-AAA'!$C$6:$C$100,1,FALSE)),IF(ISERROR(VLOOKUP(P12,'DB-AA'!$C$6:$C$100,1,FALSE)),IF(ISERROR(VLOOKUP(P12,'UTR-A'!$C$6:$C$100,1,FALSE)),IF(ISERROR(VLOOKUP(P12,'FAI-S A'!$C$6:$C$77,1,FALSE)),"","S A"),"A"),"AA"),"AAA"),"ML")</f>
        <v/>
      </c>
      <c r="B12" s="334" t="s">
        <v>1044</v>
      </c>
      <c r="C12" s="335" t="s">
        <v>77</v>
      </c>
      <c r="D12" s="335">
        <v>34</v>
      </c>
      <c r="E12" s="335" t="s">
        <v>1233</v>
      </c>
      <c r="F12" s="335" t="s">
        <v>1045</v>
      </c>
      <c r="G12" s="335" t="s">
        <v>1045</v>
      </c>
      <c r="H12" s="335" t="s">
        <v>1045</v>
      </c>
      <c r="I12" s="335" t="s">
        <v>99</v>
      </c>
      <c r="J12" s="335" t="s">
        <v>99</v>
      </c>
      <c r="K12" s="335" t="s">
        <v>99</v>
      </c>
      <c r="L12" s="335"/>
      <c r="M12" s="315"/>
      <c r="N12" s="315"/>
      <c r="O12" s="13"/>
      <c r="P12" s="305" t="str">
        <f t="shared" si="2"/>
        <v>Edgardo Acarcon</v>
      </c>
    </row>
    <row r="13" spans="1:16" ht="15.75" thickBot="1" x14ac:dyDescent="0.3">
      <c r="A13" s="305" t="str">
        <f>IF(ISERROR(VLOOKUP(P13,AMA!$C$3:$C$100,1,FALSE)),IF(ISERROR(VLOOKUP(P13,'END-AAA'!$C$6:$C$100,1,FALSE)),IF(ISERROR(VLOOKUP(P13,'DB-AA'!$C$6:$C$100,1,FALSE)),IF(ISERROR(VLOOKUP(P13,'UTR-A'!$C$6:$C$100,1,FALSE)),IF(ISERROR(VLOOKUP(P13,'FAI-S A'!$C$6:$C$77,1,FALSE)),"","S A"),"A"),"AA"),"AAA"),"ML")</f>
        <v>ML</v>
      </c>
      <c r="B13" s="331" t="s">
        <v>1049</v>
      </c>
      <c r="C13" s="332" t="s">
        <v>86</v>
      </c>
      <c r="D13" s="332">
        <v>28</v>
      </c>
      <c r="E13" s="332" t="s">
        <v>1234</v>
      </c>
      <c r="F13" s="333">
        <v>960000</v>
      </c>
      <c r="G13" s="332" t="s">
        <v>99</v>
      </c>
      <c r="H13" s="332"/>
      <c r="I13" s="332"/>
      <c r="J13" s="332"/>
      <c r="K13" s="332"/>
      <c r="L13" s="332"/>
      <c r="M13" s="314"/>
      <c r="N13" s="314"/>
      <c r="O13" s="12"/>
      <c r="P13" s="305" t="str">
        <f t="shared" si="2"/>
        <v>Ju-hyung Park</v>
      </c>
    </row>
    <row r="14" spans="1:16" ht="15.75" thickBot="1" x14ac:dyDescent="0.3">
      <c r="A14" s="305" t="str">
        <f>IF(ISERROR(VLOOKUP(P14,AMA!$C$3:$C$100,1,FALSE)),IF(ISERROR(VLOOKUP(P14,'END-AAA'!$C$6:$C$100,1,FALSE)),IF(ISERROR(VLOOKUP(P14,'DB-AA'!$C$6:$C$100,1,FALSE)),IF(ISERROR(VLOOKUP(P14,'UTR-A'!$C$6:$C$100,1,FALSE)),IF(ISERROR(VLOOKUP(P14,'FAI-S A'!$C$6:$C$77,1,FALSE)),"","S A"),"A"),"AA"),"AAA"),"ML")</f>
        <v/>
      </c>
      <c r="B14" s="334" t="s">
        <v>1235</v>
      </c>
      <c r="C14" s="335" t="s">
        <v>86</v>
      </c>
      <c r="D14" s="335">
        <v>29</v>
      </c>
      <c r="E14" s="335" t="s">
        <v>1236</v>
      </c>
      <c r="F14" s="335" t="s">
        <v>1237</v>
      </c>
      <c r="G14" s="335" t="s">
        <v>99</v>
      </c>
      <c r="H14" s="335" t="s">
        <v>99</v>
      </c>
      <c r="I14" s="335" t="s">
        <v>99</v>
      </c>
      <c r="J14" s="335"/>
      <c r="K14" s="335"/>
      <c r="L14" s="335"/>
      <c r="M14" s="315"/>
      <c r="N14" s="315"/>
      <c r="O14" s="13"/>
      <c r="P14" s="305" t="str">
        <f t="shared" si="2"/>
        <v>Juan Gomez</v>
      </c>
    </row>
    <row r="15" spans="1:16" s="305" customFormat="1" ht="15.75" thickBot="1" x14ac:dyDescent="0.3">
      <c r="A15" s="305" t="str">
        <f>IF(ISERROR(VLOOKUP(P15,AMA!$C$3:$C$100,1,FALSE)),IF(ISERROR(VLOOKUP(P15,'END-AAA'!$C$6:$C$100,1,FALSE)),IF(ISERROR(VLOOKUP(P15,'DB-AA'!$C$6:$C$100,1,FALSE)),IF(ISERROR(VLOOKUP(P15,'UTR-A'!$C$6:$C$100,1,FALSE)),IF(ISERROR(VLOOKUP(P15,'FAI-S A'!$C$6:$C$77,1,FALSE)),"","S A"),"A"),"AA"),"AAA"),"ML")</f>
        <v/>
      </c>
      <c r="B15" s="331" t="s">
        <v>1046</v>
      </c>
      <c r="C15" s="332" t="s">
        <v>86</v>
      </c>
      <c r="D15" s="332">
        <v>33</v>
      </c>
      <c r="E15" s="332" t="s">
        <v>1238</v>
      </c>
      <c r="F15" s="332" t="s">
        <v>1239</v>
      </c>
      <c r="G15" s="332"/>
      <c r="H15" s="332"/>
      <c r="I15" s="332"/>
      <c r="J15" s="332"/>
      <c r="K15" s="332"/>
      <c r="L15" s="332"/>
      <c r="M15" s="314"/>
      <c r="N15" s="314"/>
      <c r="O15" s="12"/>
      <c r="P15" s="305" t="str">
        <f t="shared" si="2"/>
        <v>Tomas Moya</v>
      </c>
    </row>
    <row r="16" spans="1:16" s="305" customFormat="1" ht="15.75" thickBot="1" x14ac:dyDescent="0.3">
      <c r="A16" s="305" t="str">
        <f>IF(ISERROR(VLOOKUP(P16,AMA!$C$3:$C$100,1,FALSE)),IF(ISERROR(VLOOKUP(P16,'END-AAA'!$C$6:$C$100,1,FALSE)),IF(ISERROR(VLOOKUP(P16,'DB-AA'!$C$6:$C$100,1,FALSE)),IF(ISERROR(VLOOKUP(P16,'UTR-A'!$C$6:$C$100,1,FALSE)),IF(ISERROR(VLOOKUP(P16,'FAI-S A'!$C$6:$C$77,1,FALSE)),"","S A"),"A"),"AA"),"AAA"),"ML")</f>
        <v>ML</v>
      </c>
      <c r="B16" s="334" t="s">
        <v>1050</v>
      </c>
      <c r="C16" s="335" t="s">
        <v>78</v>
      </c>
      <c r="D16" s="335">
        <v>29</v>
      </c>
      <c r="E16" s="335" t="s">
        <v>1240</v>
      </c>
      <c r="F16" s="336">
        <v>890000</v>
      </c>
      <c r="G16" s="335" t="s">
        <v>99</v>
      </c>
      <c r="H16" s="335" t="s">
        <v>99</v>
      </c>
      <c r="I16" s="335"/>
      <c r="J16" s="335"/>
      <c r="K16" s="335"/>
      <c r="L16" s="335"/>
      <c r="M16" s="315"/>
      <c r="N16" s="315"/>
      <c r="O16" s="12"/>
      <c r="P16" s="305" t="str">
        <f t="shared" si="2"/>
        <v>Ryan Brown</v>
      </c>
    </row>
    <row r="17" spans="1:16" s="305" customFormat="1" ht="15.75" thickBot="1" x14ac:dyDescent="0.3">
      <c r="A17" s="305" t="str">
        <f>IF(ISERROR(VLOOKUP(P17,AMA!$C$3:$C$100,1,FALSE)),IF(ISERROR(VLOOKUP(P17,'END-AAA'!$C$6:$C$100,1,FALSE)),IF(ISERROR(VLOOKUP(P17,'DB-AA'!$C$6:$C$100,1,FALSE)),IF(ISERROR(VLOOKUP(P17,'UTR-A'!$C$6:$C$100,1,FALSE)),IF(ISERROR(VLOOKUP(P17,'FAI-S A'!$C$6:$C$77,1,FALSE)),"","S A"),"A"),"AA"),"AAA"),"ML")</f>
        <v/>
      </c>
      <c r="B17" s="331" t="s">
        <v>1241</v>
      </c>
      <c r="C17" s="332" t="s">
        <v>76</v>
      </c>
      <c r="D17" s="332">
        <v>31</v>
      </c>
      <c r="E17" s="332" t="s">
        <v>1242</v>
      </c>
      <c r="F17" s="332" t="s">
        <v>1243</v>
      </c>
      <c r="G17" s="332" t="s">
        <v>1243</v>
      </c>
      <c r="H17" s="332" t="s">
        <v>1243</v>
      </c>
      <c r="I17" s="332" t="s">
        <v>99</v>
      </c>
      <c r="J17" s="332" t="s">
        <v>99</v>
      </c>
      <c r="K17" s="332" t="s">
        <v>99</v>
      </c>
      <c r="L17" s="332"/>
      <c r="M17" s="315"/>
      <c r="N17" s="315"/>
      <c r="O17" s="12"/>
      <c r="P17" s="305" t="str">
        <f t="shared" si="2"/>
        <v>Elvis Mason</v>
      </c>
    </row>
    <row r="18" spans="1:16" ht="15.75" thickBot="1" x14ac:dyDescent="0.3">
      <c r="A18" s="305" t="str">
        <f>IF(ISERROR(VLOOKUP(P18,AMA!$C$3:$C$100,1,FALSE)),IF(ISERROR(VLOOKUP(P18,'END-AAA'!$C$6:$C$100,1,FALSE)),IF(ISERROR(VLOOKUP(P18,'DB-AA'!$C$6:$C$100,1,FALSE)),IF(ISERROR(VLOOKUP(P18,'UTR-A'!$C$6:$C$100,1,FALSE)),IF(ISERROR(VLOOKUP(P18,'FAI-S A'!$C$6:$C$77,1,FALSE)),"","S A"),"A"),"AA"),"AAA"),"ML")</f>
        <v>ML</v>
      </c>
      <c r="B18" s="334" t="s">
        <v>1063</v>
      </c>
      <c r="C18" s="335" t="s">
        <v>76</v>
      </c>
      <c r="D18" s="335">
        <v>32</v>
      </c>
      <c r="E18" s="335" t="s">
        <v>1244</v>
      </c>
      <c r="F18" s="336">
        <v>800000</v>
      </c>
      <c r="G18" s="335" t="s">
        <v>1245</v>
      </c>
      <c r="H18" s="335" t="s">
        <v>99</v>
      </c>
      <c r="I18" s="335" t="s">
        <v>99</v>
      </c>
      <c r="J18" s="335" t="s">
        <v>99</v>
      </c>
      <c r="K18" s="335"/>
      <c r="L18" s="335"/>
      <c r="M18" s="314"/>
      <c r="N18" s="314"/>
      <c r="O18" s="12"/>
      <c r="P18" s="305" t="str">
        <f t="shared" si="2"/>
        <v>Horiuchi Sugimoto</v>
      </c>
    </row>
    <row r="19" spans="1:16" ht="15.75" thickBot="1" x14ac:dyDescent="0.3">
      <c r="A19" s="305" t="str">
        <f>IF(ISERROR(VLOOKUP(P19,AMA!$C$3:$C$100,1,FALSE)),IF(ISERROR(VLOOKUP(P19,'END-AAA'!$C$6:$C$100,1,FALSE)),IF(ISERROR(VLOOKUP(P19,'DB-AA'!$C$6:$C$100,1,FALSE)),IF(ISERROR(VLOOKUP(P19,'UTR-A'!$C$6:$C$100,1,FALSE)),IF(ISERROR(VLOOKUP(P19,'FAI-S A'!$C$6:$C$77,1,FALSE)),"","S A"),"A"),"AA"),"AAA"),"ML")</f>
        <v>ML</v>
      </c>
      <c r="B19" s="331" t="s">
        <v>1246</v>
      </c>
      <c r="C19" s="332" t="s">
        <v>87</v>
      </c>
      <c r="D19" s="332">
        <v>22</v>
      </c>
      <c r="E19" s="332" t="s">
        <v>1060</v>
      </c>
      <c r="F19" s="332" t="s">
        <v>1247</v>
      </c>
      <c r="G19" s="332" t="s">
        <v>1247</v>
      </c>
      <c r="H19" s="332" t="s">
        <v>1247</v>
      </c>
      <c r="I19" s="332" t="s">
        <v>99</v>
      </c>
      <c r="J19" s="332" t="s">
        <v>99</v>
      </c>
      <c r="K19" s="332" t="s">
        <v>99</v>
      </c>
      <c r="L19" s="332"/>
      <c r="M19" s="315"/>
      <c r="N19" s="315"/>
      <c r="O19" s="13"/>
      <c r="P19" s="305" t="str">
        <f t="shared" si="2"/>
        <v>Carmelo Lamberti</v>
      </c>
    </row>
    <row r="20" spans="1:16" s="305" customFormat="1" ht="15.75" thickBot="1" x14ac:dyDescent="0.3">
      <c r="A20" s="305" t="str">
        <f>IF(ISERROR(VLOOKUP(P20,AMA!$C$3:$C$100,1,FALSE)),IF(ISERROR(VLOOKUP(P20,'END-AAA'!$C$6:$C$100,1,FALSE)),IF(ISERROR(VLOOKUP(P20,'DB-AA'!$C$6:$C$100,1,FALSE)),IF(ISERROR(VLOOKUP(P20,'UTR-A'!$C$6:$C$100,1,FALSE)),IF(ISERROR(VLOOKUP(P20,'FAI-S A'!$C$6:$C$77,1,FALSE)),"","S A"),"A"),"AA"),"AAA"),"ML")</f>
        <v/>
      </c>
      <c r="B20" s="334" t="s">
        <v>1248</v>
      </c>
      <c r="C20" s="335" t="s">
        <v>87</v>
      </c>
      <c r="D20" s="335">
        <v>23</v>
      </c>
      <c r="E20" s="335" t="s">
        <v>1249</v>
      </c>
      <c r="F20" s="335" t="s">
        <v>1247</v>
      </c>
      <c r="G20" s="335" t="s">
        <v>1247</v>
      </c>
      <c r="H20" s="335" t="s">
        <v>1247</v>
      </c>
      <c r="I20" s="335" t="s">
        <v>1247</v>
      </c>
      <c r="J20" s="335" t="s">
        <v>99</v>
      </c>
      <c r="K20" s="335" t="s">
        <v>99</v>
      </c>
      <c r="L20" s="335" t="s">
        <v>99</v>
      </c>
      <c r="M20" s="314"/>
      <c r="N20" s="314"/>
      <c r="O20" s="12"/>
      <c r="P20" s="305" t="str">
        <f t="shared" si="2"/>
        <v>Lorenzo Lopez</v>
      </c>
    </row>
    <row r="21" spans="1:16" ht="15.75" thickBot="1" x14ac:dyDescent="0.3">
      <c r="A21" s="305" t="str">
        <f>IF(ISERROR(VLOOKUP(P21,AMA!$C$3:$C$100,1,FALSE)),IF(ISERROR(VLOOKUP(P21,'END-AAA'!$C$6:$C$100,1,FALSE)),IF(ISERROR(VLOOKUP(P21,'DB-AA'!$C$6:$C$100,1,FALSE)),IF(ISERROR(VLOOKUP(P21,'UTR-A'!$C$6:$C$100,1,FALSE)),IF(ISERROR(VLOOKUP(P21,'FAI-S A'!$C$6:$C$77,1,FALSE)),"","S A"),"A"),"AA"),"AAA"),"ML")</f>
        <v>ML</v>
      </c>
      <c r="B21" s="331" t="s">
        <v>1064</v>
      </c>
      <c r="C21" s="332" t="s">
        <v>79</v>
      </c>
      <c r="D21" s="332">
        <v>23</v>
      </c>
      <c r="E21" s="332" t="s">
        <v>1242</v>
      </c>
      <c r="F21" s="332" t="s">
        <v>1247</v>
      </c>
      <c r="G21" s="332" t="s">
        <v>1247</v>
      </c>
      <c r="H21" s="332" t="s">
        <v>1247</v>
      </c>
      <c r="I21" s="332" t="s">
        <v>99</v>
      </c>
      <c r="J21" s="332" t="s">
        <v>99</v>
      </c>
      <c r="K21" s="332" t="s">
        <v>99</v>
      </c>
      <c r="L21" s="332"/>
      <c r="M21" s="315"/>
      <c r="N21" s="315"/>
      <c r="O21" s="12"/>
      <c r="P21" s="305" t="str">
        <f t="shared" si="2"/>
        <v>Sandor Vis</v>
      </c>
    </row>
    <row r="22" spans="1:16" ht="15.75" thickBot="1" x14ac:dyDescent="0.3">
      <c r="A22" s="305" t="str">
        <f>IF(ISERROR(VLOOKUP(P22,AMA!$C$3:$C$100,1,FALSE)),IF(ISERROR(VLOOKUP(P22,'END-AAA'!$C$6:$C$100,1,FALSE)),IF(ISERROR(VLOOKUP(P22,'DB-AA'!$C$6:$C$100,1,FALSE)),IF(ISERROR(VLOOKUP(P22,'UTR-A'!$C$6:$C$100,1,FALSE)),IF(ISERROR(VLOOKUP(P22,'FAI-S A'!$C$6:$C$77,1,FALSE)),"","S A"),"A"),"AA"),"AAA"),"ML")</f>
        <v>ML</v>
      </c>
      <c r="B22" s="334" t="s">
        <v>1250</v>
      </c>
      <c r="C22" s="335" t="s">
        <v>87</v>
      </c>
      <c r="D22" s="335">
        <v>24</v>
      </c>
      <c r="E22" s="335" t="s">
        <v>1060</v>
      </c>
      <c r="F22" s="335" t="s">
        <v>1247</v>
      </c>
      <c r="G22" s="335" t="s">
        <v>1247</v>
      </c>
      <c r="H22" s="335" t="s">
        <v>1247</v>
      </c>
      <c r="I22" s="335" t="s">
        <v>99</v>
      </c>
      <c r="J22" s="335" t="s">
        <v>99</v>
      </c>
      <c r="K22" s="335" t="s">
        <v>99</v>
      </c>
      <c r="L22" s="335"/>
      <c r="M22" s="314"/>
      <c r="N22" s="314"/>
      <c r="O22" s="13"/>
      <c r="P22" s="305" t="str">
        <f t="shared" si="2"/>
        <v>Manuel Canales</v>
      </c>
    </row>
    <row r="23" spans="1:16" ht="15.75" thickBot="1" x14ac:dyDescent="0.3">
      <c r="A23" s="305" t="str">
        <f>IF(ISERROR(VLOOKUP(P23,AMA!$C$3:$C$100,1,FALSE)),IF(ISERROR(VLOOKUP(P23,'END-AAA'!$C$6:$C$100,1,FALSE)),IF(ISERROR(VLOOKUP(P23,'DB-AA'!$C$6:$C$100,1,FALSE)),IF(ISERROR(VLOOKUP(P23,'UTR-A'!$C$6:$C$100,1,FALSE)),IF(ISERROR(VLOOKUP(P23,'FAI-S A'!$C$6:$C$77,1,FALSE)),"","S A"),"A"),"AA"),"AAA"),"ML")</f>
        <v>ML</v>
      </c>
      <c r="B23" s="331" t="s">
        <v>1052</v>
      </c>
      <c r="C23" s="332" t="s">
        <v>71</v>
      </c>
      <c r="D23" s="332">
        <v>27</v>
      </c>
      <c r="E23" s="332" t="s">
        <v>1058</v>
      </c>
      <c r="F23" s="332" t="s">
        <v>1247</v>
      </c>
      <c r="G23" s="332" t="s">
        <v>1247</v>
      </c>
      <c r="H23" s="332" t="s">
        <v>1247</v>
      </c>
      <c r="I23" s="332" t="s">
        <v>1247</v>
      </c>
      <c r="J23" s="332" t="s">
        <v>99</v>
      </c>
      <c r="K23" s="332" t="s">
        <v>99</v>
      </c>
      <c r="L23" s="332" t="s">
        <v>99</v>
      </c>
      <c r="M23" s="315"/>
      <c r="N23" s="315"/>
      <c r="O23" s="12"/>
      <c r="P23" s="305" t="str">
        <f t="shared" si="2"/>
        <v>Ewan Carne</v>
      </c>
    </row>
    <row r="24" spans="1:16" ht="15.75" thickBot="1" x14ac:dyDescent="0.3">
      <c r="A24" s="305" t="str">
        <f>IF(ISERROR(VLOOKUP(P24,AMA!$C$3:$C$100,1,FALSE)),IF(ISERROR(VLOOKUP(P24,'END-AAA'!$C$6:$C$100,1,FALSE)),IF(ISERROR(VLOOKUP(P24,'DB-AA'!$C$6:$C$100,1,FALSE)),IF(ISERROR(VLOOKUP(P24,'UTR-A'!$C$6:$C$100,1,FALSE)),IF(ISERROR(VLOOKUP(P24,'FAI-S A'!$C$6:$C$77,1,FALSE)),"","S A"),"A"),"AA"),"AAA"),"ML")</f>
        <v>ML</v>
      </c>
      <c r="B24" s="334" t="s">
        <v>1053</v>
      </c>
      <c r="C24" s="335" t="s">
        <v>78</v>
      </c>
      <c r="D24" s="335">
        <v>26</v>
      </c>
      <c r="E24" s="335" t="s">
        <v>1251</v>
      </c>
      <c r="F24" s="335" t="s">
        <v>1247</v>
      </c>
      <c r="G24" s="335" t="s">
        <v>1247</v>
      </c>
      <c r="H24" s="335" t="s">
        <v>1247</v>
      </c>
      <c r="I24" s="335" t="s">
        <v>99</v>
      </c>
      <c r="J24" s="335" t="s">
        <v>99</v>
      </c>
      <c r="K24" s="335" t="s">
        <v>99</v>
      </c>
      <c r="L24" s="335"/>
      <c r="M24" s="314"/>
      <c r="N24" s="314"/>
      <c r="O24" s="13"/>
      <c r="P24" s="305" t="str">
        <f t="shared" si="2"/>
        <v>Nathaniel Vanrenen</v>
      </c>
    </row>
    <row r="25" spans="1:16" ht="15.75" thickBot="1" x14ac:dyDescent="0.3">
      <c r="A25" s="305" t="str">
        <f>IF(ISERROR(VLOOKUP(P25,AMA!$C$3:$C$100,1,FALSE)),IF(ISERROR(VLOOKUP(P25,'END-AAA'!$C$6:$C$100,1,FALSE)),IF(ISERROR(VLOOKUP(P25,'DB-AA'!$C$6:$C$100,1,FALSE)),IF(ISERROR(VLOOKUP(P25,'UTR-A'!$C$6:$C$100,1,FALSE)),IF(ISERROR(VLOOKUP(P25,'FAI-S A'!$C$6:$C$77,1,FALSE)),"","S A"),"A"),"AA"),"AAA"),"ML")</f>
        <v>ML</v>
      </c>
      <c r="B25" s="331" t="s">
        <v>1055</v>
      </c>
      <c r="C25" s="332" t="s">
        <v>87</v>
      </c>
      <c r="D25" s="332">
        <v>26</v>
      </c>
      <c r="E25" s="332" t="s">
        <v>1252</v>
      </c>
      <c r="F25" s="332" t="s">
        <v>1247</v>
      </c>
      <c r="G25" s="332" t="s">
        <v>1247</v>
      </c>
      <c r="H25" s="332" t="s">
        <v>99</v>
      </c>
      <c r="I25" s="332" t="s">
        <v>99</v>
      </c>
      <c r="J25" s="332" t="s">
        <v>99</v>
      </c>
      <c r="K25" s="332"/>
      <c r="L25" s="332"/>
      <c r="M25" s="315"/>
      <c r="N25" s="315"/>
      <c r="O25" s="12"/>
      <c r="P25" s="305" t="str">
        <f t="shared" si="2"/>
        <v>Bang-xao Niu</v>
      </c>
    </row>
    <row r="26" spans="1:16" ht="15.75" thickBot="1" x14ac:dyDescent="0.3">
      <c r="A26" s="305" t="str">
        <f>IF(ISERROR(VLOOKUP(P26,AMA!$C$3:$C$100,1,FALSE)),IF(ISERROR(VLOOKUP(P26,'END-AAA'!$C$6:$C$100,1,FALSE)),IF(ISERROR(VLOOKUP(P26,'DB-AA'!$C$6:$C$100,1,FALSE)),IF(ISERROR(VLOOKUP(P26,'UTR-A'!$C$6:$C$100,1,FALSE)),IF(ISERROR(VLOOKUP(P26,'FAI-S A'!$C$6:$C$77,1,FALSE)),"","S A"),"A"),"AA"),"AAA"),"ML")</f>
        <v/>
      </c>
      <c r="B26" s="334" t="s">
        <v>1059</v>
      </c>
      <c r="C26" s="335" t="s">
        <v>86</v>
      </c>
      <c r="D26" s="335">
        <v>27</v>
      </c>
      <c r="E26" s="335" t="s">
        <v>1253</v>
      </c>
      <c r="F26" s="335" t="s">
        <v>1247</v>
      </c>
      <c r="G26" s="335" t="s">
        <v>1247</v>
      </c>
      <c r="H26" s="335" t="s">
        <v>99</v>
      </c>
      <c r="I26" s="335" t="s">
        <v>99</v>
      </c>
      <c r="J26" s="335" t="s">
        <v>99</v>
      </c>
      <c r="K26" s="335"/>
      <c r="L26" s="335"/>
      <c r="M26" s="314"/>
      <c r="N26" s="314"/>
      <c r="O26" s="13"/>
      <c r="P26" s="305" t="str">
        <f t="shared" si="2"/>
        <v>Rich Kefer</v>
      </c>
    </row>
    <row r="27" spans="1:16" ht="15.75" thickBot="1" x14ac:dyDescent="0.3">
      <c r="A27" s="305" t="str">
        <f>IF(ISERROR(VLOOKUP(P27,AMA!$C$3:$C$100,1,FALSE)),IF(ISERROR(VLOOKUP(P27,'END-AAA'!$C$6:$C$100,1,FALSE)),IF(ISERROR(VLOOKUP(P27,'DB-AA'!$C$6:$C$100,1,FALSE)),IF(ISERROR(VLOOKUP(P27,'UTR-A'!$C$6:$C$100,1,FALSE)),IF(ISERROR(VLOOKUP(P27,'FAI-S A'!$C$6:$C$77,1,FALSE)),"","S A"),"A"),"AA"),"AAA"),"ML")</f>
        <v>ML</v>
      </c>
      <c r="B27" s="331" t="s">
        <v>1056</v>
      </c>
      <c r="C27" s="332" t="s">
        <v>75</v>
      </c>
      <c r="D27" s="332">
        <v>25</v>
      </c>
      <c r="E27" s="332" t="s">
        <v>1054</v>
      </c>
      <c r="F27" s="332" t="s">
        <v>1247</v>
      </c>
      <c r="G27" s="332" t="s">
        <v>1247</v>
      </c>
      <c r="H27" s="332" t="s">
        <v>1247</v>
      </c>
      <c r="I27" s="332" t="s">
        <v>1247</v>
      </c>
      <c r="J27" s="332" t="s">
        <v>99</v>
      </c>
      <c r="K27" s="332" t="s">
        <v>99</v>
      </c>
      <c r="L27" s="332" t="s">
        <v>99</v>
      </c>
      <c r="M27" s="315"/>
      <c r="N27" s="315"/>
      <c r="O27" s="12"/>
      <c r="P27" s="305" t="str">
        <f t="shared" si="2"/>
        <v>Lindsay Durrington</v>
      </c>
    </row>
    <row r="28" spans="1:16" ht="15.75" thickBot="1" x14ac:dyDescent="0.3">
      <c r="A28" s="305" t="str">
        <f>IF(ISERROR(VLOOKUP(P28,AMA!$C$3:$C$100,1,FALSE)),IF(ISERROR(VLOOKUP(P28,'END-AAA'!$C$6:$C$100,1,FALSE)),IF(ISERROR(VLOOKUP(P28,'DB-AA'!$C$6:$C$100,1,FALSE)),IF(ISERROR(VLOOKUP(P28,'UTR-A'!$C$6:$C$100,1,FALSE)),IF(ISERROR(VLOOKUP(P28,'FAI-S A'!$C$6:$C$77,1,FALSE)),"","S A"),"A"),"AA"),"AAA"),"ML")</f>
        <v>ML</v>
      </c>
      <c r="B28" s="334" t="s">
        <v>1051</v>
      </c>
      <c r="C28" s="335" t="s">
        <v>74</v>
      </c>
      <c r="D28" s="335">
        <v>27</v>
      </c>
      <c r="E28" s="335" t="s">
        <v>1244</v>
      </c>
      <c r="F28" s="335" t="s">
        <v>1247</v>
      </c>
      <c r="G28" s="335" t="s">
        <v>1247</v>
      </c>
      <c r="H28" s="335" t="s">
        <v>99</v>
      </c>
      <c r="I28" s="335" t="s">
        <v>99</v>
      </c>
      <c r="J28" s="335" t="s">
        <v>99</v>
      </c>
      <c r="K28" s="335"/>
      <c r="L28" s="335"/>
      <c r="M28" s="314"/>
      <c r="N28" s="314"/>
      <c r="O28" s="13"/>
      <c r="P28" s="305" t="str">
        <f t="shared" si="2"/>
        <v>Nikolay Rusanovsky</v>
      </c>
    </row>
    <row r="29" spans="1:16" s="305" customFormat="1" ht="15.75" thickBot="1" x14ac:dyDescent="0.3">
      <c r="A29" s="305" t="str">
        <f>IF(ISERROR(VLOOKUP(P29,AMA!$C$3:$C$100,1,FALSE)),IF(ISERROR(VLOOKUP(P29,'END-AAA'!$C$6:$C$100,1,FALSE)),IF(ISERROR(VLOOKUP(P29,'DB-AA'!$C$6:$C$100,1,FALSE)),IF(ISERROR(VLOOKUP(P29,'UTR-A'!$C$6:$C$100,1,FALSE)),IF(ISERROR(VLOOKUP(P29,'FAI-S A'!$C$6:$C$77,1,FALSE)),"","S A"),"A"),"AA"),"AAA"),"ML")</f>
        <v/>
      </c>
      <c r="B29" s="331" t="s">
        <v>1062</v>
      </c>
      <c r="C29" s="332" t="s">
        <v>86</v>
      </c>
      <c r="D29" s="332">
        <v>24</v>
      </c>
      <c r="E29" s="332" t="s">
        <v>1254</v>
      </c>
      <c r="F29" s="332" t="s">
        <v>1247</v>
      </c>
      <c r="G29" s="332" t="s">
        <v>1247</v>
      </c>
      <c r="H29" s="332" t="s">
        <v>99</v>
      </c>
      <c r="I29" s="332" t="s">
        <v>99</v>
      </c>
      <c r="J29" s="332" t="s">
        <v>99</v>
      </c>
      <c r="K29" s="332"/>
      <c r="L29" s="332"/>
      <c r="M29" s="315"/>
      <c r="N29" s="315"/>
      <c r="O29" s="13"/>
      <c r="P29" s="305" t="str">
        <f t="shared" si="2"/>
        <v>Carlos Muniz</v>
      </c>
    </row>
    <row r="30" spans="1:16" s="305" customFormat="1" ht="15.75" thickBot="1" x14ac:dyDescent="0.3">
      <c r="A30" s="305" t="str">
        <f>IF(ISERROR(VLOOKUP(P30,AMA!$C$3:$C$100,1,FALSE)),IF(ISERROR(VLOOKUP(P30,'END-AAA'!$C$6:$C$100,1,FALSE)),IF(ISERROR(VLOOKUP(P30,'DB-AA'!$C$6:$C$100,1,FALSE)),IF(ISERROR(VLOOKUP(P30,'UTR-A'!$C$6:$C$100,1,FALSE)),IF(ISERROR(VLOOKUP(P30,'FAI-S A'!$C$6:$C$77,1,FALSE)),"","S A"),"A"),"AA"),"AAA"),"ML")</f>
        <v>ML</v>
      </c>
      <c r="B30" s="334" t="s">
        <v>1057</v>
      </c>
      <c r="C30" s="335" t="s">
        <v>71</v>
      </c>
      <c r="D30" s="335">
        <v>32</v>
      </c>
      <c r="E30" s="335" t="s">
        <v>1255</v>
      </c>
      <c r="F30" s="335" t="s">
        <v>1247</v>
      </c>
      <c r="G30" s="335" t="s">
        <v>1247</v>
      </c>
      <c r="H30" s="335" t="s">
        <v>1247</v>
      </c>
      <c r="I30" s="335" t="s">
        <v>99</v>
      </c>
      <c r="J30" s="335" t="s">
        <v>99</v>
      </c>
      <c r="K30" s="335" t="s">
        <v>99</v>
      </c>
      <c r="L30" s="335"/>
      <c r="M30" s="315"/>
      <c r="N30" s="315"/>
      <c r="O30" s="13"/>
      <c r="P30" s="305" t="str">
        <f t="shared" si="2"/>
        <v>Lonnie Paradise</v>
      </c>
    </row>
    <row r="31" spans="1:16" s="305" customFormat="1" ht="15.75" thickBot="1" x14ac:dyDescent="0.3">
      <c r="A31" s="305" t="str">
        <f>IF(ISERROR(VLOOKUP(P31,AMA!$C$3:$C$100,1,FALSE)),IF(ISERROR(VLOOKUP(P31,'END-AAA'!$C$6:$C$100,1,FALSE)),IF(ISERROR(VLOOKUP(P31,'DB-AA'!$C$6:$C$100,1,FALSE)),IF(ISERROR(VLOOKUP(P31,'UTR-A'!$C$6:$C$100,1,FALSE)),IF(ISERROR(VLOOKUP(P31,'FAI-S A'!$C$6:$C$77,1,FALSE)),"","S A"),"A"),"AA"),"AAA"),"ML")</f>
        <v>ML</v>
      </c>
      <c r="B31" s="331" t="s">
        <v>1256</v>
      </c>
      <c r="C31" s="332" t="s">
        <v>71</v>
      </c>
      <c r="D31" s="332">
        <v>30</v>
      </c>
      <c r="E31" s="332" t="s">
        <v>1257</v>
      </c>
      <c r="F31" s="332" t="s">
        <v>1247</v>
      </c>
      <c r="G31" s="332" t="s">
        <v>99</v>
      </c>
      <c r="H31" s="332" t="s">
        <v>99</v>
      </c>
      <c r="I31" s="332" t="s">
        <v>99</v>
      </c>
      <c r="J31" s="332"/>
      <c r="K31" s="332"/>
      <c r="L31" s="332"/>
      <c r="M31" s="315"/>
      <c r="N31" s="315"/>
      <c r="O31" s="13"/>
      <c r="P31" s="305" t="str">
        <f t="shared" si="2"/>
        <v>Cesar Salgado</v>
      </c>
    </row>
    <row r="32" spans="1:16" s="305" customFormat="1" ht="15.75" thickBot="1" x14ac:dyDescent="0.3">
      <c r="A32" s="305" t="str">
        <f>IF(ISERROR(VLOOKUP(P32,AMA!$C$3:$C$100,1,FALSE)),IF(ISERROR(VLOOKUP(P32,'END-AAA'!$C$6:$C$100,1,FALSE)),IF(ISERROR(VLOOKUP(P32,'DB-AA'!$C$6:$C$100,1,FALSE)),IF(ISERROR(VLOOKUP(P32,'UTR-A'!$C$6:$C$100,1,FALSE)),IF(ISERROR(VLOOKUP(P32,'FAI-S A'!$C$6:$C$77,1,FALSE)),"","S A"),"A"),"AA"),"AAA"),"ML")</f>
        <v/>
      </c>
      <c r="B32" s="334" t="s">
        <v>1258</v>
      </c>
      <c r="C32" s="335" t="s">
        <v>87</v>
      </c>
      <c r="D32" s="335">
        <v>28</v>
      </c>
      <c r="E32" s="335" t="s">
        <v>1060</v>
      </c>
      <c r="F32" s="335" t="s">
        <v>446</v>
      </c>
      <c r="G32" s="335" t="s">
        <v>446</v>
      </c>
      <c r="H32" s="335" t="s">
        <v>446</v>
      </c>
      <c r="I32" s="335" t="s">
        <v>99</v>
      </c>
      <c r="J32" s="335" t="s">
        <v>99</v>
      </c>
      <c r="K32" s="335" t="s">
        <v>99</v>
      </c>
      <c r="L32" s="335"/>
      <c r="M32" s="315"/>
      <c r="N32" s="315"/>
      <c r="O32" s="13"/>
      <c r="P32" s="305" t="str">
        <f t="shared" si="2"/>
        <v>Anthony Green</v>
      </c>
    </row>
    <row r="33" spans="1:16" s="305" customFormat="1" ht="15.75" thickBot="1" x14ac:dyDescent="0.3">
      <c r="A33" s="305" t="str">
        <f>IF(ISERROR(VLOOKUP(P33,AMA!$C$3:$C$100,1,FALSE)),IF(ISERROR(VLOOKUP(P33,'END-AAA'!$C$6:$C$100,1,FALSE)),IF(ISERROR(VLOOKUP(P33,'DB-AA'!$C$6:$C$100,1,FALSE)),IF(ISERROR(VLOOKUP(P33,'UTR-A'!$C$6:$C$100,1,FALSE)),IF(ISERROR(VLOOKUP(P33,'FAI-S A'!$C$6:$C$77,1,FALSE)),"","S A"),"A"),"AA"),"AAA"),"ML")</f>
        <v/>
      </c>
      <c r="B33" s="331" t="s">
        <v>1259</v>
      </c>
      <c r="C33" s="332" t="s">
        <v>86</v>
      </c>
      <c r="D33" s="332">
        <v>27</v>
      </c>
      <c r="E33" s="332" t="s">
        <v>1260</v>
      </c>
      <c r="F33" s="332" t="s">
        <v>446</v>
      </c>
      <c r="G33" s="332" t="s">
        <v>446</v>
      </c>
      <c r="H33" s="332" t="s">
        <v>99</v>
      </c>
      <c r="I33" s="332" t="s">
        <v>99</v>
      </c>
      <c r="J33" s="332" t="s">
        <v>99</v>
      </c>
      <c r="K33" s="332"/>
      <c r="L33" s="332"/>
      <c r="M33" s="315"/>
      <c r="N33" s="315"/>
      <c r="O33" s="13"/>
      <c r="P33" s="305" t="str">
        <f t="shared" si="2"/>
        <v>Torcall Penrose</v>
      </c>
    </row>
    <row r="34" spans="1:16" s="305" customFormat="1" ht="15.75" thickBot="1" x14ac:dyDescent="0.3">
      <c r="A34" s="305" t="str">
        <f>IF(ISERROR(VLOOKUP(P34,AMA!$C$3:$C$100,1,FALSE)),IF(ISERROR(VLOOKUP(P34,'END-AAA'!$C$6:$C$100,1,FALSE)),IF(ISERROR(VLOOKUP(P34,'DB-AA'!$C$6:$C$100,1,FALSE)),IF(ISERROR(VLOOKUP(P34,'UTR-A'!$C$6:$C$100,1,FALSE)),IF(ISERROR(VLOOKUP(P34,'FAI-S A'!$C$6:$C$77,1,FALSE)),"","S A"),"A"),"AA"),"AAA"),"ML")</f>
        <v/>
      </c>
      <c r="B34" s="334" t="s">
        <v>1261</v>
      </c>
      <c r="C34" s="335" t="s">
        <v>87</v>
      </c>
      <c r="D34" s="335">
        <v>24</v>
      </c>
      <c r="E34" s="335" t="s">
        <v>1060</v>
      </c>
      <c r="F34" s="335" t="s">
        <v>446</v>
      </c>
      <c r="G34" s="335" t="s">
        <v>446</v>
      </c>
      <c r="H34" s="335" t="s">
        <v>446</v>
      </c>
      <c r="I34" s="335" t="s">
        <v>99</v>
      </c>
      <c r="J34" s="335" t="s">
        <v>99</v>
      </c>
      <c r="K34" s="335" t="s">
        <v>99</v>
      </c>
      <c r="L34" s="335"/>
      <c r="M34" s="314"/>
      <c r="N34" s="13"/>
      <c r="O34" s="12"/>
      <c r="P34" s="305" t="str">
        <f t="shared" si="2"/>
        <v>Vito DeNegri</v>
      </c>
    </row>
    <row r="35" spans="1:16" s="305" customFormat="1" ht="15.75" thickBot="1" x14ac:dyDescent="0.3">
      <c r="B35" s="331" t="s">
        <v>1262</v>
      </c>
      <c r="C35" s="332" t="s">
        <v>87</v>
      </c>
      <c r="D35" s="332">
        <v>27</v>
      </c>
      <c r="E35" s="332" t="s">
        <v>1263</v>
      </c>
      <c r="F35" s="332"/>
      <c r="G35" s="332"/>
      <c r="H35" s="332"/>
      <c r="I35" s="332"/>
      <c r="J35" s="332"/>
      <c r="K35" s="332"/>
      <c r="L35" s="332"/>
      <c r="M35" s="315"/>
      <c r="N35" s="12"/>
      <c r="O35" s="13"/>
    </row>
    <row r="36" spans="1:16" s="305" customFormat="1" ht="15.75" thickBot="1" x14ac:dyDescent="0.3">
      <c r="B36" s="334" t="s">
        <v>543</v>
      </c>
      <c r="C36" s="335" t="s">
        <v>87</v>
      </c>
      <c r="D36" s="335">
        <v>31</v>
      </c>
      <c r="E36" s="335" t="s">
        <v>1264</v>
      </c>
      <c r="F36" s="335"/>
      <c r="G36" s="335"/>
      <c r="H36" s="335"/>
      <c r="I36" s="335"/>
      <c r="J36" s="335"/>
      <c r="K36" s="335"/>
      <c r="L36" s="335"/>
      <c r="M36" s="316"/>
      <c r="N36" s="12"/>
      <c r="O36" s="12"/>
    </row>
    <row r="37" spans="1:16" s="305" customFormat="1" ht="15.75" thickBot="1" x14ac:dyDescent="0.3">
      <c r="B37" s="331" t="s">
        <v>1042</v>
      </c>
      <c r="C37" s="332" t="s">
        <v>79</v>
      </c>
      <c r="D37" s="332">
        <v>31</v>
      </c>
      <c r="E37" s="332" t="s">
        <v>1265</v>
      </c>
      <c r="F37" s="332"/>
      <c r="G37" s="332"/>
      <c r="H37" s="332"/>
      <c r="I37" s="332"/>
      <c r="J37" s="332"/>
      <c r="K37" s="332"/>
      <c r="L37" s="332"/>
      <c r="M37" s="316"/>
      <c r="N37" s="13"/>
      <c r="O37" s="13"/>
    </row>
    <row r="38" spans="1:16" s="305" customFormat="1" ht="15.75" thickBot="1" x14ac:dyDescent="0.3">
      <c r="B38" s="413"/>
      <c r="C38" s="413"/>
      <c r="D38" s="413"/>
      <c r="E38" s="413"/>
      <c r="F38" s="391"/>
      <c r="G38" s="391"/>
      <c r="H38" s="391"/>
      <c r="I38" s="391"/>
      <c r="J38" s="391"/>
      <c r="K38" s="391"/>
      <c r="L38" s="391"/>
      <c r="M38" s="12"/>
      <c r="N38" s="12"/>
      <c r="O38" s="12"/>
    </row>
    <row r="39" spans="1:16" s="305" customFormat="1" ht="15.75" thickBot="1" x14ac:dyDescent="0.3">
      <c r="B39" s="413"/>
      <c r="C39" s="413"/>
      <c r="D39" s="413"/>
      <c r="E39" s="413"/>
      <c r="F39" s="391"/>
      <c r="G39" s="391"/>
      <c r="H39" s="391"/>
      <c r="I39" s="391"/>
      <c r="J39" s="391"/>
      <c r="K39" s="391"/>
      <c r="L39" s="391"/>
      <c r="M39" s="13"/>
      <c r="N39" s="13"/>
      <c r="O39" s="13"/>
    </row>
    <row r="40" spans="1:16" s="305" customFormat="1" ht="15.75" thickBot="1" x14ac:dyDescent="0.3">
      <c r="B40" s="413"/>
      <c r="C40" s="413"/>
      <c r="D40" s="413"/>
      <c r="E40" s="413"/>
      <c r="F40" s="391"/>
      <c r="G40" s="391"/>
      <c r="H40" s="391"/>
      <c r="I40" s="391"/>
      <c r="J40" s="391"/>
      <c r="K40" s="391"/>
      <c r="L40" s="391"/>
      <c r="M40" s="12"/>
      <c r="N40" s="12"/>
      <c r="O40" s="12"/>
    </row>
    <row r="41" spans="1:16" s="305" customFormat="1" ht="15.75" thickBot="1" x14ac:dyDescent="0.3">
      <c r="B41" s="331"/>
      <c r="C41" s="332"/>
      <c r="D41" s="332"/>
      <c r="E41" s="332"/>
      <c r="F41" s="333"/>
      <c r="G41" s="332"/>
      <c r="H41" s="332"/>
      <c r="I41" s="332"/>
      <c r="J41" s="332"/>
      <c r="K41" s="332"/>
      <c r="L41" s="332"/>
      <c r="M41" s="13"/>
      <c r="N41" s="13"/>
      <c r="O41" s="13"/>
    </row>
    <row r="42" spans="1:16" s="305" customFormat="1" ht="15.75" thickBot="1" x14ac:dyDescent="0.3">
      <c r="B42" s="334"/>
      <c r="C42" s="335"/>
      <c r="D42" s="335"/>
      <c r="E42" s="335"/>
      <c r="F42" s="336"/>
      <c r="G42" s="335"/>
      <c r="H42" s="335"/>
      <c r="I42" s="335"/>
      <c r="J42" s="335"/>
      <c r="K42" s="335"/>
      <c r="L42" s="335"/>
      <c r="M42" s="12"/>
      <c r="N42" s="12"/>
      <c r="O42" s="12"/>
    </row>
    <row r="43" spans="1:16" s="305" customFormat="1" ht="15.75" thickBot="1" x14ac:dyDescent="0.3">
      <c r="B43" s="331"/>
      <c r="C43" s="332"/>
      <c r="D43" s="332"/>
      <c r="E43" s="332"/>
      <c r="F43" s="333"/>
      <c r="G43" s="332"/>
      <c r="H43" s="332"/>
      <c r="I43" s="332"/>
      <c r="J43" s="332"/>
      <c r="K43" s="332"/>
      <c r="L43" s="332"/>
      <c r="M43" s="13"/>
      <c r="N43" s="13"/>
      <c r="O43" s="13"/>
    </row>
    <row r="44" spans="1:16" s="305" customFormat="1" ht="15.75" thickBot="1" x14ac:dyDescent="0.3">
      <c r="B44" s="334"/>
      <c r="C44" s="335"/>
      <c r="D44" s="335"/>
      <c r="E44" s="335"/>
      <c r="F44" s="336"/>
      <c r="G44" s="335"/>
      <c r="H44" s="335"/>
      <c r="I44" s="335"/>
      <c r="J44" s="335"/>
      <c r="K44" s="335"/>
      <c r="L44" s="335"/>
      <c r="M44" s="12"/>
      <c r="N44" s="12"/>
      <c r="O44" s="12"/>
    </row>
    <row r="45" spans="1:16" ht="15.75" thickBot="1" x14ac:dyDescent="0.3">
      <c r="A45" s="305"/>
      <c r="B45" s="334"/>
      <c r="C45" s="335"/>
      <c r="D45" s="335"/>
      <c r="E45" s="335"/>
      <c r="F45" s="336"/>
      <c r="G45" s="335"/>
      <c r="H45" s="335"/>
      <c r="I45" s="335"/>
      <c r="J45" s="335"/>
      <c r="K45" s="335"/>
      <c r="L45" s="335"/>
      <c r="M45" s="13"/>
      <c r="N45" s="13"/>
      <c r="O45" s="13"/>
      <c r="P45" s="305"/>
    </row>
    <row r="46" spans="1:16" s="305" customFormat="1" ht="15.75" thickBot="1" x14ac:dyDescent="0.3">
      <c r="B46" s="414" t="s">
        <v>222</v>
      </c>
      <c r="C46" s="414"/>
      <c r="D46" s="414"/>
      <c r="E46" s="414"/>
      <c r="F46" s="379">
        <v>140560000</v>
      </c>
      <c r="G46" s="379">
        <v>140010000</v>
      </c>
      <c r="H46" s="379">
        <v>133880000</v>
      </c>
      <c r="I46" s="379">
        <v>86510000</v>
      </c>
      <c r="J46" s="379">
        <v>67420000</v>
      </c>
      <c r="K46" s="379">
        <v>14560000</v>
      </c>
      <c r="L46" s="379">
        <v>14560000</v>
      </c>
      <c r="M46" s="316"/>
      <c r="N46" s="13"/>
      <c r="O46" s="13"/>
    </row>
    <row r="47" spans="1:16" s="305" customFormat="1" ht="15.75" thickBot="1" x14ac:dyDescent="0.3">
      <c r="B47" s="414" t="s">
        <v>335</v>
      </c>
      <c r="C47" s="414"/>
      <c r="D47" s="414"/>
      <c r="E47" s="414"/>
      <c r="F47" s="379">
        <v>120760000</v>
      </c>
      <c r="G47" s="379">
        <v>119030000</v>
      </c>
      <c r="H47" s="379">
        <v>82090000</v>
      </c>
      <c r="I47" s="379">
        <v>36170000</v>
      </c>
      <c r="J47" s="379">
        <v>0</v>
      </c>
      <c r="K47" s="379">
        <v>0</v>
      </c>
      <c r="L47" s="379">
        <v>0</v>
      </c>
      <c r="M47" s="316"/>
      <c r="N47" s="12"/>
      <c r="O47" s="12"/>
    </row>
    <row r="48" spans="1:16" s="305" customFormat="1" ht="15.75" thickBot="1" x14ac:dyDescent="0.3">
      <c r="B48" s="414" t="s">
        <v>332</v>
      </c>
      <c r="C48" s="414"/>
      <c r="D48" s="414"/>
      <c r="E48" s="414"/>
      <c r="F48" s="379">
        <v>128600000</v>
      </c>
      <c r="G48" s="379">
        <v>129110000</v>
      </c>
      <c r="H48" s="379">
        <v>94410000</v>
      </c>
      <c r="I48" s="379">
        <v>50170000</v>
      </c>
      <c r="J48" s="379">
        <v>14560000</v>
      </c>
      <c r="K48" s="379">
        <v>14560000</v>
      </c>
      <c r="L48" s="379">
        <v>14560000</v>
      </c>
      <c r="M48" s="316"/>
      <c r="N48" s="13"/>
      <c r="O48" s="13"/>
    </row>
    <row r="49" spans="2:15" x14ac:dyDescent="0.25">
      <c r="B49" s="213" t="s">
        <v>328</v>
      </c>
      <c r="C49" s="213"/>
      <c r="D49" s="213"/>
      <c r="E49" s="213"/>
      <c r="F49" s="214">
        <f>SUM(F3:F45)</f>
        <v>89760000</v>
      </c>
      <c r="G49" s="214">
        <f t="shared" ref="G49:O49" si="3">SUM(G3:G45)</f>
        <v>88030000</v>
      </c>
      <c r="H49" s="214">
        <f t="shared" si="3"/>
        <v>82090000</v>
      </c>
      <c r="I49" s="214">
        <f t="shared" si="3"/>
        <v>53780000</v>
      </c>
      <c r="J49" s="214">
        <f t="shared" si="3"/>
        <v>0</v>
      </c>
      <c r="K49" s="214">
        <f t="shared" si="3"/>
        <v>0</v>
      </c>
      <c r="L49" s="214">
        <f t="shared" si="3"/>
        <v>0</v>
      </c>
      <c r="M49" s="214">
        <f t="shared" si="3"/>
        <v>0</v>
      </c>
      <c r="N49" s="214">
        <f t="shared" si="3"/>
        <v>0</v>
      </c>
      <c r="O49" s="214">
        <f t="shared" si="3"/>
        <v>0</v>
      </c>
    </row>
    <row r="50" spans="2:15" x14ac:dyDescent="0.25">
      <c r="B50" s="221" t="s">
        <v>330</v>
      </c>
      <c r="C50" s="221"/>
      <c r="D50" s="221"/>
      <c r="E50" s="221"/>
      <c r="F50" s="222"/>
      <c r="G50" s="222">
        <f t="shared" ref="G50:O50" si="4">F49-G49</f>
        <v>1730000</v>
      </c>
      <c r="H50" s="222">
        <f t="shared" si="4"/>
        <v>5940000</v>
      </c>
      <c r="I50" s="222">
        <f t="shared" si="4"/>
        <v>28310000</v>
      </c>
      <c r="J50" s="222">
        <f t="shared" si="4"/>
        <v>53780000</v>
      </c>
      <c r="K50" s="222">
        <f t="shared" si="4"/>
        <v>0</v>
      </c>
      <c r="L50" s="222">
        <f t="shared" si="4"/>
        <v>0</v>
      </c>
      <c r="M50" s="222">
        <f t="shared" si="4"/>
        <v>0</v>
      </c>
      <c r="N50" s="222">
        <f t="shared" si="4"/>
        <v>0</v>
      </c>
      <c r="O50" s="222">
        <f t="shared" si="4"/>
        <v>0</v>
      </c>
    </row>
    <row r="51" spans="2:15" x14ac:dyDescent="0.25">
      <c r="B51" s="1" t="s">
        <v>100</v>
      </c>
      <c r="G51" s="10"/>
    </row>
    <row r="52" spans="2:15" x14ac:dyDescent="0.25">
      <c r="B52" s="1" t="s">
        <v>197</v>
      </c>
      <c r="F52" s="102">
        <f t="shared" ref="F52:L52" si="5">SUM(F53:F59)</f>
        <v>0</v>
      </c>
      <c r="G52" s="102">
        <f t="shared" si="5"/>
        <v>0</v>
      </c>
      <c r="H52" s="102">
        <f t="shared" si="5"/>
        <v>0</v>
      </c>
      <c r="I52" s="102">
        <f t="shared" si="5"/>
        <v>0</v>
      </c>
      <c r="J52" s="102">
        <f t="shared" si="5"/>
        <v>0</v>
      </c>
      <c r="K52" s="102">
        <f t="shared" si="5"/>
        <v>0</v>
      </c>
      <c r="L52" s="102">
        <f t="shared" si="5"/>
        <v>0</v>
      </c>
      <c r="M52" s="102">
        <f t="shared" ref="M52:O52" si="6">SUM(M53:M59)</f>
        <v>0</v>
      </c>
      <c r="N52" s="102">
        <f t="shared" si="6"/>
        <v>0</v>
      </c>
      <c r="O52" s="102">
        <f t="shared" si="6"/>
        <v>0</v>
      </c>
    </row>
    <row r="53" spans="2:15" x14ac:dyDescent="0.25">
      <c r="B53"/>
      <c r="D53" s="17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5" x14ac:dyDescent="0.25">
      <c r="B54" s="380"/>
      <c r="C54" s="27" t="str">
        <f t="shared" ref="C54:E58" si="7">IF(B54="","",VLOOKUP($B54,$B$2:$L$45,C$1,FALSE))</f>
        <v/>
      </c>
      <c r="D54" s="27" t="str">
        <f t="shared" si="7"/>
        <v/>
      </c>
      <c r="E54" s="27" t="str">
        <f t="shared" si="7"/>
        <v/>
      </c>
      <c r="F54" s="381" t="str">
        <f t="shared" ref="F54:O54" si="8">IF(E54="","",VLOOKUP($B54,$B$2:$O$45,F$1,FALSE))</f>
        <v/>
      </c>
      <c r="G54" s="381" t="str">
        <f t="shared" si="8"/>
        <v/>
      </c>
      <c r="H54" s="381" t="str">
        <f t="shared" si="8"/>
        <v/>
      </c>
      <c r="I54" s="381" t="str">
        <f t="shared" si="8"/>
        <v/>
      </c>
      <c r="J54" s="381" t="str">
        <f t="shared" si="8"/>
        <v/>
      </c>
      <c r="K54" s="381" t="str">
        <f t="shared" si="8"/>
        <v/>
      </c>
      <c r="L54" s="381" t="str">
        <f t="shared" si="8"/>
        <v/>
      </c>
      <c r="M54" s="381" t="str">
        <f t="shared" si="8"/>
        <v/>
      </c>
      <c r="N54" s="381" t="str">
        <f t="shared" si="8"/>
        <v/>
      </c>
      <c r="O54" s="382" t="str">
        <f t="shared" si="8"/>
        <v/>
      </c>
    </row>
    <row r="55" spans="2:15" x14ac:dyDescent="0.25">
      <c r="B55" s="369"/>
      <c r="C55" s="365" t="str">
        <f t="shared" si="7"/>
        <v/>
      </c>
      <c r="D55" s="365" t="str">
        <f t="shared" si="7"/>
        <v/>
      </c>
      <c r="E55" s="365" t="str">
        <f t="shared" si="7"/>
        <v/>
      </c>
      <c r="F55" s="289" t="str">
        <f t="shared" ref="F55:O55" si="9">IF(E55="","",VLOOKUP($B55,$B$2:$O$45,F$1,FALSE))</f>
        <v/>
      </c>
      <c r="G55" s="289" t="str">
        <f t="shared" si="9"/>
        <v/>
      </c>
      <c r="H55" s="289" t="str">
        <f t="shared" si="9"/>
        <v/>
      </c>
      <c r="I55" s="289" t="str">
        <f t="shared" si="9"/>
        <v/>
      </c>
      <c r="J55" s="289" t="str">
        <f t="shared" si="9"/>
        <v/>
      </c>
      <c r="K55" s="289" t="str">
        <f t="shared" si="9"/>
        <v/>
      </c>
      <c r="L55" s="289" t="str">
        <f t="shared" si="9"/>
        <v/>
      </c>
      <c r="M55" s="289" t="str">
        <f t="shared" si="9"/>
        <v/>
      </c>
      <c r="N55" s="289" t="str">
        <f t="shared" si="9"/>
        <v/>
      </c>
      <c r="O55" s="383" t="str">
        <f t="shared" si="9"/>
        <v/>
      </c>
    </row>
    <row r="56" spans="2:15" x14ac:dyDescent="0.25">
      <c r="B56" s="384"/>
      <c r="C56" s="365" t="str">
        <f t="shared" si="7"/>
        <v/>
      </c>
      <c r="D56" s="365" t="str">
        <f t="shared" si="7"/>
        <v/>
      </c>
      <c r="E56" s="365" t="str">
        <f t="shared" si="7"/>
        <v/>
      </c>
      <c r="F56" s="289" t="str">
        <f t="shared" ref="F56:O56" si="10">IF(E56="","",VLOOKUP($B56,$B$2:$O$45,F$1,FALSE))</f>
        <v/>
      </c>
      <c r="G56" s="289" t="str">
        <f t="shared" si="10"/>
        <v/>
      </c>
      <c r="H56" s="289" t="str">
        <f t="shared" si="10"/>
        <v/>
      </c>
      <c r="I56" s="289" t="str">
        <f t="shared" si="10"/>
        <v/>
      </c>
      <c r="J56" s="289" t="str">
        <f t="shared" si="10"/>
        <v/>
      </c>
      <c r="K56" s="289" t="str">
        <f t="shared" si="10"/>
        <v/>
      </c>
      <c r="L56" s="289" t="str">
        <f t="shared" si="10"/>
        <v/>
      </c>
      <c r="M56" s="289" t="str">
        <f t="shared" si="10"/>
        <v/>
      </c>
      <c r="N56" s="289" t="str">
        <f t="shared" si="10"/>
        <v/>
      </c>
      <c r="O56" s="383" t="str">
        <f t="shared" si="10"/>
        <v/>
      </c>
    </row>
    <row r="57" spans="2:15" x14ac:dyDescent="0.25">
      <c r="B57" s="384"/>
      <c r="C57" s="365" t="str">
        <f t="shared" si="7"/>
        <v/>
      </c>
      <c r="D57" s="365" t="str">
        <f t="shared" si="7"/>
        <v/>
      </c>
      <c r="E57" s="365" t="str">
        <f t="shared" si="7"/>
        <v/>
      </c>
      <c r="F57" s="289" t="str">
        <f t="shared" ref="F57:O57" si="11">IF(E57="","",VLOOKUP($B57,$B$2:$O$45,F$1,FALSE))</f>
        <v/>
      </c>
      <c r="G57" s="289" t="str">
        <f t="shared" si="11"/>
        <v/>
      </c>
      <c r="H57" s="289" t="str">
        <f t="shared" si="11"/>
        <v/>
      </c>
      <c r="I57" s="289" t="str">
        <f t="shared" si="11"/>
        <v/>
      </c>
      <c r="J57" s="289" t="str">
        <f t="shared" si="11"/>
        <v/>
      </c>
      <c r="K57" s="289" t="str">
        <f t="shared" si="11"/>
        <v/>
      </c>
      <c r="L57" s="289" t="str">
        <f t="shared" si="11"/>
        <v/>
      </c>
      <c r="M57" s="289" t="str">
        <f t="shared" si="11"/>
        <v/>
      </c>
      <c r="N57" s="289" t="str">
        <f t="shared" si="11"/>
        <v/>
      </c>
      <c r="O57" s="383" t="str">
        <f t="shared" si="11"/>
        <v/>
      </c>
    </row>
    <row r="58" spans="2:15" x14ac:dyDescent="0.25">
      <c r="B58" s="47"/>
      <c r="C58" s="367" t="str">
        <f t="shared" si="7"/>
        <v/>
      </c>
      <c r="D58" s="367" t="str">
        <f t="shared" si="7"/>
        <v/>
      </c>
      <c r="E58" s="367" t="str">
        <f t="shared" si="7"/>
        <v/>
      </c>
      <c r="F58" s="385" t="str">
        <f t="shared" ref="F58:O58" si="12">IF(E58="","",VLOOKUP($B58,$B$2:$O$45,F$1,FALSE))</f>
        <v/>
      </c>
      <c r="G58" s="385" t="str">
        <f t="shared" si="12"/>
        <v/>
      </c>
      <c r="H58" s="385" t="str">
        <f t="shared" si="12"/>
        <v/>
      </c>
      <c r="I58" s="385" t="str">
        <f t="shared" si="12"/>
        <v/>
      </c>
      <c r="J58" s="385" t="str">
        <f t="shared" si="12"/>
        <v/>
      </c>
      <c r="K58" s="385" t="str">
        <f t="shared" si="12"/>
        <v/>
      </c>
      <c r="L58" s="385" t="str">
        <f t="shared" si="12"/>
        <v/>
      </c>
      <c r="M58" s="385" t="str">
        <f t="shared" si="12"/>
        <v/>
      </c>
      <c r="N58" s="385" t="str">
        <f t="shared" si="12"/>
        <v/>
      </c>
      <c r="O58" s="386" t="str">
        <f t="shared" si="12"/>
        <v/>
      </c>
    </row>
    <row r="59" spans="2:15" x14ac:dyDescent="0.25"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s="15" customFormat="1" x14ac:dyDescent="0.25">
      <c r="B60" s="14" t="str">
        <f t="shared" ref="B60:L60" si="13">B2</f>
        <v>Player</v>
      </c>
      <c r="C60" s="14" t="str">
        <f t="shared" si="13"/>
        <v>Pos</v>
      </c>
      <c r="D60" s="14" t="str">
        <f t="shared" si="13"/>
        <v>Age</v>
      </c>
      <c r="E60" s="14" t="str">
        <f t="shared" si="13"/>
        <v>ML Service</v>
      </c>
      <c r="F60" s="14">
        <f t="shared" si="13"/>
        <v>2034</v>
      </c>
      <c r="G60" s="14">
        <f t="shared" si="13"/>
        <v>2035</v>
      </c>
      <c r="H60" s="14">
        <f t="shared" si="13"/>
        <v>2036</v>
      </c>
      <c r="I60" s="14">
        <f t="shared" si="13"/>
        <v>2037</v>
      </c>
      <c r="J60" s="14">
        <f t="shared" si="13"/>
        <v>2038</v>
      </c>
      <c r="K60" s="14">
        <f t="shared" si="13"/>
        <v>2039</v>
      </c>
      <c r="L60" s="14">
        <f t="shared" si="13"/>
        <v>2040</v>
      </c>
      <c r="M60" s="14">
        <f t="shared" ref="M60:O60" si="14">M2</f>
        <v>2041</v>
      </c>
      <c r="N60" s="14">
        <f t="shared" si="14"/>
        <v>2042</v>
      </c>
      <c r="O60" s="14">
        <f t="shared" si="14"/>
        <v>2043</v>
      </c>
    </row>
    <row r="61" spans="2:15" s="15" customFormat="1" x14ac:dyDescent="0.25">
      <c r="B61" s="14" t="s">
        <v>198</v>
      </c>
      <c r="C61" s="14"/>
      <c r="D61" s="14"/>
      <c r="E61" s="14"/>
      <c r="F61" s="103">
        <f>F69+F51-F52</f>
        <v>40000000</v>
      </c>
      <c r="G61" s="103">
        <f t="shared" ref="G61:O61" si="15">G69+G51-G52</f>
        <v>40000000</v>
      </c>
      <c r="H61" s="103">
        <f t="shared" si="15"/>
        <v>40000000</v>
      </c>
      <c r="I61" s="103">
        <f t="shared" si="15"/>
        <v>40000000</v>
      </c>
      <c r="J61" s="103">
        <f t="shared" si="15"/>
        <v>40000000</v>
      </c>
      <c r="K61" s="103">
        <f t="shared" si="15"/>
        <v>40000000</v>
      </c>
      <c r="L61" s="103">
        <f t="shared" si="15"/>
        <v>0</v>
      </c>
      <c r="M61" s="103">
        <f t="shared" si="15"/>
        <v>0</v>
      </c>
      <c r="N61" s="103">
        <f t="shared" si="15"/>
        <v>0</v>
      </c>
      <c r="O61" s="103">
        <f t="shared" si="15"/>
        <v>0</v>
      </c>
    </row>
    <row r="62" spans="2:15" s="15" customFormat="1" x14ac:dyDescent="0.25">
      <c r="B62" s="211" t="s">
        <v>327</v>
      </c>
      <c r="F62" s="16">
        <f>F49-F52+F69</f>
        <v>129760000</v>
      </c>
      <c r="G62" s="16">
        <f t="shared" ref="G62:O62" si="16">G49-G52+G69</f>
        <v>128030000</v>
      </c>
      <c r="H62" s="16">
        <f t="shared" si="16"/>
        <v>122090000</v>
      </c>
      <c r="I62" s="16">
        <f t="shared" si="16"/>
        <v>93780000</v>
      </c>
      <c r="J62" s="16">
        <f t="shared" si="16"/>
        <v>40000000</v>
      </c>
      <c r="K62" s="16">
        <f t="shared" si="16"/>
        <v>40000000</v>
      </c>
      <c r="L62" s="16">
        <f t="shared" si="16"/>
        <v>0</v>
      </c>
      <c r="M62" s="16">
        <f t="shared" si="16"/>
        <v>0</v>
      </c>
      <c r="N62" s="16">
        <f t="shared" si="16"/>
        <v>0</v>
      </c>
      <c r="O62" s="16">
        <f t="shared" si="16"/>
        <v>0</v>
      </c>
    </row>
    <row r="63" spans="2:15" s="27" customFormat="1" x14ac:dyDescent="0.25">
      <c r="B63" s="261" t="s">
        <v>228</v>
      </c>
      <c r="F63" s="262">
        <v>9385000</v>
      </c>
      <c r="G63" s="262">
        <f t="shared" ref="G63:L67" si="17">F63</f>
        <v>9385000</v>
      </c>
      <c r="H63" s="262">
        <f t="shared" si="17"/>
        <v>9385000</v>
      </c>
      <c r="I63" s="262">
        <f t="shared" si="17"/>
        <v>9385000</v>
      </c>
      <c r="J63" s="262">
        <f t="shared" si="17"/>
        <v>9385000</v>
      </c>
      <c r="K63" s="262">
        <f t="shared" si="17"/>
        <v>9385000</v>
      </c>
      <c r="L63" s="262">
        <f t="shared" si="17"/>
        <v>9385000</v>
      </c>
      <c r="M63" s="262">
        <f t="shared" ref="M63:O63" si="18">L63</f>
        <v>9385000</v>
      </c>
      <c r="N63" s="262">
        <f t="shared" si="18"/>
        <v>9385000</v>
      </c>
      <c r="O63" s="262">
        <f t="shared" si="18"/>
        <v>9385000</v>
      </c>
    </row>
    <row r="64" spans="2:15" s="259" customFormat="1" x14ac:dyDescent="0.25">
      <c r="B64" s="4" t="s">
        <v>352</v>
      </c>
      <c r="F64" s="263">
        <v>5000000</v>
      </c>
      <c r="G64" s="263">
        <f t="shared" ref="G64:G66" si="19">F64</f>
        <v>5000000</v>
      </c>
      <c r="H64" s="263">
        <f t="shared" ref="H64:H66" si="20">G64</f>
        <v>5000000</v>
      </c>
      <c r="I64" s="263">
        <f t="shared" ref="I64:I66" si="21">H64</f>
        <v>5000000</v>
      </c>
      <c r="J64" s="263">
        <f t="shared" ref="J64:J66" si="22">I64</f>
        <v>5000000</v>
      </c>
      <c r="K64" s="263">
        <f t="shared" ref="K64:K66" si="23">J64</f>
        <v>5000000</v>
      </c>
      <c r="L64" s="263">
        <f t="shared" ref="L64:L66" si="24">K64</f>
        <v>5000000</v>
      </c>
      <c r="M64" s="263">
        <f t="shared" ref="M64:M66" si="25">L64</f>
        <v>5000000</v>
      </c>
      <c r="N64" s="263">
        <f t="shared" ref="N64:N66" si="26">M64</f>
        <v>5000000</v>
      </c>
      <c r="O64" s="263">
        <f t="shared" ref="O64:O66" si="27">N64</f>
        <v>5000000</v>
      </c>
    </row>
    <row r="65" spans="2:17" s="259" customFormat="1" x14ac:dyDescent="0.25">
      <c r="B65" s="4" t="s">
        <v>353</v>
      </c>
      <c r="F65" s="263">
        <v>5000000</v>
      </c>
      <c r="G65" s="263">
        <f t="shared" ref="G65" si="28">F65</f>
        <v>5000000</v>
      </c>
      <c r="H65" s="263">
        <f t="shared" ref="H65" si="29">G65</f>
        <v>5000000</v>
      </c>
      <c r="I65" s="263">
        <f t="shared" ref="I65" si="30">H65</f>
        <v>5000000</v>
      </c>
      <c r="J65" s="263">
        <f t="shared" ref="J65" si="31">I65</f>
        <v>5000000</v>
      </c>
      <c r="K65" s="263">
        <f t="shared" ref="K65" si="32">J65</f>
        <v>5000000</v>
      </c>
      <c r="L65" s="263">
        <f t="shared" ref="L65" si="33">K65</f>
        <v>5000000</v>
      </c>
      <c r="M65" s="263">
        <f t="shared" ref="M65" si="34">L65</f>
        <v>5000000</v>
      </c>
      <c r="N65" s="263">
        <f t="shared" ref="N65" si="35">M65</f>
        <v>5000000</v>
      </c>
      <c r="O65" s="263">
        <f t="shared" ref="O65" si="36">N65</f>
        <v>5000000</v>
      </c>
    </row>
    <row r="66" spans="2:17" s="260" customFormat="1" x14ac:dyDescent="0.25">
      <c r="B66" s="264" t="s">
        <v>371</v>
      </c>
      <c r="F66" s="265">
        <v>5000000</v>
      </c>
      <c r="G66" s="265">
        <f t="shared" si="19"/>
        <v>5000000</v>
      </c>
      <c r="H66" s="265">
        <f t="shared" si="20"/>
        <v>5000000</v>
      </c>
      <c r="I66" s="265">
        <f t="shared" si="21"/>
        <v>5000000</v>
      </c>
      <c r="J66" s="265">
        <f t="shared" si="22"/>
        <v>5000000</v>
      </c>
      <c r="K66" s="265">
        <f t="shared" si="23"/>
        <v>5000000</v>
      </c>
      <c r="L66" s="265">
        <f t="shared" si="24"/>
        <v>5000000</v>
      </c>
      <c r="M66" s="265">
        <f t="shared" si="25"/>
        <v>5000000</v>
      </c>
      <c r="N66" s="265">
        <f t="shared" si="26"/>
        <v>5000000</v>
      </c>
      <c r="O66" s="265">
        <f t="shared" si="27"/>
        <v>5000000</v>
      </c>
    </row>
    <row r="67" spans="2:17" s="15" customFormat="1" x14ac:dyDescent="0.25">
      <c r="B67" s="14" t="s">
        <v>259</v>
      </c>
      <c r="F67" s="16">
        <v>160000000</v>
      </c>
      <c r="G67" s="16">
        <f t="shared" si="17"/>
        <v>160000000</v>
      </c>
      <c r="H67" s="16">
        <f t="shared" si="17"/>
        <v>160000000</v>
      </c>
      <c r="I67" s="16">
        <f t="shared" si="17"/>
        <v>160000000</v>
      </c>
      <c r="J67" s="16">
        <f t="shared" si="17"/>
        <v>160000000</v>
      </c>
      <c r="K67" s="16">
        <f t="shared" si="17"/>
        <v>160000000</v>
      </c>
      <c r="L67" s="16">
        <f t="shared" si="17"/>
        <v>160000000</v>
      </c>
      <c r="M67" s="16">
        <f t="shared" ref="M67:O67" si="37">L67</f>
        <v>160000000</v>
      </c>
      <c r="N67" s="16">
        <f t="shared" si="37"/>
        <v>160000000</v>
      </c>
      <c r="O67" s="16">
        <f t="shared" si="37"/>
        <v>160000000</v>
      </c>
    </row>
    <row r="68" spans="2:17" s="15" customFormat="1" x14ac:dyDescent="0.25">
      <c r="B68" s="14" t="s">
        <v>260</v>
      </c>
      <c r="F68" s="16">
        <f t="shared" ref="F68:O68" si="38">F67-SUM(F62:F66)</f>
        <v>5855000</v>
      </c>
      <c r="G68" s="16">
        <f t="shared" si="38"/>
        <v>7585000</v>
      </c>
      <c r="H68" s="16">
        <f t="shared" si="38"/>
        <v>13525000</v>
      </c>
      <c r="I68" s="16">
        <f t="shared" si="38"/>
        <v>41835000</v>
      </c>
      <c r="J68" s="16">
        <f t="shared" si="38"/>
        <v>95615000</v>
      </c>
      <c r="K68" s="16">
        <f t="shared" si="38"/>
        <v>95615000</v>
      </c>
      <c r="L68" s="16">
        <f t="shared" si="38"/>
        <v>135615000</v>
      </c>
      <c r="M68" s="16">
        <f t="shared" si="38"/>
        <v>135615000</v>
      </c>
      <c r="N68" s="16">
        <f t="shared" si="38"/>
        <v>135615000</v>
      </c>
      <c r="O68" s="16">
        <f t="shared" si="38"/>
        <v>135615000</v>
      </c>
    </row>
    <row r="69" spans="2:17" x14ac:dyDescent="0.25">
      <c r="B69" s="1" t="s">
        <v>101</v>
      </c>
      <c r="F69" s="10">
        <f>SUM(F72:F92)</f>
        <v>40000000</v>
      </c>
      <c r="G69" s="10">
        <f t="shared" ref="G69:O69" si="39">SUM(G72:G92)</f>
        <v>40000000</v>
      </c>
      <c r="H69" s="10">
        <f t="shared" si="39"/>
        <v>40000000</v>
      </c>
      <c r="I69" s="10">
        <f t="shared" si="39"/>
        <v>40000000</v>
      </c>
      <c r="J69" s="10">
        <f t="shared" si="39"/>
        <v>40000000</v>
      </c>
      <c r="K69" s="10">
        <f t="shared" si="39"/>
        <v>40000000</v>
      </c>
      <c r="L69" s="10">
        <f t="shared" si="39"/>
        <v>0</v>
      </c>
      <c r="M69" s="10">
        <f t="shared" si="39"/>
        <v>0</v>
      </c>
      <c r="N69" s="10">
        <f t="shared" si="39"/>
        <v>0</v>
      </c>
      <c r="O69" s="10">
        <f t="shared" si="39"/>
        <v>0</v>
      </c>
      <c r="P69" s="1" t="s">
        <v>222</v>
      </c>
      <c r="Q69" s="1" t="s">
        <v>272</v>
      </c>
    </row>
    <row r="70" spans="2:17" x14ac:dyDescent="0.25">
      <c r="B70" s="1" t="s">
        <v>233</v>
      </c>
      <c r="E70" s="78"/>
      <c r="F70" s="10">
        <v>2759068</v>
      </c>
      <c r="G70" s="10">
        <f>F70*3</f>
        <v>8277204</v>
      </c>
      <c r="H70" s="10"/>
      <c r="I70" s="10"/>
      <c r="J70" s="10"/>
      <c r="K70" s="10"/>
      <c r="L70" s="10"/>
      <c r="M70" s="10"/>
      <c r="N70" s="10"/>
      <c r="O70" s="10"/>
      <c r="P70" s="10">
        <f>SUM(F70:O70)</f>
        <v>11036272</v>
      </c>
      <c r="Q70" s="78">
        <f>IF(P70&gt;0,P70/COUNT($F70:$O70),0)</f>
        <v>5518136</v>
      </c>
    </row>
    <row r="71" spans="2:17" x14ac:dyDescent="0.25">
      <c r="B71" s="1"/>
      <c r="E71" s="78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78"/>
    </row>
    <row r="72" spans="2:17" s="215" customFormat="1" x14ac:dyDescent="0.25">
      <c r="B72" s="272"/>
      <c r="E72" s="216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6"/>
    </row>
    <row r="73" spans="2:17" s="215" customFormat="1" x14ac:dyDescent="0.25">
      <c r="B73" s="272"/>
      <c r="E73" s="216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6"/>
    </row>
    <row r="74" spans="2:17" s="215" customFormat="1" x14ac:dyDescent="0.25">
      <c r="B74" s="272"/>
      <c r="E74" s="216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6"/>
    </row>
    <row r="75" spans="2:17" x14ac:dyDescent="0.25"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>
        <f t="shared" ref="P75:P92" si="40">SUM(F75:O75)</f>
        <v>0</v>
      </c>
      <c r="Q75" s="78">
        <f t="shared" ref="Q75:Q92" si="41">IF(P75&gt;0,P75/COUNT($F75:$O75),0)</f>
        <v>0</v>
      </c>
    </row>
    <row r="76" spans="2:17" s="218" customFormat="1" x14ac:dyDescent="0.25"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20"/>
    </row>
    <row r="77" spans="2:17" s="218" customFormat="1" x14ac:dyDescent="0.25">
      <c r="B77" s="334" t="s">
        <v>1065</v>
      </c>
      <c r="C77" s="335" t="s">
        <v>87</v>
      </c>
      <c r="D77" s="335">
        <v>31</v>
      </c>
      <c r="E77" s="335" t="s">
        <v>542</v>
      </c>
      <c r="F77" s="336">
        <v>40000000</v>
      </c>
      <c r="G77" s="336">
        <v>40000000</v>
      </c>
      <c r="H77" s="314">
        <v>40000000</v>
      </c>
      <c r="I77" s="219">
        <v>40000000</v>
      </c>
      <c r="J77" s="219">
        <v>40000000</v>
      </c>
      <c r="K77" s="219">
        <v>40000000</v>
      </c>
      <c r="L77" s="219"/>
      <c r="M77" s="219"/>
      <c r="N77" s="219"/>
      <c r="O77" s="219"/>
      <c r="P77" s="219">
        <f>SUM(F77:O77)</f>
        <v>240000000</v>
      </c>
      <c r="Q77" s="220"/>
    </row>
    <row r="78" spans="2:17" s="218" customFormat="1" x14ac:dyDescent="0.25">
      <c r="B78" s="219"/>
      <c r="C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20"/>
    </row>
    <row r="79" spans="2:17" s="218" customFormat="1" x14ac:dyDescent="0.25">
      <c r="B79" s="219"/>
      <c r="C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20"/>
    </row>
    <row r="80" spans="2:17" s="218" customFormat="1" x14ac:dyDescent="0.25">
      <c r="B80" s="219"/>
      <c r="C80" s="219"/>
      <c r="E80" s="219"/>
      <c r="F80" s="219"/>
      <c r="G80" s="219"/>
      <c r="H80" s="219"/>
      <c r="I80" s="219"/>
      <c r="J80" s="219"/>
      <c r="K80" s="219"/>
      <c r="L80" s="219"/>
      <c r="M80" s="219"/>
      <c r="P80" s="219"/>
      <c r="Q80" s="220"/>
    </row>
    <row r="81" spans="2:18" s="218" customFormat="1" x14ac:dyDescent="0.25">
      <c r="B81" s="219"/>
      <c r="C81" s="219"/>
      <c r="E81" s="219"/>
      <c r="F81" s="219"/>
      <c r="G81" s="219"/>
      <c r="H81" s="219"/>
      <c r="I81" s="219"/>
      <c r="J81" s="219"/>
      <c r="K81" s="219"/>
      <c r="L81" s="219"/>
      <c r="M81" s="219"/>
      <c r="P81" s="219"/>
      <c r="Q81" s="220"/>
    </row>
    <row r="82" spans="2:18" s="218" customFormat="1" x14ac:dyDescent="0.25">
      <c r="B82" s="219"/>
      <c r="C82" s="219"/>
      <c r="E82" s="219"/>
      <c r="F82" s="219"/>
      <c r="G82" s="219"/>
      <c r="H82" s="219"/>
      <c r="I82" s="219"/>
      <c r="J82" s="219"/>
      <c r="K82" s="219"/>
      <c r="L82" s="219"/>
      <c r="M82" s="219"/>
      <c r="P82" s="219"/>
      <c r="Q82" s="220"/>
    </row>
    <row r="83" spans="2:18" s="218" customFormat="1" x14ac:dyDescent="0.25">
      <c r="B83" s="219"/>
      <c r="C83" s="219"/>
      <c r="E83" s="219"/>
      <c r="F83" s="219"/>
      <c r="G83" s="219"/>
      <c r="H83" s="219"/>
      <c r="I83" s="219"/>
      <c r="J83" s="219"/>
      <c r="K83" s="219"/>
      <c r="L83" s="219"/>
      <c r="M83" s="219"/>
      <c r="P83" s="219"/>
      <c r="Q83" s="220"/>
    </row>
    <row r="84" spans="2:18" s="218" customFormat="1" x14ac:dyDescent="0.25">
      <c r="B84" s="219"/>
      <c r="C84" s="219"/>
      <c r="E84" s="219"/>
      <c r="F84" s="219"/>
      <c r="G84" s="219"/>
      <c r="H84" s="219"/>
      <c r="I84" s="219"/>
      <c r="J84" s="219"/>
      <c r="K84" s="219"/>
      <c r="L84" s="219"/>
      <c r="M84" s="219"/>
      <c r="P84" s="219"/>
      <c r="Q84" s="220"/>
    </row>
    <row r="85" spans="2:18" s="218" customFormat="1" x14ac:dyDescent="0.25">
      <c r="B85" s="219"/>
      <c r="C85" s="219"/>
      <c r="E85" s="219"/>
      <c r="F85" s="219"/>
      <c r="G85" s="219"/>
      <c r="H85" s="219"/>
      <c r="I85" s="219"/>
      <c r="J85" s="219"/>
      <c r="K85" s="219"/>
      <c r="L85" s="219"/>
      <c r="M85" s="219"/>
      <c r="P85" s="219"/>
      <c r="Q85" s="220"/>
    </row>
    <row r="86" spans="2:18" s="218" customFormat="1" x14ac:dyDescent="0.25">
      <c r="B86" s="219"/>
      <c r="C86" s="219"/>
      <c r="E86" s="219"/>
      <c r="F86" s="219"/>
      <c r="G86" s="219"/>
      <c r="H86" s="219"/>
      <c r="I86" s="219"/>
      <c r="J86" s="219"/>
      <c r="K86" s="219"/>
      <c r="L86" s="219"/>
      <c r="M86" s="219"/>
      <c r="P86" s="219"/>
      <c r="Q86" s="220"/>
    </row>
    <row r="87" spans="2:18" s="218" customFormat="1" x14ac:dyDescent="0.25">
      <c r="B87" s="219"/>
      <c r="C87" s="219"/>
      <c r="E87" s="219"/>
      <c r="F87" s="219"/>
      <c r="G87" s="219"/>
      <c r="H87" s="219"/>
      <c r="P87" s="219">
        <f t="shared" ref="P87" si="42">SUM(F87:O87)</f>
        <v>0</v>
      </c>
      <c r="Q87" s="220">
        <f t="shared" ref="Q87" si="43">IF(P87&gt;0,P87/COUNT($F87:$O87),0)</f>
        <v>0</v>
      </c>
      <c r="R87" s="218" t="s">
        <v>372</v>
      </c>
    </row>
    <row r="88" spans="2:18" s="218" customFormat="1" x14ac:dyDescent="0.25">
      <c r="B88" s="219"/>
      <c r="C88" s="219"/>
      <c r="E88" s="219"/>
      <c r="F88" s="219"/>
      <c r="G88" s="219"/>
      <c r="H88" s="219"/>
      <c r="P88" s="219"/>
      <c r="Q88" s="220"/>
    </row>
    <row r="89" spans="2:18" s="218" customFormat="1" x14ac:dyDescent="0.25">
      <c r="B89" s="219"/>
      <c r="C89" s="219"/>
      <c r="E89" s="219"/>
      <c r="F89" s="219"/>
      <c r="G89" s="219"/>
      <c r="H89" s="219"/>
      <c r="P89" s="219"/>
      <c r="Q89" s="220"/>
    </row>
    <row r="90" spans="2:18" s="218" customFormat="1" x14ac:dyDescent="0.25">
      <c r="B90" s="219"/>
      <c r="C90" s="219"/>
      <c r="E90" s="219"/>
      <c r="F90" s="219"/>
      <c r="G90" s="219"/>
      <c r="H90" s="219"/>
      <c r="P90" s="219"/>
      <c r="Q90" s="220"/>
    </row>
    <row r="91" spans="2:18" s="218" customFormat="1" x14ac:dyDescent="0.25">
      <c r="B91" s="219"/>
      <c r="C91" s="219"/>
      <c r="E91" s="219"/>
      <c r="F91" s="219"/>
      <c r="G91" s="219"/>
      <c r="H91" s="219"/>
      <c r="P91" s="219"/>
      <c r="Q91" s="220"/>
    </row>
    <row r="92" spans="2:18" s="218" customFormat="1" x14ac:dyDescent="0.25">
      <c r="B92" s="219"/>
      <c r="C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>
        <f t="shared" si="40"/>
        <v>0</v>
      </c>
      <c r="Q92" s="220">
        <f t="shared" si="41"/>
        <v>0</v>
      </c>
    </row>
    <row r="94" spans="2:18" x14ac:dyDescent="0.25">
      <c r="B94" t="s">
        <v>331</v>
      </c>
      <c r="F94" s="10" t="e">
        <f>#REF!+F61</f>
        <v>#REF!</v>
      </c>
      <c r="G94" s="10" t="e">
        <f>#REF!+G61</f>
        <v>#REF!</v>
      </c>
      <c r="H94" s="10" t="e">
        <f>#REF!+H61</f>
        <v>#REF!</v>
      </c>
      <c r="I94" s="10" t="e">
        <f>#REF!+I61</f>
        <v>#REF!</v>
      </c>
      <c r="J94" s="10" t="e">
        <f>#REF!+J61</f>
        <v>#REF!</v>
      </c>
      <c r="K94" s="10" t="e">
        <f>#REF!+K61</f>
        <v>#REF!</v>
      </c>
      <c r="L94" s="10" t="e">
        <f>#REF!+L61</f>
        <v>#REF!</v>
      </c>
    </row>
    <row r="96" spans="2:18" s="1" customFormat="1" x14ac:dyDescent="0.25">
      <c r="B96" s="1" t="s">
        <v>271</v>
      </c>
      <c r="C96" s="1" t="s">
        <v>97</v>
      </c>
      <c r="D96" s="1" t="s">
        <v>273</v>
      </c>
      <c r="E96" s="1" t="s">
        <v>222</v>
      </c>
      <c r="F96" s="1">
        <f>F2</f>
        <v>2034</v>
      </c>
      <c r="G96" s="1">
        <f t="shared" ref="G96:L96" si="44">G2</f>
        <v>2035</v>
      </c>
      <c r="H96" s="1">
        <f t="shared" si="44"/>
        <v>2036</v>
      </c>
      <c r="I96" s="1">
        <f t="shared" si="44"/>
        <v>2037</v>
      </c>
      <c r="J96" s="1">
        <f t="shared" si="44"/>
        <v>2038</v>
      </c>
      <c r="K96" s="1">
        <f t="shared" si="44"/>
        <v>2039</v>
      </c>
      <c r="L96" s="1">
        <f t="shared" si="44"/>
        <v>2040</v>
      </c>
      <c r="M96" s="1">
        <f t="shared" ref="M96:O96" si="45">M2</f>
        <v>2041</v>
      </c>
      <c r="N96" s="1">
        <f t="shared" si="45"/>
        <v>2042</v>
      </c>
      <c r="O96" s="1">
        <f t="shared" si="45"/>
        <v>2043</v>
      </c>
      <c r="P96" s="1" t="s">
        <v>222</v>
      </c>
      <c r="Q96" s="1" t="s">
        <v>272</v>
      </c>
    </row>
    <row r="97" spans="2:17" x14ac:dyDescent="0.25">
      <c r="B97"/>
      <c r="C97" t="str">
        <f>IF($B97="","",VLOOKUP($B97,$B$2:$L$45,C$1,FALSE))</f>
        <v/>
      </c>
      <c r="D97" t="str">
        <f>IF($B97="","",VLOOKUP($B97,$B$2:$L$45,D$1,FALSE)+COUNT(G97:O97))</f>
        <v/>
      </c>
      <c r="E97" s="78" t="str">
        <f>IF(D97="","",VLOOKUP($B97,$B$2:$O$45,E$1,FALSE))</f>
        <v/>
      </c>
      <c r="F97" s="78">
        <v>4400000</v>
      </c>
      <c r="G97" s="78">
        <f>F97*1.1</f>
        <v>4840000</v>
      </c>
      <c r="H97" s="78">
        <f>G97*1.1</f>
        <v>5324000</v>
      </c>
      <c r="I97" s="78"/>
      <c r="J97" s="78"/>
      <c r="K97" s="78"/>
      <c r="L97" s="78"/>
      <c r="M97" s="78"/>
      <c r="N97" s="78"/>
      <c r="O97" s="78"/>
      <c r="P97" s="10">
        <f>SUM(F97:O97)</f>
        <v>14564000</v>
      </c>
      <c r="Q97" s="78">
        <f>IF(P97&gt;0,P97/COUNT($F97:$O97),0)</f>
        <v>4854666.666666667</v>
      </c>
    </row>
    <row r="98" spans="2:17" x14ac:dyDescent="0.25"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10">
        <f>SUM(F98:O98)</f>
        <v>0</v>
      </c>
      <c r="Q98" s="78">
        <f>IF(P98&gt;0,P98/COUNT($F98:$O98),0)</f>
        <v>0</v>
      </c>
    </row>
    <row r="99" spans="2:17" x14ac:dyDescent="0.25">
      <c r="B99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10">
        <f>SUM(F99:O99)</f>
        <v>0</v>
      </c>
      <c r="Q99" s="78">
        <f>IF(P99&gt;0,P99/COUNT($F99:$O99),0)</f>
        <v>0</v>
      </c>
    </row>
    <row r="100" spans="2:17" x14ac:dyDescent="0.25"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10">
        <f>SUM(F100:O100)</f>
        <v>0</v>
      </c>
      <c r="Q100" s="78">
        <f>IF(P100&gt;0,P100/COUNT($F100:$O100),0)</f>
        <v>0</v>
      </c>
    </row>
    <row r="101" spans="2:17" x14ac:dyDescent="0.25">
      <c r="E101" s="78"/>
      <c r="F101" s="78"/>
      <c r="G101" s="78"/>
      <c r="H101" s="78"/>
      <c r="I101" s="102"/>
      <c r="J101" s="102"/>
      <c r="K101" s="102"/>
      <c r="L101" s="102" t="str">
        <f t="shared" ref="L101:O101" si="46">IF(K100="","",K100*$P100)</f>
        <v/>
      </c>
      <c r="M101" s="102" t="str">
        <f t="shared" si="46"/>
        <v/>
      </c>
      <c r="N101" s="102" t="str">
        <f t="shared" si="46"/>
        <v/>
      </c>
      <c r="O101" s="102" t="str">
        <f t="shared" si="46"/>
        <v/>
      </c>
      <c r="P101" s="10">
        <f>SUM(F101:O101)</f>
        <v>0</v>
      </c>
      <c r="Q101" s="78">
        <f>IF(P101&gt;0,P101/COUNT($F101:$O101),0)</f>
        <v>0</v>
      </c>
    </row>
  </sheetData>
  <mergeCells count="6">
    <mergeCell ref="B38:E38"/>
    <mergeCell ref="B46:E46"/>
    <mergeCell ref="B47:E47"/>
    <mergeCell ref="B48:E48"/>
    <mergeCell ref="B39:E39"/>
    <mergeCell ref="B40:E40"/>
  </mergeCells>
  <hyperlinks>
    <hyperlink ref="B77" r:id="rId1" display="http://pebabaseball.com/statslab/payroll.php?player=9979" xr:uid="{00000000-0004-0000-0500-000000000000}"/>
    <hyperlink ref="B3" r:id="rId2" display="http://pebabaseball.com/statslab/payroll.php?player=10939" xr:uid="{0D263325-9D2F-4768-A1B1-65C212257FED}"/>
    <hyperlink ref="B4" r:id="rId3" display="http://pebabaseball.com/statslab/payroll.php?player=8042" xr:uid="{B388ADC8-2C28-4EE3-BD18-C9FEC3675F25}"/>
    <hyperlink ref="B5" r:id="rId4" display="http://pebabaseball.com/statslab/payroll.php?player=12856" xr:uid="{44FCCDE1-A2AC-4DC6-967E-9D35587B7DF4}"/>
    <hyperlink ref="B6" r:id="rId5" display="http://pebabaseball.com/statslab/payroll.php?player=7919" xr:uid="{D8FEB6F7-14A8-46AF-AA4B-5691C5D76BBA}"/>
    <hyperlink ref="B7" r:id="rId6" display="http://pebabaseball.com/statslab/payroll.php?player=7421" xr:uid="{4FB66870-68CD-4520-9A62-A9D7ED76AE46}"/>
    <hyperlink ref="B8" r:id="rId7" display="http://pebabaseball.com/statslab/payroll.php?player=11899" xr:uid="{5420F397-44DA-43E1-AB8E-BEADDF7075AF}"/>
    <hyperlink ref="B9" r:id="rId8" display="http://pebabaseball.com/statslab/payroll.php?player=5556" xr:uid="{1C400CF7-E9DE-4F8D-9857-768C52EDA0BB}"/>
    <hyperlink ref="B10" r:id="rId9" display="http://pebabaseball.com/statslab/payroll.php?player=15300" xr:uid="{FDC33D31-5418-49EC-8C44-6BF2EFAF70AA}"/>
    <hyperlink ref="B11" r:id="rId10" display="http://pebabaseball.com/statslab/payroll.php?player=8312" xr:uid="{BEAB5351-4580-4580-A3E1-3C24D26A69AC}"/>
    <hyperlink ref="B12" r:id="rId11" display="http://pebabaseball.com/statslab/payroll.php?player=1526" xr:uid="{B466EF2B-E9A1-42BF-9B46-12D4DFDA90BA}"/>
    <hyperlink ref="B13" r:id="rId12" display="http://pebabaseball.com/statslab/payroll.php?player=12771" xr:uid="{2089CA08-DF34-4009-AEB7-829632E0F66D}"/>
    <hyperlink ref="B14" r:id="rId13" display="http://pebabaseball.com/statslab/payroll.php?player=3536" xr:uid="{2BC8D642-D487-41B7-8162-DCE12646296B}"/>
    <hyperlink ref="B15" r:id="rId14" display="http://pebabaseball.com/statslab/payroll.php?player=7487" xr:uid="{E9022B20-9FE6-45C5-A301-2B820B119CC1}"/>
    <hyperlink ref="B16" r:id="rId15" display="http://pebabaseball.com/statslab/payroll.php?player=5583" xr:uid="{5609E4BC-3267-43E1-A210-18D8AE847AA4}"/>
    <hyperlink ref="B17" r:id="rId16" display="http://pebabaseball.com/statslab/payroll.php?player=6288" xr:uid="{055B3988-0E36-4092-B300-05E93814ADA2}"/>
    <hyperlink ref="B18" r:id="rId17" display="http://pebabaseball.com/statslab/payroll.php?player=4357" xr:uid="{9B30B65D-85FE-400D-82A9-7420DFA72C1A}"/>
    <hyperlink ref="B19" r:id="rId18" display="http://pebabaseball.com/statslab/payroll.php?player=17243" xr:uid="{9FC5A184-A7E1-4F61-9E10-B6D08C0C9303}"/>
    <hyperlink ref="B20" r:id="rId19" display="http://pebabaseball.com/statslab/payroll.php?player=17237" xr:uid="{6F961CF6-C230-4487-A270-E7D72E3F8CDE}"/>
    <hyperlink ref="B21" r:id="rId20" display="http://pebabaseball.com/statslab/payroll.php?player=16969" xr:uid="{C9108EE0-D9DB-436E-8F32-A996874C38A8}"/>
    <hyperlink ref="B22" r:id="rId21" display="http://pebabaseball.com/statslab/payroll.php?player=16468" xr:uid="{819D44DA-543C-47DF-8D77-53C8DB739C37}"/>
    <hyperlink ref="B23" r:id="rId22" display="http://pebabaseball.com/statslab/payroll.php?player=16076" xr:uid="{59624E1A-0858-4E2E-B56F-07D09808E4BE}"/>
    <hyperlink ref="B24" r:id="rId23" display="http://pebabaseball.com/statslab/payroll.php?player=16071" xr:uid="{99B3DF00-6F59-420A-85B8-D454A5ADBC74}"/>
    <hyperlink ref="B25" r:id="rId24" display="http://pebabaseball.com/statslab/payroll.php?player=15918" xr:uid="{CA968FC3-D6A3-4765-8AC8-C3068919F9D3}"/>
    <hyperlink ref="B26" r:id="rId25" display="http://pebabaseball.com/statslab/payroll.php?player=13448" xr:uid="{F3E5CF22-98C0-474C-A580-510FB53641F7}"/>
    <hyperlink ref="B27" r:id="rId26" display="http://pebabaseball.com/statslab/payroll.php?player=15005" xr:uid="{3310B429-B3F8-4095-9710-57D4442EA497}"/>
    <hyperlink ref="B28" r:id="rId27" display="http://pebabaseball.com/statslab/payroll.php?player=14215" xr:uid="{5DC48585-8C78-49D1-9057-7B85326217CF}"/>
    <hyperlink ref="B29" r:id="rId28" display="http://pebabaseball.com/statslab/payroll.php?player=4501" xr:uid="{A0A03C60-3B36-4B9A-99AE-B657661D8919}"/>
    <hyperlink ref="B30" r:id="rId29" display="http://pebabaseball.com/statslab/payroll.php?player=11436" xr:uid="{C1DE3AA2-8F4D-4A20-8F8B-EE3930A41A49}"/>
    <hyperlink ref="B31" r:id="rId30" display="http://pebabaseball.com/statslab/payroll.php?player=5210" xr:uid="{BC8ACB46-B9FB-491C-879B-811792B65F5A}"/>
    <hyperlink ref="B32" r:id="rId31" display="http://pebabaseball.com/statslab/payroll.php?player=13447" xr:uid="{EB5ECDF2-2336-477A-91F4-74D5FB03FA1A}"/>
    <hyperlink ref="B33" r:id="rId32" display="http://pebabaseball.com/statslab/payroll.php?player=16073" xr:uid="{47E9CBB6-3D3B-4F1D-84B4-8E22E3AA03B8}"/>
    <hyperlink ref="B34" r:id="rId33" display="http://pebabaseball.com/statslab/payroll.php?player=12788" xr:uid="{131102C8-2721-4830-BBB7-5B1A62704976}"/>
    <hyperlink ref="B35" r:id="rId34" display="http://pebabaseball.com/statslab/payroll.php?player=16014" xr:uid="{17D77C54-BC06-48AD-ADE9-778F74955AF0}"/>
    <hyperlink ref="B36" r:id="rId35" display="http://pebabaseball.com/statslab/payroll.php?player=4598" xr:uid="{D68808E9-C699-41B4-AA76-82A7D682F644}"/>
    <hyperlink ref="B37" r:id="rId36" display="http://pebabaseball.com/statslab/payroll.php?player=6349" xr:uid="{5B6155F7-2039-408F-92D4-1AB71F592FD8}"/>
  </hyperlinks>
  <pageMargins left="0.7" right="0.7" top="0.75" bottom="0.75" header="0.3" footer="0.3"/>
  <pageSetup orientation="portrait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Sheet4">
    <tabColor theme="9"/>
  </sheetPr>
  <dimension ref="A1:O127"/>
  <sheetViews>
    <sheetView workbookViewId="0">
      <selection activeCell="L10" sqref="L10"/>
    </sheetView>
  </sheetViews>
  <sheetFormatPr defaultRowHeight="15" x14ac:dyDescent="0.25"/>
  <cols>
    <col min="1" max="1" width="24.5703125" bestFit="1" customWidth="1"/>
    <col min="2" max="2" width="14.28515625" bestFit="1" customWidth="1"/>
    <col min="3" max="3" width="0.7109375" customWidth="1"/>
    <col min="4" max="4" width="0.7109375" style="305" customWidth="1"/>
    <col min="5" max="5" width="20.5703125" bestFit="1" customWidth="1"/>
    <col min="6" max="6" width="14.28515625" bestFit="1" customWidth="1"/>
    <col min="7" max="7" width="0.5703125" customWidth="1"/>
    <col min="8" max="8" width="20.5703125" bestFit="1" customWidth="1"/>
    <col min="9" max="9" width="14.28515625" bestFit="1" customWidth="1"/>
    <col min="10" max="10" width="20.5703125" bestFit="1" customWidth="1"/>
    <col min="11" max="11" width="14.28515625" bestFit="1" customWidth="1"/>
    <col min="12" max="12" width="26.42578125" customWidth="1"/>
    <col min="13" max="13" width="14.28515625" bestFit="1" customWidth="1"/>
    <col min="14" max="14" width="9" bestFit="1" customWidth="1"/>
    <col min="15" max="15" width="13.7109375" bestFit="1" customWidth="1"/>
  </cols>
  <sheetData>
    <row r="1" spans="1:15" ht="15.75" thickBot="1" x14ac:dyDescent="0.3"/>
    <row r="2" spans="1:15" ht="15.75" customHeight="1" thickBot="1" x14ac:dyDescent="0.3">
      <c r="A2" s="415" t="s">
        <v>386</v>
      </c>
      <c r="B2" s="415"/>
      <c r="C2" s="346"/>
      <c r="D2" s="346"/>
      <c r="E2" s="415" t="s">
        <v>387</v>
      </c>
      <c r="F2" s="415"/>
      <c r="G2" s="346"/>
      <c r="H2" s="415" t="s">
        <v>388</v>
      </c>
      <c r="I2" s="415"/>
      <c r="J2" s="416" t="s">
        <v>258</v>
      </c>
      <c r="K2" s="417"/>
      <c r="L2" s="157" t="s">
        <v>290</v>
      </c>
      <c r="M2" s="171" t="s">
        <v>291</v>
      </c>
      <c r="N2" s="158" t="s">
        <v>248</v>
      </c>
    </row>
    <row r="3" spans="1:15" ht="15.75" thickBot="1" x14ac:dyDescent="0.3">
      <c r="A3" s="307" t="s">
        <v>227</v>
      </c>
      <c r="B3" s="308" t="s">
        <v>481</v>
      </c>
      <c r="C3" s="347"/>
      <c r="D3" s="307"/>
      <c r="E3" s="307" t="s">
        <v>235</v>
      </c>
      <c r="F3" s="308">
        <v>0</v>
      </c>
      <c r="G3" s="307"/>
      <c r="H3" s="307" t="s">
        <v>235</v>
      </c>
      <c r="I3" s="312">
        <v>1853799</v>
      </c>
      <c r="J3" s="136" t="s">
        <v>235</v>
      </c>
      <c r="K3" s="140">
        <f>F20</f>
        <v>0</v>
      </c>
      <c r="L3" s="136" t="s">
        <v>235</v>
      </c>
      <c r="M3" s="159">
        <f>K3-I3</f>
        <v>-1853799</v>
      </c>
      <c r="N3" s="167">
        <f>K3/I3</f>
        <v>0</v>
      </c>
    </row>
    <row r="4" spans="1:15" ht="22.5" customHeight="1" thickBot="1" x14ac:dyDescent="0.3">
      <c r="A4" s="307" t="s">
        <v>228</v>
      </c>
      <c r="B4" s="309">
        <v>4238000</v>
      </c>
      <c r="C4" s="347"/>
      <c r="D4" s="307"/>
      <c r="E4" s="307" t="s">
        <v>236</v>
      </c>
      <c r="F4" s="308">
        <v>0</v>
      </c>
      <c r="G4" s="307"/>
      <c r="H4" s="307" t="s">
        <v>236</v>
      </c>
      <c r="I4" s="312">
        <v>22886</v>
      </c>
      <c r="J4" s="134" t="s">
        <v>236</v>
      </c>
      <c r="K4" s="141">
        <f>F4</f>
        <v>0</v>
      </c>
      <c r="L4" s="134" t="s">
        <v>236</v>
      </c>
      <c r="M4" s="160">
        <f>F4-I4</f>
        <v>-22886</v>
      </c>
      <c r="N4" s="168">
        <f>F4/I4</f>
        <v>0</v>
      </c>
    </row>
    <row r="5" spans="1:15" ht="15.75" thickBot="1" x14ac:dyDescent="0.3">
      <c r="A5" s="307" t="s">
        <v>229</v>
      </c>
      <c r="B5" s="309">
        <v>86582955</v>
      </c>
      <c r="C5" s="347"/>
      <c r="D5" s="307"/>
      <c r="E5" s="307"/>
      <c r="F5" s="308"/>
      <c r="G5" s="307"/>
      <c r="H5" s="307"/>
      <c r="I5" s="308"/>
      <c r="J5" s="136"/>
      <c r="K5" s="139"/>
      <c r="L5" s="136"/>
      <c r="M5" s="161"/>
      <c r="N5" s="139"/>
    </row>
    <row r="6" spans="1:15" ht="15.75" thickBot="1" x14ac:dyDescent="0.3">
      <c r="A6" s="307" t="s">
        <v>230</v>
      </c>
      <c r="B6" s="309">
        <v>170000000</v>
      </c>
      <c r="C6" s="347"/>
      <c r="D6" s="307"/>
      <c r="E6" s="307" t="s">
        <v>237</v>
      </c>
      <c r="F6" s="309">
        <v>0</v>
      </c>
      <c r="G6" s="307"/>
      <c r="H6" s="307" t="s">
        <v>237</v>
      </c>
      <c r="I6" s="309">
        <v>20272062</v>
      </c>
      <c r="J6" s="134" t="s">
        <v>237</v>
      </c>
      <c r="K6" s="138" t="e">
        <f>F21</f>
        <v>#DIV/0!</v>
      </c>
      <c r="L6" s="134" t="s">
        <v>237</v>
      </c>
      <c r="M6" s="162" t="e">
        <f>K6-I6</f>
        <v>#DIV/0!</v>
      </c>
      <c r="N6" s="168" t="e">
        <f>K6/I6</f>
        <v>#DIV/0!</v>
      </c>
    </row>
    <row r="7" spans="1:15" ht="15.75" thickBot="1" x14ac:dyDescent="0.3">
      <c r="A7" s="307" t="s">
        <v>231</v>
      </c>
      <c r="B7" s="310">
        <v>-31530036</v>
      </c>
      <c r="C7" s="347"/>
      <c r="D7" s="307"/>
      <c r="E7" s="307" t="s">
        <v>482</v>
      </c>
      <c r="F7" s="309">
        <v>0</v>
      </c>
      <c r="G7" s="307"/>
      <c r="H7" s="307" t="s">
        <v>482</v>
      </c>
      <c r="I7" s="309">
        <v>27227340</v>
      </c>
      <c r="J7" s="136" t="s">
        <v>482</v>
      </c>
      <c r="K7" s="138">
        <f>F7</f>
        <v>0</v>
      </c>
      <c r="L7" s="136" t="s">
        <v>482</v>
      </c>
      <c r="M7" s="162">
        <f>F7-I7</f>
        <v>-27227340</v>
      </c>
      <c r="N7" s="168">
        <f>K7/I7</f>
        <v>0</v>
      </c>
    </row>
    <row r="8" spans="1:15" ht="15.75" thickBot="1" x14ac:dyDescent="0.3">
      <c r="A8" s="307"/>
      <c r="B8" s="308"/>
      <c r="C8" s="347"/>
      <c r="D8" s="307"/>
      <c r="E8" s="307" t="s">
        <v>238</v>
      </c>
      <c r="F8" s="309">
        <v>0</v>
      </c>
      <c r="G8" s="307"/>
      <c r="H8" s="307" t="s">
        <v>238</v>
      </c>
      <c r="I8" s="309">
        <v>0</v>
      </c>
      <c r="J8" s="136" t="s">
        <v>238</v>
      </c>
      <c r="K8" s="137">
        <v>0</v>
      </c>
      <c r="L8" s="136" t="s">
        <v>238</v>
      </c>
      <c r="M8" s="163">
        <f>F8-I8</f>
        <v>0</v>
      </c>
      <c r="N8" s="167" t="e">
        <f>F8/I8</f>
        <v>#DIV/0!</v>
      </c>
    </row>
    <row r="9" spans="1:15" ht="15.75" thickBot="1" x14ac:dyDescent="0.3">
      <c r="A9" s="307" t="s">
        <v>232</v>
      </c>
      <c r="B9" s="309">
        <v>4346488</v>
      </c>
      <c r="C9" s="347"/>
      <c r="D9" s="307"/>
      <c r="E9" s="307" t="s">
        <v>239</v>
      </c>
      <c r="F9" s="309">
        <v>72357500</v>
      </c>
      <c r="G9" s="307"/>
      <c r="H9" s="307" t="s">
        <v>239</v>
      </c>
      <c r="I9" s="309">
        <v>72357500</v>
      </c>
      <c r="J9" s="134" t="s">
        <v>239</v>
      </c>
      <c r="K9" s="138">
        <f>F9</f>
        <v>72357500</v>
      </c>
      <c r="L9" s="134" t="s">
        <v>239</v>
      </c>
      <c r="M9" s="162">
        <f>F9-I9</f>
        <v>0</v>
      </c>
      <c r="N9" s="168">
        <f>K9/I9</f>
        <v>1</v>
      </c>
      <c r="O9" s="10" t="e">
        <f>SUM(M6:M10)</f>
        <v>#DIV/0!</v>
      </c>
    </row>
    <row r="10" spans="1:15" ht="15.75" thickBot="1" x14ac:dyDescent="0.3">
      <c r="A10" s="307" t="s">
        <v>233</v>
      </c>
      <c r="B10" s="309">
        <v>3598946</v>
      </c>
      <c r="C10" s="347"/>
      <c r="D10" s="307"/>
      <c r="E10" s="307" t="s">
        <v>240</v>
      </c>
      <c r="F10" s="309">
        <v>0</v>
      </c>
      <c r="G10" s="307"/>
      <c r="H10" s="307" t="s">
        <v>240</v>
      </c>
      <c r="I10" s="309">
        <v>8198617</v>
      </c>
      <c r="J10" s="136" t="s">
        <v>240</v>
      </c>
      <c r="K10" s="137" t="e">
        <f>F23</f>
        <v>#DIV/0!</v>
      </c>
      <c r="L10" s="136" t="s">
        <v>240</v>
      </c>
      <c r="M10" s="163" t="e">
        <f>K10-I10</f>
        <v>#DIV/0!</v>
      </c>
      <c r="N10" s="167" t="e">
        <f>K10/I10</f>
        <v>#DIV/0!</v>
      </c>
    </row>
    <row r="11" spans="1:15" s="305" customFormat="1" ht="15.75" thickBot="1" x14ac:dyDescent="0.3">
      <c r="A11" s="307"/>
      <c r="B11" s="307"/>
      <c r="C11" s="308"/>
      <c r="D11" s="307"/>
      <c r="E11" s="307" t="s">
        <v>241</v>
      </c>
      <c r="F11" s="309">
        <v>13273896</v>
      </c>
      <c r="G11" s="307"/>
      <c r="H11" s="307" t="s">
        <v>241</v>
      </c>
      <c r="I11" s="309">
        <v>15687667</v>
      </c>
      <c r="J11" s="134" t="s">
        <v>241</v>
      </c>
      <c r="K11" s="138"/>
      <c r="L11" s="134" t="s">
        <v>241</v>
      </c>
      <c r="M11" s="162">
        <f>F11-I11</f>
        <v>-2413771</v>
      </c>
      <c r="N11" s="168">
        <f>F11/I11</f>
        <v>0.84613575747113956</v>
      </c>
    </row>
    <row r="12" spans="1:15" ht="15.75" thickBot="1" x14ac:dyDescent="0.3">
      <c r="A12" s="307" t="s">
        <v>234</v>
      </c>
      <c r="B12" s="308"/>
      <c r="C12" s="347"/>
      <c r="D12" s="307"/>
      <c r="E12" s="307" t="s">
        <v>242</v>
      </c>
      <c r="F12" s="313">
        <v>12636740</v>
      </c>
      <c r="G12" s="307"/>
      <c r="H12" s="307" t="s">
        <v>242</v>
      </c>
      <c r="I12" s="348">
        <v>0</v>
      </c>
      <c r="J12" s="136" t="s">
        <v>242</v>
      </c>
      <c r="K12" s="142">
        <f>F12</f>
        <v>12636740</v>
      </c>
      <c r="L12" s="136" t="s">
        <v>242</v>
      </c>
      <c r="M12" s="164">
        <f>F12-I12</f>
        <v>12636740</v>
      </c>
      <c r="N12" s="169" t="e">
        <f>F12/I12</f>
        <v>#DIV/0!</v>
      </c>
    </row>
    <row r="13" spans="1:15" ht="15.75" thickBot="1" x14ac:dyDescent="0.3">
      <c r="A13" s="311" t="s">
        <v>483</v>
      </c>
      <c r="B13" s="309">
        <v>38500000</v>
      </c>
      <c r="C13" s="347"/>
      <c r="D13" s="307"/>
      <c r="E13" s="307"/>
      <c r="F13" s="308"/>
      <c r="G13" s="307"/>
      <c r="H13" s="307"/>
      <c r="I13" s="308"/>
      <c r="J13" s="134"/>
      <c r="K13" s="135"/>
      <c r="L13" s="134"/>
      <c r="M13" s="165"/>
      <c r="N13" s="135"/>
    </row>
    <row r="14" spans="1:15" ht="15.75" thickBot="1" x14ac:dyDescent="0.3">
      <c r="A14" s="311" t="s">
        <v>484</v>
      </c>
      <c r="B14" s="309">
        <v>13000000</v>
      </c>
      <c r="C14" s="347"/>
      <c r="D14" s="307"/>
      <c r="E14" s="307" t="s">
        <v>243</v>
      </c>
      <c r="F14" s="309">
        <v>0</v>
      </c>
      <c r="G14" s="307"/>
      <c r="H14" s="307" t="s">
        <v>243</v>
      </c>
      <c r="I14" s="309">
        <v>98009417</v>
      </c>
      <c r="J14" s="136" t="s">
        <v>243</v>
      </c>
      <c r="K14" s="137">
        <f>F26</f>
        <v>30464373.055555556</v>
      </c>
      <c r="L14" s="136" t="s">
        <v>243</v>
      </c>
      <c r="M14" s="163">
        <f>K14-I14</f>
        <v>-67545043.944444448</v>
      </c>
      <c r="N14" s="167">
        <f>K14/I14</f>
        <v>0.31083108121697689</v>
      </c>
    </row>
    <row r="15" spans="1:15" ht="15.75" thickBot="1" x14ac:dyDescent="0.3">
      <c r="A15" s="311" t="s">
        <v>485</v>
      </c>
      <c r="B15" s="309">
        <v>10920000</v>
      </c>
      <c r="C15" s="347"/>
      <c r="D15" s="307"/>
      <c r="E15" s="307" t="s">
        <v>244</v>
      </c>
      <c r="F15" s="309">
        <v>1200000</v>
      </c>
      <c r="G15" s="307"/>
      <c r="H15" s="307" t="s">
        <v>244</v>
      </c>
      <c r="I15" s="309">
        <v>4631284</v>
      </c>
      <c r="J15" s="134" t="s">
        <v>244</v>
      </c>
      <c r="K15" s="138">
        <f>F27</f>
        <v>2691148.1481481483</v>
      </c>
      <c r="L15" s="134" t="s">
        <v>244</v>
      </c>
      <c r="M15" s="162">
        <f>K15-I15</f>
        <v>-1940135.8518518517</v>
      </c>
      <c r="N15" s="168">
        <f>K15/I15</f>
        <v>0.58108035442182948</v>
      </c>
    </row>
    <row r="16" spans="1:15" ht="15.75" thickBot="1" x14ac:dyDescent="0.3">
      <c r="A16" s="311" t="s">
        <v>486</v>
      </c>
      <c r="B16" s="309">
        <v>10729755</v>
      </c>
      <c r="C16" s="347"/>
      <c r="D16" s="307"/>
      <c r="E16" s="307"/>
      <c r="F16" s="308"/>
      <c r="G16" s="307"/>
      <c r="H16" s="307"/>
      <c r="I16" s="308"/>
      <c r="J16" s="136"/>
      <c r="K16" s="139"/>
      <c r="L16" s="136"/>
      <c r="M16" s="161"/>
      <c r="N16" s="139"/>
    </row>
    <row r="17" spans="1:14" ht="15.75" thickBot="1" x14ac:dyDescent="0.3">
      <c r="A17" s="311" t="s">
        <v>487</v>
      </c>
      <c r="B17" s="309">
        <v>4780000</v>
      </c>
      <c r="C17" s="347"/>
      <c r="D17" s="307"/>
      <c r="E17" s="307" t="s">
        <v>245</v>
      </c>
      <c r="F17" s="313">
        <v>56794240</v>
      </c>
      <c r="G17" s="307"/>
      <c r="H17" s="307" t="s">
        <v>245</v>
      </c>
      <c r="I17" s="310">
        <v>-637156</v>
      </c>
      <c r="J17" s="143" t="s">
        <v>245</v>
      </c>
      <c r="K17" s="144" t="e">
        <f>SUM(K6:K12)-SUM(K14:K15)</f>
        <v>#DIV/0!</v>
      </c>
      <c r="L17" s="143" t="s">
        <v>245</v>
      </c>
      <c r="M17" s="166" t="e">
        <f>K17-I17</f>
        <v>#DIV/0!</v>
      </c>
      <c r="N17" s="170" t="e">
        <f>K17/I17</f>
        <v>#DIV/0!</v>
      </c>
    </row>
    <row r="18" spans="1:14" ht="15.75" thickBot="1" x14ac:dyDescent="0.3">
      <c r="A18" s="175"/>
      <c r="B18" s="150">
        <v>162</v>
      </c>
      <c r="C18" s="175"/>
      <c r="D18" s="175"/>
      <c r="E18" s="154" t="s">
        <v>263</v>
      </c>
      <c r="F18" s="178" t="e">
        <f>F6/F3</f>
        <v>#DIV/0!</v>
      </c>
      <c r="G18" s="287"/>
      <c r="H18" s="154" t="s">
        <v>263</v>
      </c>
      <c r="I18" s="178">
        <f>I6/I3</f>
        <v>10.935415328199012</v>
      </c>
      <c r="J18" s="177" t="s">
        <v>263</v>
      </c>
      <c r="K18" s="178">
        <v>21</v>
      </c>
      <c r="L18" s="136" t="str">
        <f>E18</f>
        <v>Avg Ticket Income</v>
      </c>
      <c r="M18" s="189" t="e">
        <f>F18-I18</f>
        <v>#DIV/0!</v>
      </c>
      <c r="N18" s="167" t="e">
        <f>F18/I18</f>
        <v>#DIV/0!</v>
      </c>
    </row>
    <row r="19" spans="1:14" x14ac:dyDescent="0.25">
      <c r="A19" s="153" t="s">
        <v>246</v>
      </c>
      <c r="B19" s="185">
        <v>63</v>
      </c>
      <c r="C19" s="153"/>
      <c r="D19" s="153"/>
      <c r="E19" s="134" t="s">
        <v>269</v>
      </c>
      <c r="F19" s="179">
        <f>B18/2-B22-B23</f>
        <v>28</v>
      </c>
      <c r="G19" s="283"/>
      <c r="H19" s="134"/>
      <c r="I19" s="179"/>
      <c r="J19" s="148" t="s">
        <v>269</v>
      </c>
      <c r="K19" s="179">
        <v>81</v>
      </c>
      <c r="L19" s="134"/>
      <c r="M19" s="162"/>
      <c r="N19" s="168"/>
    </row>
    <row r="20" spans="1:14" ht="15.75" thickBot="1" x14ac:dyDescent="0.3">
      <c r="A20" s="153" t="s">
        <v>247</v>
      </c>
      <c r="B20" s="186">
        <v>42</v>
      </c>
      <c r="C20" s="153"/>
      <c r="D20" s="153"/>
      <c r="E20" s="136" t="s">
        <v>264</v>
      </c>
      <c r="F20" s="180">
        <f>F3+F4*F19</f>
        <v>0</v>
      </c>
      <c r="G20" s="288"/>
      <c r="H20" s="136" t="s">
        <v>264</v>
      </c>
      <c r="I20" s="180">
        <f>I3+I4*I19</f>
        <v>1853799</v>
      </c>
      <c r="J20" s="147" t="s">
        <v>264</v>
      </c>
      <c r="K20" s="180">
        <v>2300000</v>
      </c>
      <c r="L20" s="136" t="str">
        <f>E20</f>
        <v>Est. Attendance</v>
      </c>
      <c r="M20" s="188">
        <f>F20-I20</f>
        <v>-1853799</v>
      </c>
      <c r="N20" s="167">
        <f>F20/I20</f>
        <v>0</v>
      </c>
    </row>
    <row r="21" spans="1:14" ht="15.75" thickBot="1" x14ac:dyDescent="0.3">
      <c r="A21" s="153" t="s">
        <v>248</v>
      </c>
      <c r="B21" s="152">
        <f>B19/(B19+B20)</f>
        <v>0.6</v>
      </c>
      <c r="C21" s="285"/>
      <c r="D21" s="285"/>
      <c r="E21" s="134" t="s">
        <v>265</v>
      </c>
      <c r="F21" s="181" t="e">
        <f>F6+F4*F18*F19</f>
        <v>#DIV/0!</v>
      </c>
      <c r="G21" s="289"/>
      <c r="H21" s="134" t="s">
        <v>265</v>
      </c>
      <c r="I21" s="181">
        <f>I6+I4*I18*I19</f>
        <v>20272062</v>
      </c>
      <c r="J21" s="148" t="s">
        <v>265</v>
      </c>
      <c r="K21" s="181">
        <v>50000000</v>
      </c>
      <c r="L21" s="134" t="str">
        <f t="shared" ref="L21:L29" si="0">E21</f>
        <v>Proj. Gate Rev</v>
      </c>
      <c r="M21" s="162" t="e">
        <f t="shared" ref="M21:M29" si="1">F21-I21</f>
        <v>#DIV/0!</v>
      </c>
      <c r="N21" s="168" t="e">
        <f t="shared" ref="N21:N29" si="2">F21/I21</f>
        <v>#DIV/0!</v>
      </c>
    </row>
    <row r="22" spans="1:14" x14ac:dyDescent="0.25">
      <c r="A22" s="153" t="s">
        <v>249</v>
      </c>
      <c r="B22" s="185">
        <v>32</v>
      </c>
      <c r="C22" s="153"/>
      <c r="D22" s="153"/>
      <c r="E22" s="136" t="s">
        <v>266</v>
      </c>
      <c r="F22" s="182" t="e">
        <f>F10/F3</f>
        <v>#DIV/0!</v>
      </c>
      <c r="G22" s="290"/>
      <c r="H22" s="136" t="s">
        <v>266</v>
      </c>
      <c r="I22" s="182">
        <f>I10/I3</f>
        <v>4.4226029898602812</v>
      </c>
      <c r="J22" s="147" t="s">
        <v>266</v>
      </c>
      <c r="K22" s="182">
        <v>3</v>
      </c>
      <c r="L22" s="136" t="str">
        <f t="shared" si="0"/>
        <v>Merch Per Att.</v>
      </c>
      <c r="M22" s="189" t="e">
        <f t="shared" si="1"/>
        <v>#DIV/0!</v>
      </c>
      <c r="N22" s="167" t="e">
        <f t="shared" si="2"/>
        <v>#DIV/0!</v>
      </c>
    </row>
    <row r="23" spans="1:14" ht="15.75" thickBot="1" x14ac:dyDescent="0.3">
      <c r="A23" s="153" t="s">
        <v>250</v>
      </c>
      <c r="B23" s="186">
        <v>21</v>
      </c>
      <c r="C23" s="153"/>
      <c r="D23" s="153"/>
      <c r="E23" s="134" t="s">
        <v>267</v>
      </c>
      <c r="F23" s="181" t="e">
        <f>F20*F22</f>
        <v>#DIV/0!</v>
      </c>
      <c r="G23" s="289"/>
      <c r="H23" s="134" t="s">
        <v>267</v>
      </c>
      <c r="I23" s="181">
        <f>I20*I22</f>
        <v>8198616.9999999991</v>
      </c>
      <c r="J23" s="148" t="s">
        <v>267</v>
      </c>
      <c r="K23" s="181">
        <v>25868622.177973688</v>
      </c>
      <c r="L23" s="134" t="str">
        <f t="shared" si="0"/>
        <v>Proj. Merch</v>
      </c>
      <c r="M23" s="162" t="e">
        <f t="shared" si="1"/>
        <v>#DIV/0!</v>
      </c>
      <c r="N23" s="168" t="e">
        <f t="shared" si="2"/>
        <v>#DIV/0!</v>
      </c>
    </row>
    <row r="24" spans="1:14" x14ac:dyDescent="0.25">
      <c r="A24" s="153" t="s">
        <v>251</v>
      </c>
      <c r="B24" s="152">
        <f>B22/(B22+B23)</f>
        <v>0.60377358490566035</v>
      </c>
      <c r="C24" s="285"/>
      <c r="D24" s="285"/>
      <c r="E24" s="136" t="s">
        <v>268</v>
      </c>
      <c r="F24" s="181" t="e">
        <f>F9+F21+F23</f>
        <v>#DIV/0!</v>
      </c>
      <c r="G24" s="289"/>
      <c r="H24" s="136" t="s">
        <v>268</v>
      </c>
      <c r="I24" s="181">
        <f>I9+I21+I23</f>
        <v>100828179</v>
      </c>
      <c r="J24" s="147" t="s">
        <v>268</v>
      </c>
      <c r="K24" s="181">
        <v>101606896.17797369</v>
      </c>
      <c r="L24" s="136" t="str">
        <f t="shared" si="0"/>
        <v>Proj. Rev.</v>
      </c>
      <c r="M24" s="163" t="e">
        <f t="shared" si="1"/>
        <v>#DIV/0!</v>
      </c>
      <c r="N24" s="167" t="e">
        <f t="shared" si="2"/>
        <v>#DIV/0!</v>
      </c>
    </row>
    <row r="25" spans="1:14" x14ac:dyDescent="0.25">
      <c r="A25" s="153" t="s">
        <v>252</v>
      </c>
      <c r="B25" s="151">
        <f>B19-B22</f>
        <v>31</v>
      </c>
      <c r="C25" s="153"/>
      <c r="D25" s="153"/>
      <c r="E25" s="183" t="s">
        <v>270</v>
      </c>
      <c r="F25" s="181" t="e">
        <f>F24-I10-I9-I6-I8</f>
        <v>#DIV/0!</v>
      </c>
      <c r="G25" s="289"/>
      <c r="H25" s="183"/>
      <c r="I25" s="181"/>
      <c r="J25" s="149" t="s">
        <v>270</v>
      </c>
      <c r="K25" s="181">
        <v>177950.17797368765</v>
      </c>
      <c r="L25" s="134" t="str">
        <f t="shared" si="0"/>
        <v>+/- Improvement</v>
      </c>
      <c r="M25" s="162" t="e">
        <f t="shared" si="1"/>
        <v>#DIV/0!</v>
      </c>
      <c r="N25" s="168" t="e">
        <f t="shared" si="2"/>
        <v>#DIV/0!</v>
      </c>
    </row>
    <row r="26" spans="1:14" x14ac:dyDescent="0.25">
      <c r="A26" s="153" t="s">
        <v>253</v>
      </c>
      <c r="B26" s="151">
        <f>B20-B23</f>
        <v>21</v>
      </c>
      <c r="C26" s="153"/>
      <c r="D26" s="153"/>
      <c r="E26" s="136" t="s">
        <v>279</v>
      </c>
      <c r="F26" s="181">
        <f>$B$5/$B$18*B28+F14</f>
        <v>30464373.055555556</v>
      </c>
      <c r="G26" s="289"/>
      <c r="H26" s="136" t="s">
        <v>279</v>
      </c>
      <c r="I26" s="181">
        <f>I14</f>
        <v>98009417</v>
      </c>
      <c r="J26" s="147" t="s">
        <v>279</v>
      </c>
      <c r="K26" s="181">
        <v>106396953.25925925</v>
      </c>
      <c r="L26" s="136" t="str">
        <f t="shared" si="0"/>
        <v>Est. Player Exp</v>
      </c>
      <c r="M26" s="163">
        <f t="shared" si="1"/>
        <v>-67545043.944444448</v>
      </c>
      <c r="N26" s="167">
        <f t="shared" si="2"/>
        <v>0.31083108121697689</v>
      </c>
    </row>
    <row r="27" spans="1:14" x14ac:dyDescent="0.25">
      <c r="A27" s="153" t="s">
        <v>254</v>
      </c>
      <c r="B27" s="152">
        <f>B25/(B25+B26)</f>
        <v>0.59615384615384615</v>
      </c>
      <c r="C27" s="285"/>
      <c r="D27" s="285"/>
      <c r="E27" s="134" t="s">
        <v>280</v>
      </c>
      <c r="F27" s="181">
        <f>B4/B18*B28+F15</f>
        <v>2691148.1481481483</v>
      </c>
      <c r="G27" s="289"/>
      <c r="H27" s="134" t="s">
        <v>280</v>
      </c>
      <c r="I27" s="181">
        <f>I15</f>
        <v>4631284</v>
      </c>
      <c r="J27" s="148" t="s">
        <v>280</v>
      </c>
      <c r="K27" s="181">
        <v>6429973.1481481474</v>
      </c>
      <c r="L27" s="134" t="str">
        <f t="shared" si="0"/>
        <v>Est. Staff Exp</v>
      </c>
      <c r="M27" s="162">
        <f t="shared" si="1"/>
        <v>-1940135.8518518517</v>
      </c>
      <c r="N27" s="168">
        <f t="shared" si="2"/>
        <v>0.58108035442182948</v>
      </c>
    </row>
    <row r="28" spans="1:14" x14ac:dyDescent="0.25">
      <c r="A28" s="153" t="s">
        <v>255</v>
      </c>
      <c r="B28" s="151">
        <f>B18-B19-B20</f>
        <v>57</v>
      </c>
      <c r="C28" s="153"/>
      <c r="D28" s="153"/>
      <c r="E28" s="136" t="s">
        <v>281</v>
      </c>
      <c r="F28" s="181" t="e">
        <f>F24</f>
        <v>#DIV/0!</v>
      </c>
      <c r="G28" s="289"/>
      <c r="H28" s="136" t="s">
        <v>281</v>
      </c>
      <c r="I28" s="181">
        <f>I24</f>
        <v>100828179</v>
      </c>
      <c r="J28" s="147" t="s">
        <v>281</v>
      </c>
      <c r="K28" s="181">
        <v>101606896.17797369</v>
      </c>
      <c r="L28" s="136" t="str">
        <f t="shared" si="0"/>
        <v>Est. Income</v>
      </c>
      <c r="M28" s="163" t="e">
        <f t="shared" si="1"/>
        <v>#DIV/0!</v>
      </c>
      <c r="N28" s="167" t="e">
        <f t="shared" si="2"/>
        <v>#DIV/0!</v>
      </c>
    </row>
    <row r="29" spans="1:14" x14ac:dyDescent="0.25">
      <c r="A29" s="153" t="s">
        <v>256</v>
      </c>
      <c r="B29" s="151">
        <f>B18/2-B22-B23</f>
        <v>28</v>
      </c>
      <c r="C29" s="153"/>
      <c r="D29" s="153"/>
      <c r="E29" s="134" t="s">
        <v>282</v>
      </c>
      <c r="F29" s="181">
        <f>F26+F27</f>
        <v>33155521.203703705</v>
      </c>
      <c r="G29" s="289"/>
      <c r="H29" s="134" t="s">
        <v>282</v>
      </c>
      <c r="I29" s="181">
        <f>I26+I27</f>
        <v>102640701</v>
      </c>
      <c r="J29" s="148" t="s">
        <v>282</v>
      </c>
      <c r="K29" s="181">
        <v>112826926.4074074</v>
      </c>
      <c r="L29" s="134" t="str">
        <f t="shared" si="0"/>
        <v>Est. Loss</v>
      </c>
      <c r="M29" s="162">
        <f t="shared" si="1"/>
        <v>-69485179.796296299</v>
      </c>
      <c r="N29" s="168">
        <f t="shared" si="2"/>
        <v>0.32302508537722968</v>
      </c>
    </row>
    <row r="30" spans="1:14" x14ac:dyDescent="0.25">
      <c r="A30" s="153" t="s">
        <v>257</v>
      </c>
      <c r="B30" s="151">
        <f>B28-B29</f>
        <v>29</v>
      </c>
      <c r="C30" s="153"/>
      <c r="D30" s="153"/>
      <c r="E30" s="136" t="s">
        <v>295</v>
      </c>
      <c r="F30" s="181">
        <f>B6-F29</f>
        <v>136844478.7962963</v>
      </c>
      <c r="G30" s="289"/>
      <c r="H30" s="136" t="s">
        <v>295</v>
      </c>
      <c r="I30" s="181">
        <f>B6-I29</f>
        <v>67359299</v>
      </c>
      <c r="J30" s="147"/>
      <c r="K30" s="181">
        <v>-21166926.407407403</v>
      </c>
      <c r="L30" s="136" t="str">
        <f t="shared" ref="L30:L32" si="3">E30</f>
        <v>Est. Budget Diff</v>
      </c>
      <c r="M30" s="163">
        <f t="shared" ref="M30:M31" si="4">F30-I30</f>
        <v>69485179.796296299</v>
      </c>
      <c r="N30" s="167">
        <f t="shared" ref="N30:N31" si="5">F30/I30</f>
        <v>2.031560316509474</v>
      </c>
    </row>
    <row r="31" spans="1:14" ht="15.75" thickBot="1" x14ac:dyDescent="0.3">
      <c r="A31" s="176" t="s">
        <v>322</v>
      </c>
      <c r="B31" s="209">
        <f>SUM(B22:B23)/SUM(B22:B23,B29)</f>
        <v>0.65432098765432101</v>
      </c>
      <c r="C31" s="286"/>
      <c r="D31" s="286"/>
      <c r="E31" s="143" t="s">
        <v>283</v>
      </c>
      <c r="F31" s="184" t="e">
        <f>F28-F29</f>
        <v>#DIV/0!</v>
      </c>
      <c r="G31" s="291"/>
      <c r="H31" s="143" t="s">
        <v>283</v>
      </c>
      <c r="I31" s="184">
        <f>I28-I29</f>
        <v>-1812522</v>
      </c>
      <c r="J31" s="187" t="s">
        <v>283</v>
      </c>
      <c r="K31" s="184">
        <v>-11220030.229433715</v>
      </c>
      <c r="L31" s="143" t="str">
        <f t="shared" si="3"/>
        <v>Est. Profit</v>
      </c>
      <c r="M31" s="190" t="e">
        <f t="shared" si="4"/>
        <v>#DIV/0!</v>
      </c>
      <c r="N31" s="191" t="e">
        <f t="shared" si="5"/>
        <v>#DIV/0!</v>
      </c>
    </row>
    <row r="32" spans="1:14" x14ac:dyDescent="0.25">
      <c r="E32" s="136" t="s">
        <v>325</v>
      </c>
      <c r="F32" s="181" t="e">
        <f>F12+F31</f>
        <v>#DIV/0!</v>
      </c>
      <c r="G32" s="289"/>
      <c r="I32" s="156"/>
      <c r="J32" s="148" t="s">
        <v>285</v>
      </c>
      <c r="K32" s="156">
        <v>43625</v>
      </c>
      <c r="L32" s="136" t="str">
        <f t="shared" si="3"/>
        <v>Cash Remaining</v>
      </c>
    </row>
    <row r="33" spans="1:9" x14ac:dyDescent="0.25">
      <c r="A33" s="1" t="s">
        <v>284</v>
      </c>
      <c r="B33" s="1" t="s">
        <v>286</v>
      </c>
      <c r="C33" s="1"/>
      <c r="D33" s="1"/>
      <c r="E33" s="1" t="s">
        <v>287</v>
      </c>
      <c r="F33" s="1" t="s">
        <v>294</v>
      </c>
      <c r="G33" s="1"/>
    </row>
    <row r="34" spans="1:9" x14ac:dyDescent="0.25">
      <c r="A34" s="101">
        <v>59</v>
      </c>
      <c r="B34" s="155">
        <f t="shared" ref="B34:B59" si="6">(A34-$B$19)/$B$28</f>
        <v>-7.0175438596491224E-2</v>
      </c>
      <c r="C34" s="155"/>
      <c r="D34" s="155"/>
      <c r="E34" s="155">
        <f t="shared" ref="E34:E59" si="7">A34/$B$18</f>
        <v>0.36419753086419754</v>
      </c>
      <c r="F34" s="112" t="str">
        <f>IF(OR(A34&lt;$B$19,$B$19+$B$28&lt;A34),"-",(A34-$B$19)&amp;"-"&amp;($B$18-A34-$B$20))</f>
        <v>-</v>
      </c>
      <c r="G34" s="112"/>
    </row>
    <row r="35" spans="1:9" x14ac:dyDescent="0.25">
      <c r="A35" s="101">
        <v>60</v>
      </c>
      <c r="B35" s="155">
        <f t="shared" si="6"/>
        <v>-5.2631578947368418E-2</v>
      </c>
      <c r="C35" s="155"/>
      <c r="D35" s="155"/>
      <c r="E35" s="155">
        <f t="shared" si="7"/>
        <v>0.37037037037037035</v>
      </c>
      <c r="F35" s="112" t="str">
        <f t="shared" ref="F35:F108" si="8">IF(OR(A35&lt;$B$19,$B$19+$B$28&lt;A35),"-",(A35-$B$19)&amp;"-"&amp;($B$18-A35-$B$20))</f>
        <v>-</v>
      </c>
      <c r="G35" s="112"/>
      <c r="I35" s="10">
        <f>B4+B5</f>
        <v>90820955</v>
      </c>
    </row>
    <row r="36" spans="1:9" x14ac:dyDescent="0.25">
      <c r="A36" s="101">
        <v>61</v>
      </c>
      <c r="B36" s="155">
        <f t="shared" si="6"/>
        <v>-3.5087719298245612E-2</v>
      </c>
      <c r="C36" s="155"/>
      <c r="D36" s="155"/>
      <c r="E36" s="155">
        <f t="shared" si="7"/>
        <v>0.37654320987654322</v>
      </c>
      <c r="F36" s="112" t="str">
        <f t="shared" si="8"/>
        <v>-</v>
      </c>
      <c r="G36" s="112"/>
    </row>
    <row r="37" spans="1:9" x14ac:dyDescent="0.25">
      <c r="A37" s="101">
        <v>62</v>
      </c>
      <c r="B37" s="155">
        <f t="shared" si="6"/>
        <v>-1.7543859649122806E-2</v>
      </c>
      <c r="C37" s="155"/>
      <c r="D37" s="155"/>
      <c r="E37" s="155">
        <f t="shared" si="7"/>
        <v>0.38271604938271603</v>
      </c>
      <c r="F37" s="112" t="str">
        <f t="shared" si="8"/>
        <v>-</v>
      </c>
      <c r="G37" s="112"/>
    </row>
    <row r="38" spans="1:9" x14ac:dyDescent="0.25">
      <c r="A38" s="101">
        <v>63</v>
      </c>
      <c r="B38" s="155">
        <f t="shared" si="6"/>
        <v>0</v>
      </c>
      <c r="C38" s="155"/>
      <c r="D38" s="155"/>
      <c r="E38" s="155">
        <f t="shared" si="7"/>
        <v>0.3888888888888889</v>
      </c>
      <c r="F38" s="112" t="str">
        <f t="shared" si="8"/>
        <v>0-57</v>
      </c>
      <c r="G38" s="112"/>
    </row>
    <row r="39" spans="1:9" x14ac:dyDescent="0.25">
      <c r="A39" s="101">
        <v>64</v>
      </c>
      <c r="B39" s="155">
        <f t="shared" si="6"/>
        <v>1.7543859649122806E-2</v>
      </c>
      <c r="C39" s="155"/>
      <c r="D39" s="155"/>
      <c r="E39" s="155">
        <f t="shared" si="7"/>
        <v>0.39506172839506171</v>
      </c>
      <c r="F39" s="112" t="str">
        <f t="shared" si="8"/>
        <v>1-56</v>
      </c>
      <c r="G39" s="112"/>
    </row>
    <row r="40" spans="1:9" x14ac:dyDescent="0.25">
      <c r="A40" s="101">
        <v>65</v>
      </c>
      <c r="B40" s="155">
        <f t="shared" si="6"/>
        <v>3.5087719298245612E-2</v>
      </c>
      <c r="C40" s="155"/>
      <c r="D40" s="155"/>
      <c r="E40" s="155">
        <f t="shared" si="7"/>
        <v>0.40123456790123457</v>
      </c>
      <c r="F40" s="112" t="str">
        <f t="shared" si="8"/>
        <v>2-55</v>
      </c>
      <c r="G40" s="112"/>
    </row>
    <row r="41" spans="1:9" x14ac:dyDescent="0.25">
      <c r="A41" s="101">
        <v>66</v>
      </c>
      <c r="B41" s="155">
        <f t="shared" si="6"/>
        <v>5.2631578947368418E-2</v>
      </c>
      <c r="C41" s="155"/>
      <c r="D41" s="155"/>
      <c r="E41" s="155">
        <f t="shared" si="7"/>
        <v>0.40740740740740738</v>
      </c>
      <c r="F41" s="112" t="str">
        <f t="shared" si="8"/>
        <v>3-54</v>
      </c>
      <c r="G41" s="112"/>
    </row>
    <row r="42" spans="1:9" x14ac:dyDescent="0.25">
      <c r="A42" s="101">
        <v>67</v>
      </c>
      <c r="B42" s="155">
        <f t="shared" si="6"/>
        <v>7.0175438596491224E-2</v>
      </c>
      <c r="C42" s="155"/>
      <c r="D42" s="155"/>
      <c r="E42" s="155">
        <f t="shared" si="7"/>
        <v>0.41358024691358025</v>
      </c>
      <c r="F42" s="112" t="str">
        <f t="shared" si="8"/>
        <v>4-53</v>
      </c>
      <c r="G42" s="112"/>
    </row>
    <row r="43" spans="1:9" x14ac:dyDescent="0.25">
      <c r="A43" s="101">
        <v>68</v>
      </c>
      <c r="B43" s="155">
        <f t="shared" si="6"/>
        <v>8.771929824561403E-2</v>
      </c>
      <c r="C43" s="155"/>
      <c r="D43" s="155"/>
      <c r="E43" s="155">
        <f t="shared" si="7"/>
        <v>0.41975308641975306</v>
      </c>
      <c r="F43" s="112" t="str">
        <f t="shared" si="8"/>
        <v>5-52</v>
      </c>
      <c r="G43" s="112"/>
    </row>
    <row r="44" spans="1:9" x14ac:dyDescent="0.25">
      <c r="A44" s="101">
        <v>69</v>
      </c>
      <c r="B44" s="155">
        <f t="shared" si="6"/>
        <v>0.10526315789473684</v>
      </c>
      <c r="C44" s="155"/>
      <c r="D44" s="155"/>
      <c r="E44" s="155">
        <f t="shared" si="7"/>
        <v>0.42592592592592593</v>
      </c>
      <c r="F44" s="112" t="str">
        <f t="shared" si="8"/>
        <v>6-51</v>
      </c>
      <c r="G44" s="112"/>
    </row>
    <row r="45" spans="1:9" x14ac:dyDescent="0.25">
      <c r="A45" s="101">
        <v>70</v>
      </c>
      <c r="B45" s="155">
        <f t="shared" si="6"/>
        <v>0.12280701754385964</v>
      </c>
      <c r="C45" s="155"/>
      <c r="D45" s="155"/>
      <c r="E45" s="155">
        <f t="shared" si="7"/>
        <v>0.43209876543209874</v>
      </c>
      <c r="F45" s="112" t="str">
        <f t="shared" si="8"/>
        <v>7-50</v>
      </c>
      <c r="G45" s="112"/>
    </row>
    <row r="46" spans="1:9" x14ac:dyDescent="0.25">
      <c r="A46" s="101">
        <v>71</v>
      </c>
      <c r="B46" s="155">
        <f t="shared" si="6"/>
        <v>0.14035087719298245</v>
      </c>
      <c r="C46" s="155"/>
      <c r="D46" s="155"/>
      <c r="E46" s="155">
        <f t="shared" si="7"/>
        <v>0.43827160493827161</v>
      </c>
      <c r="F46" s="112" t="str">
        <f t="shared" si="8"/>
        <v>8-49</v>
      </c>
      <c r="G46" s="112"/>
    </row>
    <row r="47" spans="1:9" x14ac:dyDescent="0.25">
      <c r="A47" s="101">
        <v>72</v>
      </c>
      <c r="B47" s="155">
        <f t="shared" si="6"/>
        <v>0.15789473684210525</v>
      </c>
      <c r="C47" s="155"/>
      <c r="D47" s="155"/>
      <c r="E47" s="155">
        <f t="shared" si="7"/>
        <v>0.44444444444444442</v>
      </c>
      <c r="F47" s="112" t="str">
        <f t="shared" si="8"/>
        <v>9-48</v>
      </c>
      <c r="G47" s="112"/>
    </row>
    <row r="48" spans="1:9" x14ac:dyDescent="0.25">
      <c r="A48" s="101">
        <v>73</v>
      </c>
      <c r="B48" s="155">
        <f t="shared" si="6"/>
        <v>0.17543859649122806</v>
      </c>
      <c r="C48" s="155"/>
      <c r="D48" s="155"/>
      <c r="E48" s="155">
        <f t="shared" si="7"/>
        <v>0.45061728395061729</v>
      </c>
      <c r="F48" s="112" t="str">
        <f t="shared" si="8"/>
        <v>10-47</v>
      </c>
      <c r="G48" s="112"/>
    </row>
    <row r="49" spans="1:7" x14ac:dyDescent="0.25">
      <c r="A49" s="101">
        <v>74</v>
      </c>
      <c r="B49" s="155">
        <f t="shared" si="6"/>
        <v>0.19298245614035087</v>
      </c>
      <c r="C49" s="155"/>
      <c r="D49" s="155"/>
      <c r="E49" s="155">
        <f t="shared" si="7"/>
        <v>0.4567901234567901</v>
      </c>
      <c r="F49" s="112" t="str">
        <f t="shared" si="8"/>
        <v>11-46</v>
      </c>
      <c r="G49" s="112"/>
    </row>
    <row r="50" spans="1:7" x14ac:dyDescent="0.25">
      <c r="A50" s="101">
        <v>75</v>
      </c>
      <c r="B50" s="155">
        <f t="shared" si="6"/>
        <v>0.21052631578947367</v>
      </c>
      <c r="C50" s="155"/>
      <c r="D50" s="155"/>
      <c r="E50" s="155">
        <f t="shared" si="7"/>
        <v>0.46296296296296297</v>
      </c>
      <c r="F50" s="112" t="str">
        <f t="shared" si="8"/>
        <v>12-45</v>
      </c>
      <c r="G50" s="112"/>
    </row>
    <row r="51" spans="1:7" x14ac:dyDescent="0.25">
      <c r="A51" s="101">
        <v>76</v>
      </c>
      <c r="B51" s="155">
        <f t="shared" si="6"/>
        <v>0.22807017543859648</v>
      </c>
      <c r="C51" s="155"/>
      <c r="D51" s="155"/>
      <c r="E51" s="155">
        <f t="shared" si="7"/>
        <v>0.46913580246913578</v>
      </c>
      <c r="F51" s="112" t="str">
        <f t="shared" si="8"/>
        <v>13-44</v>
      </c>
      <c r="G51" s="112"/>
    </row>
    <row r="52" spans="1:7" x14ac:dyDescent="0.25">
      <c r="A52" s="101">
        <v>77</v>
      </c>
      <c r="B52" s="155">
        <f t="shared" si="6"/>
        <v>0.24561403508771928</v>
      </c>
      <c r="C52" s="155"/>
      <c r="D52" s="155"/>
      <c r="E52" s="155">
        <f t="shared" si="7"/>
        <v>0.47530864197530864</v>
      </c>
      <c r="F52" s="112" t="str">
        <f t="shared" si="8"/>
        <v>14-43</v>
      </c>
      <c r="G52" s="112"/>
    </row>
    <row r="53" spans="1:7" x14ac:dyDescent="0.25">
      <c r="A53" s="101">
        <v>78</v>
      </c>
      <c r="B53" s="155">
        <f t="shared" si="6"/>
        <v>0.26315789473684209</v>
      </c>
      <c r="C53" s="155"/>
      <c r="D53" s="155"/>
      <c r="E53" s="155">
        <f t="shared" si="7"/>
        <v>0.48148148148148145</v>
      </c>
      <c r="F53" s="112" t="str">
        <f t="shared" si="8"/>
        <v>15-42</v>
      </c>
      <c r="G53" s="112"/>
    </row>
    <row r="54" spans="1:7" x14ac:dyDescent="0.25">
      <c r="A54" s="101">
        <v>79</v>
      </c>
      <c r="B54" s="155">
        <f t="shared" si="6"/>
        <v>0.2807017543859649</v>
      </c>
      <c r="C54" s="155"/>
      <c r="D54" s="155"/>
      <c r="E54" s="155">
        <f t="shared" si="7"/>
        <v>0.48765432098765432</v>
      </c>
      <c r="F54" s="112" t="str">
        <f t="shared" si="8"/>
        <v>16-41</v>
      </c>
      <c r="G54" s="112"/>
    </row>
    <row r="55" spans="1:7" x14ac:dyDescent="0.25">
      <c r="A55" s="101">
        <v>80</v>
      </c>
      <c r="B55" s="155">
        <f t="shared" si="6"/>
        <v>0.2982456140350877</v>
      </c>
      <c r="C55" s="155"/>
      <c r="D55" s="155"/>
      <c r="E55" s="155">
        <f t="shared" si="7"/>
        <v>0.49382716049382713</v>
      </c>
      <c r="F55" s="112" t="str">
        <f t="shared" si="8"/>
        <v>17-40</v>
      </c>
      <c r="G55" s="112"/>
    </row>
    <row r="56" spans="1:7" x14ac:dyDescent="0.25">
      <c r="A56" s="101">
        <v>81</v>
      </c>
      <c r="B56" s="155">
        <f t="shared" si="6"/>
        <v>0.31578947368421051</v>
      </c>
      <c r="C56" s="155"/>
      <c r="D56" s="155"/>
      <c r="E56" s="155">
        <f t="shared" si="7"/>
        <v>0.5</v>
      </c>
      <c r="F56" s="112" t="str">
        <f t="shared" si="8"/>
        <v>18-39</v>
      </c>
      <c r="G56" s="112"/>
    </row>
    <row r="57" spans="1:7" x14ac:dyDescent="0.25">
      <c r="A57" s="101">
        <v>82</v>
      </c>
      <c r="B57" s="155">
        <f t="shared" si="6"/>
        <v>0.33333333333333331</v>
      </c>
      <c r="C57" s="155"/>
      <c r="D57" s="155"/>
      <c r="E57" s="155">
        <f t="shared" si="7"/>
        <v>0.50617283950617287</v>
      </c>
      <c r="F57" s="112" t="str">
        <f t="shared" si="8"/>
        <v>19-38</v>
      </c>
      <c r="G57" s="112"/>
    </row>
    <row r="58" spans="1:7" x14ac:dyDescent="0.25">
      <c r="A58" s="101">
        <v>83</v>
      </c>
      <c r="B58" s="155">
        <f t="shared" si="6"/>
        <v>0.35087719298245612</v>
      </c>
      <c r="C58" s="155"/>
      <c r="D58" s="155"/>
      <c r="E58" s="155">
        <f t="shared" si="7"/>
        <v>0.51234567901234573</v>
      </c>
      <c r="F58" s="112" t="str">
        <f t="shared" si="8"/>
        <v>20-37</v>
      </c>
      <c r="G58" s="112"/>
    </row>
    <row r="59" spans="1:7" x14ac:dyDescent="0.25">
      <c r="A59" s="101">
        <v>84</v>
      </c>
      <c r="B59" s="155">
        <f t="shared" si="6"/>
        <v>0.36842105263157893</v>
      </c>
      <c r="C59" s="155"/>
      <c r="D59" s="155"/>
      <c r="E59" s="155">
        <f t="shared" si="7"/>
        <v>0.51851851851851849</v>
      </c>
      <c r="F59" s="112" t="str">
        <f t="shared" si="8"/>
        <v>21-36</v>
      </c>
      <c r="G59" s="112"/>
    </row>
    <row r="60" spans="1:7" x14ac:dyDescent="0.25">
      <c r="A60" s="101">
        <v>85</v>
      </c>
      <c r="B60" s="155">
        <f t="shared" ref="B60:B68" si="9">(A60-$B$19)/$B$28</f>
        <v>0.38596491228070173</v>
      </c>
      <c r="C60" s="155"/>
      <c r="D60" s="155"/>
      <c r="E60" s="155">
        <f>A60/$B$18</f>
        <v>0.52469135802469136</v>
      </c>
      <c r="F60" s="112" t="str">
        <f t="shared" si="8"/>
        <v>22-35</v>
      </c>
      <c r="G60" s="112"/>
    </row>
    <row r="61" spans="1:7" x14ac:dyDescent="0.25">
      <c r="A61" s="101">
        <v>86</v>
      </c>
      <c r="B61" s="155">
        <f t="shared" si="9"/>
        <v>0.40350877192982454</v>
      </c>
      <c r="C61" s="155"/>
      <c r="D61" s="155"/>
      <c r="E61" s="155">
        <f t="shared" ref="E61:E68" si="10">A61/$B$18</f>
        <v>0.53086419753086422</v>
      </c>
      <c r="F61" s="112" t="str">
        <f t="shared" si="8"/>
        <v>23-34</v>
      </c>
      <c r="G61" s="112"/>
    </row>
    <row r="62" spans="1:7" x14ac:dyDescent="0.25">
      <c r="A62" s="101">
        <v>87</v>
      </c>
      <c r="B62" s="155">
        <f t="shared" si="9"/>
        <v>0.42105263157894735</v>
      </c>
      <c r="C62" s="155"/>
      <c r="D62" s="155"/>
      <c r="E62" s="155">
        <f t="shared" si="10"/>
        <v>0.53703703703703709</v>
      </c>
      <c r="F62" s="112" t="str">
        <f t="shared" si="8"/>
        <v>24-33</v>
      </c>
      <c r="G62" s="112"/>
    </row>
    <row r="63" spans="1:7" x14ac:dyDescent="0.25">
      <c r="A63" s="101">
        <v>88</v>
      </c>
      <c r="B63" s="155">
        <f t="shared" si="9"/>
        <v>0.43859649122807015</v>
      </c>
      <c r="C63" s="155"/>
      <c r="D63" s="155"/>
      <c r="E63" s="155">
        <f t="shared" si="10"/>
        <v>0.54320987654320985</v>
      </c>
      <c r="F63" s="112" t="str">
        <f t="shared" si="8"/>
        <v>25-32</v>
      </c>
      <c r="G63" s="112"/>
    </row>
    <row r="64" spans="1:7" x14ac:dyDescent="0.25">
      <c r="A64" s="101">
        <v>89</v>
      </c>
      <c r="B64" s="155">
        <f t="shared" si="9"/>
        <v>0.45614035087719296</v>
      </c>
      <c r="C64" s="155"/>
      <c r="D64" s="155"/>
      <c r="E64" s="155">
        <f t="shared" si="10"/>
        <v>0.54938271604938271</v>
      </c>
      <c r="F64" s="112" t="str">
        <f t="shared" si="8"/>
        <v>26-31</v>
      </c>
      <c r="G64" s="112"/>
    </row>
    <row r="65" spans="1:7" x14ac:dyDescent="0.25">
      <c r="A65" s="101">
        <v>90</v>
      </c>
      <c r="B65" s="155">
        <f t="shared" si="9"/>
        <v>0.47368421052631576</v>
      </c>
      <c r="C65" s="155"/>
      <c r="D65" s="155"/>
      <c r="E65" s="155">
        <f t="shared" si="10"/>
        <v>0.55555555555555558</v>
      </c>
      <c r="F65" s="112" t="str">
        <f t="shared" si="8"/>
        <v>27-30</v>
      </c>
      <c r="G65" s="112"/>
    </row>
    <row r="66" spans="1:7" x14ac:dyDescent="0.25">
      <c r="A66" s="101">
        <v>91</v>
      </c>
      <c r="B66" s="155">
        <f t="shared" si="9"/>
        <v>0.49122807017543857</v>
      </c>
      <c r="C66" s="155"/>
      <c r="D66" s="155"/>
      <c r="E66" s="155">
        <f t="shared" si="10"/>
        <v>0.56172839506172845</v>
      </c>
      <c r="F66" s="112" t="str">
        <f t="shared" si="8"/>
        <v>28-29</v>
      </c>
      <c r="G66" s="112"/>
    </row>
    <row r="67" spans="1:7" x14ac:dyDescent="0.25">
      <c r="A67" s="101">
        <v>92</v>
      </c>
      <c r="B67" s="155">
        <f t="shared" si="9"/>
        <v>0.50877192982456143</v>
      </c>
      <c r="C67" s="155"/>
      <c r="D67" s="155"/>
      <c r="E67" s="155">
        <f t="shared" si="10"/>
        <v>0.5679012345679012</v>
      </c>
      <c r="F67" s="112" t="str">
        <f t="shared" si="8"/>
        <v>29-28</v>
      </c>
      <c r="G67" s="112"/>
    </row>
    <row r="68" spans="1:7" x14ac:dyDescent="0.25">
      <c r="A68" s="101">
        <v>93</v>
      </c>
      <c r="B68" s="155">
        <f t="shared" si="9"/>
        <v>0.52631578947368418</v>
      </c>
      <c r="C68" s="155"/>
      <c r="D68" s="155"/>
      <c r="E68" s="155">
        <f t="shared" si="10"/>
        <v>0.57407407407407407</v>
      </c>
      <c r="F68" s="112" t="str">
        <f t="shared" si="8"/>
        <v>30-27</v>
      </c>
      <c r="G68" s="112"/>
    </row>
    <row r="69" spans="1:7" x14ac:dyDescent="0.25">
      <c r="A69" s="101">
        <v>94</v>
      </c>
      <c r="B69" s="155">
        <f t="shared" ref="B69:B85" si="11">(A69-$B$19)/$B$28</f>
        <v>0.54385964912280704</v>
      </c>
      <c r="C69" s="155"/>
      <c r="D69" s="155"/>
      <c r="E69" s="155">
        <f t="shared" ref="E69:E85" si="12">A69/$B$18</f>
        <v>0.58024691358024694</v>
      </c>
      <c r="F69" s="112" t="str">
        <f t="shared" si="8"/>
        <v>31-26</v>
      </c>
      <c r="G69" s="112"/>
    </row>
    <row r="70" spans="1:7" x14ac:dyDescent="0.25">
      <c r="A70" s="101">
        <v>95</v>
      </c>
      <c r="B70" s="155">
        <f t="shared" si="11"/>
        <v>0.56140350877192979</v>
      </c>
      <c r="C70" s="155"/>
      <c r="D70" s="155"/>
      <c r="E70" s="155">
        <f t="shared" si="12"/>
        <v>0.5864197530864198</v>
      </c>
      <c r="F70" s="112" t="str">
        <f t="shared" si="8"/>
        <v>32-25</v>
      </c>
      <c r="G70" s="112"/>
    </row>
    <row r="71" spans="1:7" x14ac:dyDescent="0.25">
      <c r="A71" s="101">
        <v>96</v>
      </c>
      <c r="B71" s="155">
        <f t="shared" si="11"/>
        <v>0.57894736842105265</v>
      </c>
      <c r="C71" s="155"/>
      <c r="D71" s="155"/>
      <c r="E71" s="155">
        <f t="shared" si="12"/>
        <v>0.59259259259259256</v>
      </c>
      <c r="F71" s="112" t="str">
        <f t="shared" si="8"/>
        <v>33-24</v>
      </c>
      <c r="G71" s="112"/>
    </row>
    <row r="72" spans="1:7" x14ac:dyDescent="0.25">
      <c r="A72" s="101">
        <v>97</v>
      </c>
      <c r="B72" s="155">
        <f t="shared" si="11"/>
        <v>0.59649122807017541</v>
      </c>
      <c r="C72" s="155"/>
      <c r="D72" s="155"/>
      <c r="E72" s="155">
        <f t="shared" si="12"/>
        <v>0.59876543209876543</v>
      </c>
      <c r="F72" s="112" t="str">
        <f t="shared" si="8"/>
        <v>34-23</v>
      </c>
      <c r="G72" s="112"/>
    </row>
    <row r="73" spans="1:7" x14ac:dyDescent="0.25">
      <c r="A73" s="101">
        <v>98</v>
      </c>
      <c r="B73" s="155">
        <f t="shared" si="11"/>
        <v>0.61403508771929827</v>
      </c>
      <c r="C73" s="155"/>
      <c r="D73" s="155"/>
      <c r="E73" s="155">
        <f t="shared" si="12"/>
        <v>0.60493827160493829</v>
      </c>
      <c r="F73" s="112" t="str">
        <f t="shared" si="8"/>
        <v>35-22</v>
      </c>
      <c r="G73" s="112"/>
    </row>
    <row r="74" spans="1:7" x14ac:dyDescent="0.25">
      <c r="A74" s="101">
        <v>99</v>
      </c>
      <c r="B74" s="155">
        <f t="shared" si="11"/>
        <v>0.63157894736842102</v>
      </c>
      <c r="C74" s="155"/>
      <c r="D74" s="155"/>
      <c r="E74" s="155">
        <f t="shared" si="12"/>
        <v>0.61111111111111116</v>
      </c>
      <c r="F74" s="112" t="str">
        <f t="shared" si="8"/>
        <v>36-21</v>
      </c>
      <c r="G74" s="112"/>
    </row>
    <row r="75" spans="1:7" x14ac:dyDescent="0.25">
      <c r="A75" s="101">
        <v>100</v>
      </c>
      <c r="B75" s="155">
        <f t="shared" si="11"/>
        <v>0.64912280701754388</v>
      </c>
      <c r="C75" s="155"/>
      <c r="D75" s="155"/>
      <c r="E75" s="155">
        <f t="shared" si="12"/>
        <v>0.61728395061728392</v>
      </c>
      <c r="F75" s="112" t="str">
        <f t="shared" si="8"/>
        <v>37-20</v>
      </c>
      <c r="G75" s="112"/>
    </row>
    <row r="76" spans="1:7" x14ac:dyDescent="0.25">
      <c r="A76" s="101">
        <v>101</v>
      </c>
      <c r="B76" s="155">
        <f t="shared" si="11"/>
        <v>0.66666666666666663</v>
      </c>
      <c r="C76" s="155"/>
      <c r="D76" s="155"/>
      <c r="E76" s="155">
        <f t="shared" si="12"/>
        <v>0.62345679012345678</v>
      </c>
      <c r="F76" s="112" t="str">
        <f t="shared" si="8"/>
        <v>38-19</v>
      </c>
      <c r="G76" s="112"/>
    </row>
    <row r="77" spans="1:7" x14ac:dyDescent="0.25">
      <c r="A77" s="101">
        <v>102</v>
      </c>
      <c r="B77" s="155">
        <f t="shared" si="11"/>
        <v>0.68421052631578949</v>
      </c>
      <c r="C77" s="155"/>
      <c r="D77" s="155"/>
      <c r="E77" s="155">
        <f t="shared" si="12"/>
        <v>0.62962962962962965</v>
      </c>
      <c r="F77" s="112" t="str">
        <f t="shared" si="8"/>
        <v>39-18</v>
      </c>
      <c r="G77" s="112"/>
    </row>
    <row r="78" spans="1:7" x14ac:dyDescent="0.25">
      <c r="A78" s="101">
        <v>103</v>
      </c>
      <c r="B78" s="155">
        <f t="shared" si="11"/>
        <v>0.70175438596491224</v>
      </c>
      <c r="C78" s="155"/>
      <c r="D78" s="155"/>
      <c r="E78" s="155">
        <f t="shared" si="12"/>
        <v>0.63580246913580252</v>
      </c>
      <c r="F78" s="112" t="str">
        <f t="shared" si="8"/>
        <v>40-17</v>
      </c>
      <c r="G78" s="112"/>
    </row>
    <row r="79" spans="1:7" x14ac:dyDescent="0.25">
      <c r="A79" s="101">
        <v>104</v>
      </c>
      <c r="B79" s="155">
        <f t="shared" si="11"/>
        <v>0.7192982456140351</v>
      </c>
      <c r="C79" s="155"/>
      <c r="D79" s="155"/>
      <c r="E79" s="155">
        <f t="shared" si="12"/>
        <v>0.64197530864197527</v>
      </c>
      <c r="F79" s="112" t="str">
        <f t="shared" si="8"/>
        <v>41-16</v>
      </c>
      <c r="G79" s="112"/>
    </row>
    <row r="80" spans="1:7" x14ac:dyDescent="0.25">
      <c r="A80" s="101">
        <v>105</v>
      </c>
      <c r="B80" s="155">
        <f t="shared" si="11"/>
        <v>0.73684210526315785</v>
      </c>
      <c r="C80" s="155"/>
      <c r="D80" s="155"/>
      <c r="E80" s="155">
        <f t="shared" si="12"/>
        <v>0.64814814814814814</v>
      </c>
      <c r="F80" s="112" t="str">
        <f t="shared" si="8"/>
        <v>42-15</v>
      </c>
      <c r="G80" s="112"/>
    </row>
    <row r="81" spans="1:7" x14ac:dyDescent="0.25">
      <c r="A81" s="101">
        <v>106</v>
      </c>
      <c r="B81" s="155">
        <f t="shared" si="11"/>
        <v>0.75438596491228072</v>
      </c>
      <c r="C81" s="155"/>
      <c r="D81" s="155"/>
      <c r="E81" s="155">
        <f t="shared" si="12"/>
        <v>0.65432098765432101</v>
      </c>
      <c r="F81" s="112" t="str">
        <f t="shared" si="8"/>
        <v>43-14</v>
      </c>
      <c r="G81" s="112"/>
    </row>
    <row r="82" spans="1:7" x14ac:dyDescent="0.25">
      <c r="A82" s="101">
        <v>107</v>
      </c>
      <c r="B82" s="155">
        <f t="shared" si="11"/>
        <v>0.77192982456140347</v>
      </c>
      <c r="C82" s="155"/>
      <c r="D82" s="155"/>
      <c r="E82" s="155">
        <f t="shared" si="12"/>
        <v>0.66049382716049387</v>
      </c>
      <c r="F82" s="112" t="str">
        <f t="shared" si="8"/>
        <v>44-13</v>
      </c>
      <c r="G82" s="112"/>
    </row>
    <row r="83" spans="1:7" x14ac:dyDescent="0.25">
      <c r="A83" s="101">
        <v>108</v>
      </c>
      <c r="B83" s="155">
        <f t="shared" si="11"/>
        <v>0.78947368421052633</v>
      </c>
      <c r="C83" s="155"/>
      <c r="D83" s="155"/>
      <c r="E83" s="155">
        <f t="shared" si="12"/>
        <v>0.66666666666666663</v>
      </c>
      <c r="F83" s="112" t="str">
        <f t="shared" si="8"/>
        <v>45-12</v>
      </c>
      <c r="G83" s="112"/>
    </row>
    <row r="84" spans="1:7" x14ac:dyDescent="0.25">
      <c r="A84" s="101">
        <v>109</v>
      </c>
      <c r="B84" s="155">
        <f t="shared" si="11"/>
        <v>0.80701754385964908</v>
      </c>
      <c r="C84" s="155"/>
      <c r="D84" s="155"/>
      <c r="E84" s="155">
        <f t="shared" si="12"/>
        <v>0.6728395061728395</v>
      </c>
      <c r="F84" s="112" t="str">
        <f t="shared" si="8"/>
        <v>46-11</v>
      </c>
      <c r="G84" s="112"/>
    </row>
    <row r="85" spans="1:7" x14ac:dyDescent="0.25">
      <c r="A85" s="101">
        <v>110</v>
      </c>
      <c r="B85" s="155">
        <f t="shared" si="11"/>
        <v>0.82456140350877194</v>
      </c>
      <c r="C85" s="155"/>
      <c r="D85" s="155"/>
      <c r="E85" s="155">
        <f t="shared" si="12"/>
        <v>0.67901234567901236</v>
      </c>
      <c r="F85" s="112" t="str">
        <f t="shared" si="8"/>
        <v>47-10</v>
      </c>
      <c r="G85" s="112"/>
    </row>
    <row r="86" spans="1:7" s="1" customFormat="1" x14ac:dyDescent="0.25">
      <c r="A86" s="1" t="s">
        <v>288</v>
      </c>
      <c r="B86" s="1" t="s">
        <v>289</v>
      </c>
      <c r="E86" s="1" t="s">
        <v>287</v>
      </c>
      <c r="F86" s="1" t="s">
        <v>294</v>
      </c>
    </row>
    <row r="87" spans="1:7" s="1" customFormat="1" x14ac:dyDescent="0.25">
      <c r="A87">
        <f t="shared" ref="A87:A96" si="13">ROUND($B$19+$B$28*B87,0)</f>
        <v>80</v>
      </c>
      <c r="B87" s="155">
        <v>0.3</v>
      </c>
      <c r="C87" s="155"/>
      <c r="D87" s="155"/>
      <c r="E87" s="155">
        <f t="shared" ref="E87:E96" si="14">A87/$B$18</f>
        <v>0.49382716049382713</v>
      </c>
      <c r="F87" s="112" t="str">
        <f t="shared" ref="F87:F96" si="15">IF(OR(A87&lt;$B$19,$B$19+$B$28&lt;A87),"-",(A87-$B$19)&amp;"-"&amp;($B$18-A87-$B$20))</f>
        <v>17-40</v>
      </c>
      <c r="G87" s="112"/>
    </row>
    <row r="88" spans="1:7" s="1" customFormat="1" x14ac:dyDescent="0.25">
      <c r="A88">
        <f t="shared" si="13"/>
        <v>81</v>
      </c>
      <c r="B88" s="155">
        <v>0.31</v>
      </c>
      <c r="C88" s="155"/>
      <c r="D88" s="155"/>
      <c r="E88" s="155">
        <f t="shared" si="14"/>
        <v>0.5</v>
      </c>
      <c r="F88" s="112" t="str">
        <f t="shared" si="15"/>
        <v>18-39</v>
      </c>
      <c r="G88" s="112"/>
    </row>
    <row r="89" spans="1:7" s="1" customFormat="1" x14ac:dyDescent="0.25">
      <c r="A89">
        <f t="shared" si="13"/>
        <v>81</v>
      </c>
      <c r="B89" s="155">
        <v>0.32</v>
      </c>
      <c r="C89" s="155"/>
      <c r="D89" s="155"/>
      <c r="E89" s="155">
        <f t="shared" si="14"/>
        <v>0.5</v>
      </c>
      <c r="F89" s="112" t="str">
        <f t="shared" si="15"/>
        <v>18-39</v>
      </c>
      <c r="G89" s="112"/>
    </row>
    <row r="90" spans="1:7" s="1" customFormat="1" x14ac:dyDescent="0.25">
      <c r="A90">
        <f t="shared" si="13"/>
        <v>82</v>
      </c>
      <c r="B90" s="155">
        <v>0.33</v>
      </c>
      <c r="C90" s="155"/>
      <c r="D90" s="155"/>
      <c r="E90" s="155">
        <f t="shared" si="14"/>
        <v>0.50617283950617287</v>
      </c>
      <c r="F90" s="112" t="str">
        <f t="shared" si="15"/>
        <v>19-38</v>
      </c>
      <c r="G90" s="112"/>
    </row>
    <row r="91" spans="1:7" s="1" customFormat="1" x14ac:dyDescent="0.25">
      <c r="A91">
        <f t="shared" si="13"/>
        <v>82</v>
      </c>
      <c r="B91" s="155">
        <v>0.34</v>
      </c>
      <c r="C91" s="155"/>
      <c r="D91" s="155"/>
      <c r="E91" s="155">
        <f t="shared" si="14"/>
        <v>0.50617283950617287</v>
      </c>
      <c r="F91" s="112" t="str">
        <f t="shared" si="15"/>
        <v>19-38</v>
      </c>
      <c r="G91" s="112"/>
    </row>
    <row r="92" spans="1:7" s="1" customFormat="1" x14ac:dyDescent="0.25">
      <c r="A92">
        <f t="shared" si="13"/>
        <v>83</v>
      </c>
      <c r="B92" s="155">
        <v>0.35</v>
      </c>
      <c r="C92" s="155"/>
      <c r="D92" s="155"/>
      <c r="E92" s="155">
        <f t="shared" si="14"/>
        <v>0.51234567901234573</v>
      </c>
      <c r="F92" s="112" t="str">
        <f t="shared" si="15"/>
        <v>20-37</v>
      </c>
      <c r="G92" s="112"/>
    </row>
    <row r="93" spans="1:7" s="1" customFormat="1" x14ac:dyDescent="0.25">
      <c r="A93">
        <f t="shared" si="13"/>
        <v>84</v>
      </c>
      <c r="B93" s="155">
        <v>0.36</v>
      </c>
      <c r="C93" s="155"/>
      <c r="D93" s="155"/>
      <c r="E93" s="155">
        <f t="shared" si="14"/>
        <v>0.51851851851851849</v>
      </c>
      <c r="F93" s="112" t="str">
        <f t="shared" si="15"/>
        <v>21-36</v>
      </c>
      <c r="G93" s="112"/>
    </row>
    <row r="94" spans="1:7" s="1" customFormat="1" x14ac:dyDescent="0.25">
      <c r="A94">
        <f t="shared" si="13"/>
        <v>84</v>
      </c>
      <c r="B94" s="155">
        <v>0.37</v>
      </c>
      <c r="C94" s="155"/>
      <c r="D94" s="155"/>
      <c r="E94" s="155">
        <f t="shared" si="14"/>
        <v>0.51851851851851849</v>
      </c>
      <c r="F94" s="112" t="str">
        <f t="shared" si="15"/>
        <v>21-36</v>
      </c>
      <c r="G94" s="112"/>
    </row>
    <row r="95" spans="1:7" s="1" customFormat="1" x14ac:dyDescent="0.25">
      <c r="A95">
        <f t="shared" si="13"/>
        <v>85</v>
      </c>
      <c r="B95" s="155">
        <v>0.38</v>
      </c>
      <c r="C95" s="155"/>
      <c r="D95" s="155"/>
      <c r="E95" s="155">
        <f t="shared" si="14"/>
        <v>0.52469135802469136</v>
      </c>
      <c r="F95" s="112" t="str">
        <f t="shared" si="15"/>
        <v>22-35</v>
      </c>
      <c r="G95" s="112"/>
    </row>
    <row r="96" spans="1:7" s="1" customFormat="1" x14ac:dyDescent="0.25">
      <c r="A96">
        <f t="shared" si="13"/>
        <v>85</v>
      </c>
      <c r="B96" s="155">
        <v>0.39</v>
      </c>
      <c r="C96" s="155"/>
      <c r="D96" s="155"/>
      <c r="E96" s="155">
        <f t="shared" si="14"/>
        <v>0.52469135802469136</v>
      </c>
      <c r="F96" s="112" t="str">
        <f t="shared" si="15"/>
        <v>22-35</v>
      </c>
      <c r="G96" s="112"/>
    </row>
    <row r="97" spans="1:7" x14ac:dyDescent="0.25">
      <c r="A97">
        <f>ROUND($B$19+$B$28*B97,0)</f>
        <v>86</v>
      </c>
      <c r="B97" s="155">
        <v>0.4</v>
      </c>
      <c r="C97" s="155"/>
      <c r="D97" s="155"/>
      <c r="E97" s="155">
        <f>A97/$B$18</f>
        <v>0.53086419753086422</v>
      </c>
      <c r="F97" s="112" t="str">
        <f t="shared" si="8"/>
        <v>23-34</v>
      </c>
      <c r="G97" s="112"/>
    </row>
    <row r="98" spans="1:7" x14ac:dyDescent="0.25">
      <c r="A98">
        <f>ROUND($B$19+$B$28*B98,0)</f>
        <v>86</v>
      </c>
      <c r="B98" s="155">
        <v>0.41</v>
      </c>
      <c r="C98" s="155"/>
      <c r="D98" s="155"/>
      <c r="E98" s="155">
        <f>A98/$B$18</f>
        <v>0.53086419753086422</v>
      </c>
      <c r="F98" s="112" t="str">
        <f t="shared" si="8"/>
        <v>23-34</v>
      </c>
      <c r="G98" s="112"/>
    </row>
    <row r="99" spans="1:7" x14ac:dyDescent="0.25">
      <c r="A99">
        <f t="shared" ref="A99:A108" si="16">ROUND($B$19+$B$28*B99,0)</f>
        <v>87</v>
      </c>
      <c r="B99" s="155">
        <v>0.42</v>
      </c>
      <c r="C99" s="155"/>
      <c r="D99" s="155"/>
      <c r="E99" s="155">
        <f t="shared" ref="E99:E108" si="17">A99/$B$18</f>
        <v>0.53703703703703709</v>
      </c>
      <c r="F99" s="112" t="str">
        <f t="shared" si="8"/>
        <v>24-33</v>
      </c>
      <c r="G99" s="112"/>
    </row>
    <row r="100" spans="1:7" x14ac:dyDescent="0.25">
      <c r="A100">
        <f t="shared" si="16"/>
        <v>88</v>
      </c>
      <c r="B100" s="155">
        <v>0.43</v>
      </c>
      <c r="C100" s="155"/>
      <c r="D100" s="155"/>
      <c r="E100" s="155">
        <f t="shared" si="17"/>
        <v>0.54320987654320985</v>
      </c>
      <c r="F100" s="112" t="str">
        <f t="shared" si="8"/>
        <v>25-32</v>
      </c>
      <c r="G100" s="112"/>
    </row>
    <row r="101" spans="1:7" x14ac:dyDescent="0.25">
      <c r="A101">
        <f t="shared" si="16"/>
        <v>88</v>
      </c>
      <c r="B101" s="155">
        <v>0.44</v>
      </c>
      <c r="C101" s="155"/>
      <c r="D101" s="155"/>
      <c r="E101" s="155">
        <f t="shared" si="17"/>
        <v>0.54320987654320985</v>
      </c>
      <c r="F101" s="112" t="str">
        <f t="shared" si="8"/>
        <v>25-32</v>
      </c>
      <c r="G101" s="112"/>
    </row>
    <row r="102" spans="1:7" x14ac:dyDescent="0.25">
      <c r="A102">
        <f t="shared" si="16"/>
        <v>89</v>
      </c>
      <c r="B102" s="155">
        <v>0.45</v>
      </c>
      <c r="C102" s="155"/>
      <c r="D102" s="155"/>
      <c r="E102" s="155">
        <f t="shared" si="17"/>
        <v>0.54938271604938271</v>
      </c>
      <c r="F102" s="112" t="str">
        <f t="shared" si="8"/>
        <v>26-31</v>
      </c>
      <c r="G102" s="112"/>
    </row>
    <row r="103" spans="1:7" x14ac:dyDescent="0.25">
      <c r="A103">
        <f t="shared" si="16"/>
        <v>89</v>
      </c>
      <c r="B103" s="155">
        <v>0.46</v>
      </c>
      <c r="C103" s="155"/>
      <c r="D103" s="155"/>
      <c r="E103" s="155">
        <f t="shared" si="17"/>
        <v>0.54938271604938271</v>
      </c>
      <c r="F103" s="112" t="str">
        <f t="shared" si="8"/>
        <v>26-31</v>
      </c>
      <c r="G103" s="112"/>
    </row>
    <row r="104" spans="1:7" x14ac:dyDescent="0.25">
      <c r="A104">
        <f t="shared" si="16"/>
        <v>90</v>
      </c>
      <c r="B104" s="155">
        <v>0.47</v>
      </c>
      <c r="C104" s="155"/>
      <c r="D104" s="155"/>
      <c r="E104" s="155">
        <f t="shared" si="17"/>
        <v>0.55555555555555558</v>
      </c>
      <c r="F104" s="112" t="str">
        <f t="shared" si="8"/>
        <v>27-30</v>
      </c>
      <c r="G104" s="112"/>
    </row>
    <row r="105" spans="1:7" x14ac:dyDescent="0.25">
      <c r="A105">
        <f t="shared" si="16"/>
        <v>90</v>
      </c>
      <c r="B105" s="155">
        <v>0.48</v>
      </c>
      <c r="C105" s="155"/>
      <c r="D105" s="155"/>
      <c r="E105" s="155">
        <f t="shared" si="17"/>
        <v>0.55555555555555558</v>
      </c>
      <c r="F105" s="112" t="str">
        <f t="shared" si="8"/>
        <v>27-30</v>
      </c>
      <c r="G105" s="112"/>
    </row>
    <row r="106" spans="1:7" x14ac:dyDescent="0.25">
      <c r="A106">
        <f t="shared" si="16"/>
        <v>91</v>
      </c>
      <c r="B106" s="155">
        <v>0.49</v>
      </c>
      <c r="C106" s="155"/>
      <c r="D106" s="155"/>
      <c r="E106" s="155">
        <f t="shared" si="17"/>
        <v>0.56172839506172845</v>
      </c>
      <c r="F106" s="112" t="str">
        <f t="shared" si="8"/>
        <v>28-29</v>
      </c>
      <c r="G106" s="112"/>
    </row>
    <row r="107" spans="1:7" x14ac:dyDescent="0.25">
      <c r="A107">
        <f t="shared" si="16"/>
        <v>92</v>
      </c>
      <c r="B107" s="155">
        <v>0.5</v>
      </c>
      <c r="C107" s="155"/>
      <c r="D107" s="155"/>
      <c r="E107" s="155">
        <f t="shared" si="17"/>
        <v>0.5679012345679012</v>
      </c>
      <c r="F107" s="112" t="str">
        <f t="shared" si="8"/>
        <v>29-28</v>
      </c>
      <c r="G107" s="112"/>
    </row>
    <row r="108" spans="1:7" x14ac:dyDescent="0.25">
      <c r="A108">
        <f t="shared" si="16"/>
        <v>92</v>
      </c>
      <c r="B108" s="155">
        <v>0.50999999999999901</v>
      </c>
      <c r="C108" s="155"/>
      <c r="D108" s="155"/>
      <c r="E108" s="155">
        <f t="shared" si="17"/>
        <v>0.5679012345679012</v>
      </c>
      <c r="F108" s="112" t="str">
        <f t="shared" si="8"/>
        <v>29-28</v>
      </c>
      <c r="G108" s="112"/>
    </row>
    <row r="109" spans="1:7" x14ac:dyDescent="0.25">
      <c r="A109">
        <f>ROUND($B$19+$B$28*B109,0)</f>
        <v>93</v>
      </c>
      <c r="B109" s="155">
        <v>0.51999999999999902</v>
      </c>
      <c r="C109" s="155"/>
      <c r="D109" s="155"/>
      <c r="E109" s="155">
        <f>A109/$B$18</f>
        <v>0.57407407407407407</v>
      </c>
      <c r="F109" s="112" t="str">
        <f t="shared" ref="F109:F127" si="18">IF(OR(A109&lt;$B$19,$B$19+$B$28&lt;A109),"-",(A109-$B$19)&amp;"-"&amp;($B$18-A109-$B$20))</f>
        <v>30-27</v>
      </c>
      <c r="G109" s="112"/>
    </row>
    <row r="110" spans="1:7" x14ac:dyDescent="0.25">
      <c r="A110">
        <f>ROUND($B$19+$B$28*B110,0)</f>
        <v>93</v>
      </c>
      <c r="B110" s="155">
        <v>0.52999999999999903</v>
      </c>
      <c r="C110" s="155"/>
      <c r="D110" s="155"/>
      <c r="E110" s="155">
        <f>A110/$B$18</f>
        <v>0.57407407407407407</v>
      </c>
      <c r="F110" s="112" t="str">
        <f t="shared" si="18"/>
        <v>30-27</v>
      </c>
      <c r="G110" s="112"/>
    </row>
    <row r="111" spans="1:7" x14ac:dyDescent="0.25">
      <c r="A111">
        <f t="shared" ref="A111:A114" si="19">ROUND($B$19+$B$28*B111,0)</f>
        <v>94</v>
      </c>
      <c r="B111" s="155">
        <v>0.53999999999999904</v>
      </c>
      <c r="C111" s="155"/>
      <c r="D111" s="155"/>
      <c r="E111" s="155">
        <f t="shared" ref="E111:E114" si="20">A111/$B$18</f>
        <v>0.58024691358024694</v>
      </c>
      <c r="F111" s="112" t="str">
        <f t="shared" si="18"/>
        <v>31-26</v>
      </c>
      <c r="G111" s="112"/>
    </row>
    <row r="112" spans="1:7" x14ac:dyDescent="0.25">
      <c r="A112">
        <f t="shared" si="19"/>
        <v>94</v>
      </c>
      <c r="B112" s="155">
        <v>0.54999999999999905</v>
      </c>
      <c r="C112" s="155"/>
      <c r="D112" s="155"/>
      <c r="E112" s="155">
        <f t="shared" si="20"/>
        <v>0.58024691358024694</v>
      </c>
      <c r="F112" s="112" t="str">
        <f t="shared" si="18"/>
        <v>31-26</v>
      </c>
      <c r="G112" s="112"/>
    </row>
    <row r="113" spans="1:7" x14ac:dyDescent="0.25">
      <c r="A113">
        <f t="shared" si="19"/>
        <v>95</v>
      </c>
      <c r="B113" s="155">
        <v>0.55999999999999905</v>
      </c>
      <c r="C113" s="155"/>
      <c r="D113" s="155"/>
      <c r="E113" s="155">
        <f t="shared" si="20"/>
        <v>0.5864197530864198</v>
      </c>
      <c r="F113" s="112" t="str">
        <f t="shared" si="18"/>
        <v>32-25</v>
      </c>
      <c r="G113" s="112"/>
    </row>
    <row r="114" spans="1:7" x14ac:dyDescent="0.25">
      <c r="A114">
        <f t="shared" si="19"/>
        <v>95</v>
      </c>
      <c r="B114" s="155">
        <v>0.56999999999999895</v>
      </c>
      <c r="C114" s="155"/>
      <c r="D114" s="155"/>
      <c r="E114" s="155">
        <f t="shared" si="20"/>
        <v>0.5864197530864198</v>
      </c>
      <c r="F114" s="112" t="str">
        <f t="shared" si="18"/>
        <v>32-25</v>
      </c>
      <c r="G114" s="112"/>
    </row>
    <row r="115" spans="1:7" x14ac:dyDescent="0.25">
      <c r="A115">
        <f>ROUND($B$19+$B$28*B115,0)</f>
        <v>96</v>
      </c>
      <c r="B115" s="155">
        <v>0.57999999999999896</v>
      </c>
      <c r="C115" s="155"/>
      <c r="D115" s="155"/>
      <c r="E115" s="155">
        <f>A115/$B$18</f>
        <v>0.59259259259259256</v>
      </c>
      <c r="F115" s="112" t="str">
        <f t="shared" si="18"/>
        <v>33-24</v>
      </c>
      <c r="G115" s="112"/>
    </row>
    <row r="116" spans="1:7" x14ac:dyDescent="0.25">
      <c r="A116">
        <f>ROUND($B$19+$B$28*B116,0)</f>
        <v>97</v>
      </c>
      <c r="B116" s="155">
        <v>0.58999999999999897</v>
      </c>
      <c r="C116" s="155"/>
      <c r="D116" s="155"/>
      <c r="E116" s="155">
        <f>A116/$B$18</f>
        <v>0.59876543209876543</v>
      </c>
      <c r="F116" s="112" t="str">
        <f t="shared" si="18"/>
        <v>34-23</v>
      </c>
      <c r="G116" s="112"/>
    </row>
    <row r="117" spans="1:7" x14ac:dyDescent="0.25">
      <c r="A117">
        <f t="shared" ref="A117:A120" si="21">ROUND($B$19+$B$28*B117,0)</f>
        <v>97</v>
      </c>
      <c r="B117" s="155">
        <v>0.59999999999999898</v>
      </c>
      <c r="C117" s="155"/>
      <c r="D117" s="155"/>
      <c r="E117" s="155">
        <f t="shared" ref="E117:E120" si="22">A117/$B$18</f>
        <v>0.59876543209876543</v>
      </c>
      <c r="F117" s="112" t="str">
        <f t="shared" si="18"/>
        <v>34-23</v>
      </c>
      <c r="G117" s="112"/>
    </row>
    <row r="118" spans="1:7" x14ac:dyDescent="0.25">
      <c r="A118">
        <f t="shared" si="21"/>
        <v>98</v>
      </c>
      <c r="B118" s="155">
        <v>0.60999999999999899</v>
      </c>
      <c r="C118" s="155"/>
      <c r="D118" s="155"/>
      <c r="E118" s="155">
        <f t="shared" si="22"/>
        <v>0.60493827160493829</v>
      </c>
      <c r="F118" s="112" t="str">
        <f t="shared" si="18"/>
        <v>35-22</v>
      </c>
      <c r="G118" s="112"/>
    </row>
    <row r="119" spans="1:7" x14ac:dyDescent="0.25">
      <c r="A119">
        <f t="shared" si="21"/>
        <v>98</v>
      </c>
      <c r="B119" s="155">
        <v>0.619999999999999</v>
      </c>
      <c r="C119" s="155"/>
      <c r="D119" s="155"/>
      <c r="E119" s="155">
        <f t="shared" si="22"/>
        <v>0.60493827160493829</v>
      </c>
      <c r="F119" s="112" t="str">
        <f t="shared" si="18"/>
        <v>35-22</v>
      </c>
      <c r="G119" s="112"/>
    </row>
    <row r="120" spans="1:7" x14ac:dyDescent="0.25">
      <c r="A120">
        <f t="shared" si="21"/>
        <v>99</v>
      </c>
      <c r="B120" s="155">
        <v>0.62999999999999901</v>
      </c>
      <c r="C120" s="155"/>
      <c r="D120" s="155"/>
      <c r="E120" s="155">
        <f t="shared" si="22"/>
        <v>0.61111111111111116</v>
      </c>
      <c r="F120" s="112" t="str">
        <f t="shared" si="18"/>
        <v>36-21</v>
      </c>
      <c r="G120" s="112"/>
    </row>
    <row r="121" spans="1:7" x14ac:dyDescent="0.25">
      <c r="A121">
        <f>ROUND($B$19+$B$28*B121,0)</f>
        <v>99</v>
      </c>
      <c r="B121" s="155">
        <v>0.63999999999999901</v>
      </c>
      <c r="C121" s="155"/>
      <c r="D121" s="155"/>
      <c r="E121" s="155">
        <f>A121/$B$18</f>
        <v>0.61111111111111116</v>
      </c>
      <c r="F121" s="112" t="str">
        <f t="shared" si="18"/>
        <v>36-21</v>
      </c>
      <c r="G121" s="112"/>
    </row>
    <row r="122" spans="1:7" x14ac:dyDescent="0.25">
      <c r="A122">
        <f>ROUND($B$19+$B$28*B122,0)</f>
        <v>100</v>
      </c>
      <c r="B122" s="155">
        <v>0.64999999999999902</v>
      </c>
      <c r="C122" s="155"/>
      <c r="D122" s="155"/>
      <c r="E122" s="155">
        <f>A122/$B$18</f>
        <v>0.61728395061728392</v>
      </c>
      <c r="F122" s="112" t="str">
        <f t="shared" si="18"/>
        <v>37-20</v>
      </c>
      <c r="G122" s="112"/>
    </row>
    <row r="123" spans="1:7" x14ac:dyDescent="0.25">
      <c r="A123">
        <f t="shared" ref="A123:A126" si="23">ROUND($B$19+$B$28*B123,0)</f>
        <v>101</v>
      </c>
      <c r="B123" s="155">
        <v>0.65999999999999903</v>
      </c>
      <c r="C123" s="155"/>
      <c r="D123" s="155"/>
      <c r="E123" s="155">
        <f t="shared" ref="E123:E126" si="24">A123/$B$18</f>
        <v>0.62345679012345678</v>
      </c>
      <c r="F123" s="112" t="str">
        <f t="shared" si="18"/>
        <v>38-19</v>
      </c>
      <c r="G123" s="112"/>
    </row>
    <row r="124" spans="1:7" x14ac:dyDescent="0.25">
      <c r="A124">
        <f t="shared" si="23"/>
        <v>101</v>
      </c>
      <c r="B124" s="155">
        <v>0.66999999999999904</v>
      </c>
      <c r="C124" s="155"/>
      <c r="D124" s="155"/>
      <c r="E124" s="155">
        <f t="shared" si="24"/>
        <v>0.62345679012345678</v>
      </c>
      <c r="F124" s="112" t="str">
        <f t="shared" si="18"/>
        <v>38-19</v>
      </c>
      <c r="G124" s="112"/>
    </row>
    <row r="125" spans="1:7" x14ac:dyDescent="0.25">
      <c r="A125">
        <f t="shared" si="23"/>
        <v>102</v>
      </c>
      <c r="B125" s="155">
        <v>0.67999999999999905</v>
      </c>
      <c r="C125" s="155"/>
      <c r="D125" s="155"/>
      <c r="E125" s="155">
        <f t="shared" si="24"/>
        <v>0.62962962962962965</v>
      </c>
      <c r="F125" s="112" t="str">
        <f t="shared" si="18"/>
        <v>39-18</v>
      </c>
      <c r="G125" s="112"/>
    </row>
    <row r="126" spans="1:7" x14ac:dyDescent="0.25">
      <c r="A126">
        <f t="shared" si="23"/>
        <v>102</v>
      </c>
      <c r="B126" s="155">
        <v>0.68999999999999895</v>
      </c>
      <c r="C126" s="155"/>
      <c r="D126" s="155"/>
      <c r="E126" s="155">
        <f t="shared" si="24"/>
        <v>0.62962962962962965</v>
      </c>
      <c r="F126" s="112" t="str">
        <f t="shared" si="18"/>
        <v>39-18</v>
      </c>
      <c r="G126" s="112"/>
    </row>
    <row r="127" spans="1:7" x14ac:dyDescent="0.25">
      <c r="A127">
        <f>ROUND($B$19+$B$28*B127,0)</f>
        <v>103</v>
      </c>
      <c r="B127" s="155">
        <v>0.69999999999999896</v>
      </c>
      <c r="C127" s="155"/>
      <c r="D127" s="155"/>
      <c r="E127" s="155">
        <f>A127/$B$18</f>
        <v>0.63580246913580252</v>
      </c>
      <c r="F127" s="112" t="str">
        <f t="shared" si="18"/>
        <v>40-17</v>
      </c>
      <c r="G127" s="112"/>
    </row>
  </sheetData>
  <mergeCells count="4">
    <mergeCell ref="A2:B2"/>
    <mergeCell ref="E2:F2"/>
    <mergeCell ref="H2:I2"/>
    <mergeCell ref="J2:K2"/>
  </mergeCells>
  <hyperlinks>
    <hyperlink ref="A13" r:id="rId1" display="http://www.pebabaseball.com/reports/news/html/players/player_11143.html" xr:uid="{00000000-0004-0000-0600-000000000000}"/>
    <hyperlink ref="A14" r:id="rId2" display="http://www.pebabaseball.com/reports/news/html/players/player_9745.html" xr:uid="{00000000-0004-0000-0600-000001000000}"/>
    <hyperlink ref="A15" r:id="rId3" display="http://www.pebabaseball.com/reports/news/html/players/player_334.html" xr:uid="{00000000-0004-0000-0600-000002000000}"/>
    <hyperlink ref="A16" r:id="rId4" display="http://www.pebabaseball.com/reports/news/html/players/player_2252.html" xr:uid="{00000000-0004-0000-0600-000003000000}"/>
    <hyperlink ref="A17" r:id="rId5" display="http://www.pebabaseball.com/reports/news/html/players/player_4374.html" xr:uid="{00000000-0004-0000-0600-000004000000}"/>
  </hyperlinks>
  <pageMargins left="0.7" right="0.7" top="0.75" bottom="0.75" header="0.3" footer="0.3"/>
  <pageSetup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Sheet2">
    <tabColor theme="9"/>
  </sheetPr>
  <dimension ref="A1:W57"/>
  <sheetViews>
    <sheetView workbookViewId="0">
      <pane xSplit="1" topLeftCell="B1" activePane="topRight" state="frozenSplit"/>
      <selection pane="topRight" activeCell="G15" sqref="G15"/>
    </sheetView>
  </sheetViews>
  <sheetFormatPr defaultRowHeight="15" x14ac:dyDescent="0.25"/>
  <cols>
    <col min="1" max="1" width="4.140625" style="112" bestFit="1" customWidth="1"/>
    <col min="2" max="2" width="20.140625" style="112" bestFit="1" customWidth="1"/>
    <col min="3" max="3" width="4.5703125" style="112" bestFit="1" customWidth="1"/>
    <col min="4" max="4" width="8.85546875" style="112" bestFit="1" customWidth="1"/>
    <col min="5" max="5" width="4.42578125" style="112" bestFit="1" customWidth="1"/>
    <col min="6" max="6" width="6.42578125" style="112" bestFit="1" customWidth="1"/>
    <col min="7" max="10" width="20.140625" style="112" bestFit="1" customWidth="1"/>
    <col min="11" max="11" width="16" style="112" customWidth="1"/>
    <col min="12" max="12" width="13.140625" style="112" bestFit="1" customWidth="1"/>
    <col min="13" max="13" width="48.140625" style="132" customWidth="1"/>
    <col min="14" max="14" width="5.42578125" style="112" bestFit="1" customWidth="1"/>
    <col min="15" max="15" width="5.85546875" style="112" bestFit="1" customWidth="1"/>
    <col min="16" max="16" width="5.7109375" style="112" bestFit="1" customWidth="1"/>
    <col min="17" max="17" width="13.140625" style="112" bestFit="1" customWidth="1"/>
    <col min="18" max="18" width="77.7109375" style="132" customWidth="1"/>
    <col min="19" max="19" width="5.42578125" style="112" bestFit="1" customWidth="1"/>
    <col min="20" max="20" width="5.85546875" style="112" bestFit="1" customWidth="1"/>
    <col min="21" max="21" width="5.7109375" style="112" bestFit="1" customWidth="1"/>
    <col min="22" max="22" width="9.140625" style="112"/>
    <col min="23" max="23" width="4.140625" style="112" bestFit="1" customWidth="1"/>
  </cols>
  <sheetData>
    <row r="1" spans="1:23" x14ac:dyDescent="0.25">
      <c r="B1" s="112">
        <v>2</v>
      </c>
      <c r="C1" s="112">
        <v>36</v>
      </c>
      <c r="D1" s="112">
        <v>4</v>
      </c>
      <c r="E1" s="112">
        <v>2</v>
      </c>
    </row>
    <row r="2" spans="1:23" s="1" customForma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418" t="s">
        <v>298</v>
      </c>
      <c r="M2" s="419"/>
      <c r="N2" s="419"/>
      <c r="O2" s="419"/>
      <c r="P2" s="420"/>
      <c r="Q2" s="418" t="s">
        <v>299</v>
      </c>
      <c r="R2" s="419"/>
      <c r="S2" s="419"/>
      <c r="T2" s="419"/>
      <c r="U2" s="420"/>
      <c r="V2" s="115" t="s">
        <v>222</v>
      </c>
      <c r="W2" s="113"/>
    </row>
    <row r="3" spans="1:23" s="1" customFormat="1" x14ac:dyDescent="0.25">
      <c r="A3" s="114" t="s">
        <v>97</v>
      </c>
      <c r="B3" s="126">
        <f>MIN(Payroll!F2:O2)</f>
        <v>2034</v>
      </c>
      <c r="C3" s="127" t="s">
        <v>208</v>
      </c>
      <c r="D3" s="128" t="s">
        <v>297</v>
      </c>
      <c r="E3" s="128" t="s">
        <v>70</v>
      </c>
      <c r="F3" s="128" t="s">
        <v>207</v>
      </c>
      <c r="G3" s="127">
        <f>B3+1</f>
        <v>2035</v>
      </c>
      <c r="H3" s="126">
        <f>G3+1</f>
        <v>2036</v>
      </c>
      <c r="I3" s="126">
        <f>H3+1</f>
        <v>2037</v>
      </c>
      <c r="J3" s="128">
        <f>I3+1</f>
        <v>2038</v>
      </c>
      <c r="K3" s="114" t="s">
        <v>293</v>
      </c>
      <c r="L3" s="123" t="s">
        <v>215</v>
      </c>
      <c r="M3" s="129" t="s">
        <v>210</v>
      </c>
      <c r="N3" s="116" t="s">
        <v>211</v>
      </c>
      <c r="O3" s="116" t="s">
        <v>212</v>
      </c>
      <c r="P3" s="117" t="s">
        <v>214</v>
      </c>
      <c r="Q3" s="123" t="s">
        <v>215</v>
      </c>
      <c r="R3" s="129" t="s">
        <v>210</v>
      </c>
      <c r="S3" s="116" t="s">
        <v>211</v>
      </c>
      <c r="T3" s="116" t="s">
        <v>212</v>
      </c>
      <c r="U3" s="117" t="s">
        <v>213</v>
      </c>
      <c r="V3" s="118" t="s">
        <v>214</v>
      </c>
      <c r="W3" s="114" t="s">
        <v>97</v>
      </c>
    </row>
    <row r="4" spans="1:23" x14ac:dyDescent="0.25">
      <c r="A4" s="92" t="s">
        <v>71</v>
      </c>
      <c r="B4" s="119" t="str">
        <f>VLOOKUP($A4,AMA!$B$2:$AZ$24,B$1,FALSE)</f>
        <v>Cesar Salgado</v>
      </c>
      <c r="C4" s="195" t="e">
        <f>VLOOKUP($A4,AMA!$B$2:$AZ$24,C$1,FALSE)</f>
        <v>#N/A</v>
      </c>
      <c r="D4" s="207" t="e">
        <f>VLOOKUP($A4,AMA!$T$27:$X$34,D$1,FALSE)&amp;" / "&amp;VLOOKUP($A4,AMA!$T$27:$X$34,D$1+1,FALSE)</f>
        <v>#N/A</v>
      </c>
      <c r="E4" s="208" t="e">
        <f>VLOOKUP(B4,AMA!$C$2:$D$24,$E$1,FALSE)</f>
        <v>#N/A</v>
      </c>
      <c r="F4" s="120"/>
      <c r="G4" s="172"/>
      <c r="H4" s="145"/>
      <c r="I4" s="145"/>
      <c r="J4" s="193"/>
      <c r="K4" s="92"/>
      <c r="L4" s="124" t="s">
        <v>218</v>
      </c>
      <c r="M4" s="130"/>
      <c r="N4" s="119">
        <f>IF(M4="",0,LEN(M4)-LEN(SUBSTITUTE(M4,",",""))+1)</f>
        <v>0</v>
      </c>
      <c r="O4" s="119">
        <v>1</v>
      </c>
      <c r="P4" s="120">
        <f>N4-O4</f>
        <v>-1</v>
      </c>
      <c r="Q4" s="124" t="s">
        <v>216</v>
      </c>
      <c r="R4" s="130"/>
      <c r="S4" s="119">
        <f>IF(R4="",0,LEN(R4)-LEN(SUBSTITUTE(R4,",",""))+1)</f>
        <v>0</v>
      </c>
      <c r="T4" s="119">
        <v>2</v>
      </c>
      <c r="U4" s="120">
        <f>S4-T4</f>
        <v>-2</v>
      </c>
      <c r="V4" s="92">
        <f>MIN(P4,P4+U4)</f>
        <v>-3</v>
      </c>
      <c r="W4" s="92" t="s">
        <v>71</v>
      </c>
    </row>
    <row r="5" spans="1:23" x14ac:dyDescent="0.25">
      <c r="A5" s="92" t="s">
        <v>73</v>
      </c>
      <c r="B5" s="145" t="str">
        <f>VLOOKUP($A5,AMA!$B$2:$AZ$24,B$1,FALSE)</f>
        <v>Norberto Escamilla</v>
      </c>
      <c r="C5" s="195">
        <f>VLOOKUP($A5,AMA!$B$2:$AZ$24,C$1,FALSE)</f>
        <v>6.75</v>
      </c>
      <c r="D5" s="119" t="str">
        <f>VLOOKUP($A5,AMA!$T$27:$X$34,D$1,FALSE)&amp;" / "&amp;VLOOKUP($A5,AMA!$T$27:$X$34,D$1+1,FALSE)</f>
        <v>8 / 3</v>
      </c>
      <c r="E5" s="120">
        <f>VLOOKUP(B5,AMA!$C$2:$D$24,$E$1,FALSE)</f>
        <v>30</v>
      </c>
      <c r="F5" s="120"/>
      <c r="G5" s="172"/>
      <c r="H5" s="145"/>
      <c r="I5" s="145"/>
      <c r="J5" s="193"/>
      <c r="K5" s="92"/>
      <c r="L5" s="124" t="s">
        <v>32</v>
      </c>
      <c r="M5" s="130"/>
      <c r="N5" s="119">
        <f t="shared" ref="N5:N11" si="0">IF(M5="",0,LEN(M5)-LEN(SUBSTITUTE(M5,",",""))+1)</f>
        <v>0</v>
      </c>
      <c r="O5" s="119">
        <v>1</v>
      </c>
      <c r="P5" s="120">
        <f t="shared" ref="P5:P12" si="1">N5-O5</f>
        <v>-1</v>
      </c>
      <c r="Q5" s="124" t="s">
        <v>304</v>
      </c>
      <c r="R5" s="130"/>
      <c r="S5" s="119">
        <f t="shared" ref="S5:S11" si="2">IF(R5="",0,LEN(R5)-LEN(SUBSTITUTE(R5,",",""))+1)</f>
        <v>0</v>
      </c>
      <c r="T5" s="119">
        <v>1</v>
      </c>
      <c r="U5" s="120">
        <f t="shared" ref="U5:U12" si="3">S5-T5</f>
        <v>-1</v>
      </c>
      <c r="V5" s="92">
        <f t="shared" ref="V5:V12" si="4">MIN(P5,P5+U5)</f>
        <v>-2</v>
      </c>
      <c r="W5" s="92" t="s">
        <v>73</v>
      </c>
    </row>
    <row r="6" spans="1:23" x14ac:dyDescent="0.25">
      <c r="A6" s="92" t="s">
        <v>74</v>
      </c>
      <c r="B6" s="145" t="str">
        <f>VLOOKUP($A6,AMA!$B$2:$AZ$24,B$1,FALSE)</f>
        <v>Nikolay Rusanovsky</v>
      </c>
      <c r="C6" s="195">
        <f>VLOOKUP($A6,AMA!$B$2:$AZ$24,C$1,FALSE)</f>
        <v>6.166666666666667</v>
      </c>
      <c r="D6" s="119" t="str">
        <f>VLOOKUP($A6,AMA!$T$27:$X$34,D$1,FALSE)&amp;" / "&amp;VLOOKUP($A6,AMA!$T$27:$X$34,D$1+1,FALSE)</f>
        <v>6 / 7</v>
      </c>
      <c r="E6" s="120">
        <f>VLOOKUP(B6,AMA!$C$2:$D$24,$E$1,FALSE)</f>
        <v>27</v>
      </c>
      <c r="F6" s="120"/>
      <c r="G6" s="172"/>
      <c r="H6" s="145"/>
      <c r="I6" s="145"/>
      <c r="J6" s="193"/>
      <c r="K6" s="92"/>
      <c r="L6" s="124" t="s">
        <v>223</v>
      </c>
      <c r="M6" s="130"/>
      <c r="N6" s="119">
        <f t="shared" si="0"/>
        <v>0</v>
      </c>
      <c r="O6" s="119">
        <v>1</v>
      </c>
      <c r="P6" s="120">
        <f t="shared" si="1"/>
        <v>-1</v>
      </c>
      <c r="Q6" s="124" t="s">
        <v>223</v>
      </c>
      <c r="R6" s="130"/>
      <c r="S6" s="119">
        <f t="shared" si="2"/>
        <v>0</v>
      </c>
      <c r="T6" s="119">
        <v>2</v>
      </c>
      <c r="U6" s="120">
        <f t="shared" si="3"/>
        <v>-2</v>
      </c>
      <c r="V6" s="92">
        <f t="shared" si="4"/>
        <v>-3</v>
      </c>
      <c r="W6" s="92" t="s">
        <v>74</v>
      </c>
    </row>
    <row r="7" spans="1:23" x14ac:dyDescent="0.25">
      <c r="A7" s="92" t="s">
        <v>75</v>
      </c>
      <c r="B7" s="145" t="str">
        <f>VLOOKUP($A7,AMA!$B$2:$AZ$24,B$1,FALSE)</f>
        <v>Lindsay Durrington</v>
      </c>
      <c r="C7" s="195">
        <f>VLOOKUP($A7,AMA!$B$2:$AZ$24,C$1,FALSE)</f>
        <v>4.833333333333333</v>
      </c>
      <c r="D7" s="119" t="str">
        <f>VLOOKUP($A7,AMA!$T$27:$X$34,D$1,FALSE)&amp;" / "&amp;VLOOKUP($A7,AMA!$T$27:$X$34,D$1+1,FALSE)</f>
        <v>7 / 10</v>
      </c>
      <c r="E7" s="120">
        <f>VLOOKUP(B7,AMA!$C$2:$D$24,$E$1,FALSE)</f>
        <v>25</v>
      </c>
      <c r="F7" s="120"/>
      <c r="G7" s="172" t="s">
        <v>450</v>
      </c>
      <c r="H7" s="145" t="s">
        <v>450</v>
      </c>
      <c r="I7" s="145" t="s">
        <v>450</v>
      </c>
      <c r="J7" s="193" t="s">
        <v>450</v>
      </c>
      <c r="K7" s="92"/>
      <c r="L7" s="124" t="s">
        <v>218</v>
      </c>
      <c r="M7" s="130"/>
      <c r="N7" s="119">
        <f t="shared" si="0"/>
        <v>0</v>
      </c>
      <c r="O7" s="119">
        <v>1</v>
      </c>
      <c r="P7" s="120">
        <f t="shared" si="1"/>
        <v>-1</v>
      </c>
      <c r="Q7" s="124" t="s">
        <v>224</v>
      </c>
      <c r="R7" s="130"/>
      <c r="S7" s="119">
        <f t="shared" si="2"/>
        <v>0</v>
      </c>
      <c r="T7" s="119">
        <v>2</v>
      </c>
      <c r="U7" s="120">
        <f t="shared" si="3"/>
        <v>-2</v>
      </c>
      <c r="V7" s="92">
        <f t="shared" si="4"/>
        <v>-3</v>
      </c>
      <c r="W7" s="92" t="s">
        <v>75</v>
      </c>
    </row>
    <row r="8" spans="1:23" x14ac:dyDescent="0.25">
      <c r="A8" s="92" t="s">
        <v>76</v>
      </c>
      <c r="B8" s="145" t="str">
        <f>VLOOKUP($A8,AMA!$B$2:$AZ$24,B$1,FALSE)</f>
        <v>Dmitri Hill</v>
      </c>
      <c r="C8" s="195">
        <f>VLOOKUP($A8,AMA!$B$2:$AZ$24,C$1,FALSE)</f>
        <v>3.833333333333333</v>
      </c>
      <c r="D8" s="119" t="str">
        <f>VLOOKUP($A8,AMA!$T$27:$X$34,D$1,FALSE)&amp;" / "&amp;VLOOKUP($A8,AMA!$T$27:$X$34,D$1+1,FALSE)</f>
        <v>7 / 10</v>
      </c>
      <c r="E8" s="120">
        <f>VLOOKUP(B8,AMA!$C$2:$D$24,$E$1,FALSE)</f>
        <v>36</v>
      </c>
      <c r="F8" s="120"/>
      <c r="G8" s="172"/>
      <c r="H8" s="145"/>
      <c r="I8" s="145"/>
      <c r="J8" s="193"/>
      <c r="K8" s="92"/>
      <c r="L8" s="124" t="s">
        <v>219</v>
      </c>
      <c r="M8" s="130"/>
      <c r="N8" s="119">
        <f t="shared" si="0"/>
        <v>0</v>
      </c>
      <c r="O8" s="119">
        <v>1</v>
      </c>
      <c r="P8" s="120">
        <f t="shared" si="1"/>
        <v>-1</v>
      </c>
      <c r="Q8" s="124" t="s">
        <v>217</v>
      </c>
      <c r="R8" s="130"/>
      <c r="S8" s="119">
        <f t="shared" si="2"/>
        <v>0</v>
      </c>
      <c r="T8" s="119">
        <v>2</v>
      </c>
      <c r="U8" s="120">
        <f t="shared" si="3"/>
        <v>-2</v>
      </c>
      <c r="V8" s="92">
        <f t="shared" si="4"/>
        <v>-3</v>
      </c>
      <c r="W8" s="92" t="s">
        <v>76</v>
      </c>
    </row>
    <row r="9" spans="1:23" x14ac:dyDescent="0.25">
      <c r="A9" s="92" t="s">
        <v>77</v>
      </c>
      <c r="B9" s="145" t="str">
        <f>VLOOKUP($A9,AMA!$B$2:$AZ$24,B$1,FALSE)</f>
        <v>Roberto Martinez</v>
      </c>
      <c r="C9" s="195" t="e">
        <f>VLOOKUP($A9,AMA!$B$2:$AZ$24,C$1,FALSE)</f>
        <v>#N/A</v>
      </c>
      <c r="D9" s="119" t="e">
        <f>VLOOKUP($A9,AMA!$T$27:$X$34,D$1,FALSE)&amp;" / "&amp;VLOOKUP($A9,AMA!$T$27:$X$34,D$1+1,FALSE)</f>
        <v>#N/A</v>
      </c>
      <c r="E9" s="120" t="e">
        <f>VLOOKUP(B9,AMA!$C$2:$D$24,$E$1,FALSE)</f>
        <v>#N/A</v>
      </c>
      <c r="F9" s="120"/>
      <c r="G9" s="172"/>
      <c r="H9" s="145"/>
      <c r="I9" s="145"/>
      <c r="J9" s="145"/>
      <c r="K9" s="92"/>
      <c r="L9" s="124" t="s">
        <v>220</v>
      </c>
      <c r="M9" s="130"/>
      <c r="N9" s="119">
        <f t="shared" si="0"/>
        <v>0</v>
      </c>
      <c r="O9" s="119">
        <v>1</v>
      </c>
      <c r="P9" s="120">
        <f t="shared" si="1"/>
        <v>-1</v>
      </c>
      <c r="Q9" s="124" t="s">
        <v>219</v>
      </c>
      <c r="R9" s="133"/>
      <c r="S9" s="119">
        <f t="shared" si="2"/>
        <v>0</v>
      </c>
      <c r="T9" s="119">
        <v>1</v>
      </c>
      <c r="U9" s="120">
        <f t="shared" si="3"/>
        <v>-1</v>
      </c>
      <c r="V9" s="92">
        <f t="shared" si="4"/>
        <v>-2</v>
      </c>
      <c r="W9" s="92" t="s">
        <v>77</v>
      </c>
    </row>
    <row r="10" spans="1:23" x14ac:dyDescent="0.25">
      <c r="A10" s="92" t="s">
        <v>78</v>
      </c>
      <c r="B10" s="145" t="str">
        <f>VLOOKUP($A10,AMA!$B$2:$AZ$24,B$1,FALSE)</f>
        <v>Ryan Brown</v>
      </c>
      <c r="C10" s="195">
        <f>VLOOKUP($A10,AMA!$B$2:$AZ$24,C$1,FALSE)</f>
        <v>5.083333333333333</v>
      </c>
      <c r="D10" s="119" t="str">
        <f>VLOOKUP($A10,AMA!$T$27:$X$34,D$1,FALSE)&amp;" / "&amp;VLOOKUP($A10,AMA!$T$27:$X$34,D$1+1,FALSE)</f>
        <v>7 / 7</v>
      </c>
      <c r="E10" s="120">
        <f>VLOOKUP(B10,AMA!$C$2:$D$24,$E$1,FALSE)</f>
        <v>29</v>
      </c>
      <c r="F10" s="120"/>
      <c r="G10" s="172" t="s">
        <v>448</v>
      </c>
      <c r="H10" s="145" t="s">
        <v>448</v>
      </c>
      <c r="I10" s="145"/>
      <c r="J10" s="193"/>
      <c r="K10" s="92"/>
      <c r="L10" s="124" t="s">
        <v>219</v>
      </c>
      <c r="M10" s="130"/>
      <c r="N10" s="119">
        <f t="shared" si="0"/>
        <v>0</v>
      </c>
      <c r="O10" s="119">
        <v>1</v>
      </c>
      <c r="P10" s="120">
        <f t="shared" si="1"/>
        <v>-1</v>
      </c>
      <c r="Q10" s="124" t="s">
        <v>223</v>
      </c>
      <c r="R10" s="130"/>
      <c r="S10" s="119">
        <f t="shared" si="2"/>
        <v>0</v>
      </c>
      <c r="T10" s="119">
        <v>1</v>
      </c>
      <c r="U10" s="120">
        <f t="shared" si="3"/>
        <v>-1</v>
      </c>
      <c r="V10" s="92">
        <f t="shared" si="4"/>
        <v>-2</v>
      </c>
      <c r="W10" s="92" t="s">
        <v>78</v>
      </c>
    </row>
    <row r="11" spans="1:23" x14ac:dyDescent="0.25">
      <c r="A11" s="92" t="s">
        <v>79</v>
      </c>
      <c r="B11" s="145" t="str">
        <f>VLOOKUP($A11,AMA!$B$2:$AZ$24,B$1,FALSE)</f>
        <v>Sandor Vis</v>
      </c>
      <c r="C11" s="195">
        <f>VLOOKUP($A11,AMA!$B$2:$AZ$24,C$1,FALSE)</f>
        <v>6.833333333333333</v>
      </c>
      <c r="D11" s="119" t="str">
        <f>VLOOKUP($A11,AMA!$T$27:$X$34,D$1,FALSE)&amp;" / "&amp;VLOOKUP($A11,AMA!$T$27:$X$34,D$1+1,FALSE)</f>
        <v>5 / 10</v>
      </c>
      <c r="E11" s="120">
        <f>VLOOKUP(B11,AMA!$C$2:$D$24,$E$1,FALSE)</f>
        <v>24</v>
      </c>
      <c r="F11" s="120"/>
      <c r="G11" s="172"/>
      <c r="H11" s="145"/>
      <c r="I11" s="145"/>
      <c r="J11" s="193"/>
      <c r="K11" s="92"/>
      <c r="L11" s="124" t="s">
        <v>221</v>
      </c>
      <c r="M11" s="130"/>
      <c r="N11" s="119">
        <f t="shared" si="0"/>
        <v>0</v>
      </c>
      <c r="O11" s="119">
        <v>1</v>
      </c>
      <c r="P11" s="120">
        <f t="shared" si="1"/>
        <v>-1</v>
      </c>
      <c r="Q11" s="124" t="s">
        <v>225</v>
      </c>
      <c r="R11" s="133"/>
      <c r="S11" s="119">
        <f t="shared" si="2"/>
        <v>0</v>
      </c>
      <c r="T11" s="119">
        <v>1</v>
      </c>
      <c r="U11" s="120">
        <f t="shared" si="3"/>
        <v>-1</v>
      </c>
      <c r="V11" s="92">
        <f t="shared" si="4"/>
        <v>-2</v>
      </c>
      <c r="W11" s="92" t="s">
        <v>79</v>
      </c>
    </row>
    <row r="12" spans="1:23" x14ac:dyDescent="0.25">
      <c r="A12" s="93" t="s">
        <v>10</v>
      </c>
      <c r="B12" s="146" t="str">
        <f>VLOOKUP($A12,AMA!$B$2:$AZ$24,B$1,FALSE)</f>
        <v>Dave Petersen</v>
      </c>
      <c r="C12" s="196">
        <f>VLOOKUP($A12,AMA!$B$2:$AZ$24,C$1,FALSE)</f>
        <v>7.75</v>
      </c>
      <c r="D12" s="121" t="s">
        <v>32</v>
      </c>
      <c r="E12" s="122">
        <f>VLOOKUP(B12,AMA!$C$2:$D$24,$E$1,FALSE)</f>
        <v>34</v>
      </c>
      <c r="F12" s="122"/>
      <c r="G12" s="173"/>
      <c r="H12" s="146"/>
      <c r="I12" s="146"/>
      <c r="J12" s="194"/>
      <c r="K12" s="93"/>
      <c r="L12" s="125" t="s">
        <v>32</v>
      </c>
      <c r="M12" s="131"/>
      <c r="N12" s="121">
        <f>SUMIF(P3:P11,"&gt;0")+IF(M12="",0,LEN(M12)-LEN(SUBSTITUTE(M12,",",""))+1)</f>
        <v>0</v>
      </c>
      <c r="O12" s="121">
        <v>1</v>
      </c>
      <c r="P12" s="122">
        <f t="shared" si="1"/>
        <v>-1</v>
      </c>
      <c r="Q12" s="125" t="s">
        <v>32</v>
      </c>
      <c r="R12" s="131"/>
      <c r="S12" s="121">
        <f>SUMIF(U3:U11,"&gt;0")+IF(R12="",0,LEN(R12)-LEN(SUBSTITUTE(R12,",",""))+1)</f>
        <v>0</v>
      </c>
      <c r="T12" s="121">
        <v>0</v>
      </c>
      <c r="U12" s="122">
        <f t="shared" si="3"/>
        <v>0</v>
      </c>
      <c r="V12" s="93">
        <f t="shared" si="4"/>
        <v>-1</v>
      </c>
      <c r="W12" s="93" t="s">
        <v>10</v>
      </c>
    </row>
    <row r="15" spans="1:23" x14ac:dyDescent="0.25">
      <c r="L15" s="418" t="s">
        <v>300</v>
      </c>
      <c r="M15" s="419"/>
      <c r="N15" s="419"/>
      <c r="O15" s="419"/>
      <c r="P15" s="420"/>
      <c r="Q15" s="418" t="s">
        <v>301</v>
      </c>
      <c r="R15" s="419"/>
      <c r="S15" s="419"/>
      <c r="T15" s="419"/>
      <c r="U15" s="420"/>
      <c r="V15" s="115" t="s">
        <v>222</v>
      </c>
    </row>
    <row r="16" spans="1:23" x14ac:dyDescent="0.25">
      <c r="K16" s="114" t="s">
        <v>97</v>
      </c>
      <c r="L16" s="123" t="s">
        <v>215</v>
      </c>
      <c r="M16" s="129" t="s">
        <v>210</v>
      </c>
      <c r="N16" s="116" t="s">
        <v>211</v>
      </c>
      <c r="O16" s="116" t="s">
        <v>212</v>
      </c>
      <c r="P16" s="117" t="s">
        <v>214</v>
      </c>
      <c r="Q16" s="123" t="s">
        <v>215</v>
      </c>
      <c r="R16" s="129" t="s">
        <v>210</v>
      </c>
      <c r="S16" s="116" t="s">
        <v>211</v>
      </c>
      <c r="T16" s="116" t="s">
        <v>212</v>
      </c>
      <c r="U16" s="117" t="s">
        <v>213</v>
      </c>
      <c r="V16" s="118" t="s">
        <v>214</v>
      </c>
      <c r="W16" s="114" t="s">
        <v>97</v>
      </c>
    </row>
    <row r="17" spans="1:23" x14ac:dyDescent="0.25">
      <c r="K17" s="92" t="s">
        <v>71</v>
      </c>
      <c r="L17" s="124" t="s">
        <v>218</v>
      </c>
      <c r="M17" s="130"/>
      <c r="N17" s="119">
        <f>IF(M17="",0,LEN(M17)-LEN(SUBSTITUTE(M17,",",""))+1)</f>
        <v>0</v>
      </c>
      <c r="O17" s="119">
        <v>2</v>
      </c>
      <c r="P17" s="120">
        <f>N17-O17</f>
        <v>-2</v>
      </c>
      <c r="Q17" s="124" t="s">
        <v>216</v>
      </c>
      <c r="R17" s="130"/>
      <c r="S17" s="119">
        <f>IF(R17="",0,LEN(R17)-LEN(SUBSTITUTE(R17,",",""))+1)</f>
        <v>0</v>
      </c>
      <c r="T17" s="119">
        <v>4</v>
      </c>
      <c r="U17" s="120">
        <f>S17-T17</f>
        <v>-4</v>
      </c>
      <c r="V17" s="92">
        <f>MIN(P17,P17+U17)</f>
        <v>-6</v>
      </c>
      <c r="W17" s="92" t="s">
        <v>71</v>
      </c>
    </row>
    <row r="18" spans="1:23" x14ac:dyDescent="0.25">
      <c r="K18" s="92" t="s">
        <v>73</v>
      </c>
      <c r="L18" s="124" t="s">
        <v>32</v>
      </c>
      <c r="M18" s="130" t="s">
        <v>378</v>
      </c>
      <c r="N18" s="119">
        <f t="shared" ref="N18:N24" si="5">IF(M18="",0,LEN(M18)-LEN(SUBSTITUTE(M18,",",""))+1)</f>
        <v>3</v>
      </c>
      <c r="O18" s="119">
        <v>2</v>
      </c>
      <c r="P18" s="120">
        <f t="shared" ref="P18:P25" si="6">N18-O18</f>
        <v>1</v>
      </c>
      <c r="Q18" s="124" t="s">
        <v>304</v>
      </c>
      <c r="R18" s="130"/>
      <c r="S18" s="119">
        <f t="shared" ref="S18:S24" si="7">IF(R18="",0,LEN(R18)-LEN(SUBSTITUTE(R18,",",""))+1)</f>
        <v>0</v>
      </c>
      <c r="T18" s="119">
        <v>2</v>
      </c>
      <c r="U18" s="120">
        <f t="shared" ref="U18:U25" si="8">S18-T18</f>
        <v>-2</v>
      </c>
      <c r="V18" s="92">
        <f t="shared" ref="V18:V25" si="9">MIN(P18,P18+U18)</f>
        <v>-1</v>
      </c>
      <c r="W18" s="92" t="s">
        <v>73</v>
      </c>
    </row>
    <row r="19" spans="1:23" x14ac:dyDescent="0.25">
      <c r="K19" s="92" t="s">
        <v>74</v>
      </c>
      <c r="L19" s="124" t="s">
        <v>223</v>
      </c>
      <c r="M19" s="130"/>
      <c r="N19" s="119">
        <f t="shared" si="5"/>
        <v>0</v>
      </c>
      <c r="O19" s="119">
        <v>2</v>
      </c>
      <c r="P19" s="120">
        <f t="shared" si="6"/>
        <v>-2</v>
      </c>
      <c r="Q19" s="124" t="s">
        <v>223</v>
      </c>
      <c r="R19" s="130"/>
      <c r="S19" s="119">
        <f t="shared" si="7"/>
        <v>0</v>
      </c>
      <c r="T19" s="119">
        <v>4</v>
      </c>
      <c r="U19" s="120">
        <f t="shared" si="8"/>
        <v>-4</v>
      </c>
      <c r="V19" s="92">
        <f t="shared" si="9"/>
        <v>-6</v>
      </c>
      <c r="W19" s="92" t="s">
        <v>74</v>
      </c>
    </row>
    <row r="20" spans="1:23" x14ac:dyDescent="0.25">
      <c r="K20" s="92" t="s">
        <v>75</v>
      </c>
      <c r="L20" s="124" t="s">
        <v>218</v>
      </c>
      <c r="M20" s="130" t="s">
        <v>324</v>
      </c>
      <c r="N20" s="119">
        <f t="shared" si="5"/>
        <v>1</v>
      </c>
      <c r="O20" s="119">
        <v>2</v>
      </c>
      <c r="P20" s="120">
        <f t="shared" si="6"/>
        <v>-1</v>
      </c>
      <c r="Q20" s="124" t="s">
        <v>224</v>
      </c>
      <c r="R20" s="130"/>
      <c r="S20" s="119">
        <f t="shared" si="7"/>
        <v>0</v>
      </c>
      <c r="T20" s="119">
        <v>4</v>
      </c>
      <c r="U20" s="120">
        <f t="shared" si="8"/>
        <v>-4</v>
      </c>
      <c r="V20" s="92">
        <f t="shared" si="9"/>
        <v>-5</v>
      </c>
      <c r="W20" s="92" t="s">
        <v>75</v>
      </c>
    </row>
    <row r="21" spans="1:23" x14ac:dyDescent="0.25">
      <c r="K21" s="92" t="s">
        <v>76</v>
      </c>
      <c r="L21" s="124" t="s">
        <v>219</v>
      </c>
      <c r="M21" s="130"/>
      <c r="N21" s="119">
        <f t="shared" si="5"/>
        <v>0</v>
      </c>
      <c r="O21" s="119">
        <v>2</v>
      </c>
      <c r="P21" s="120">
        <f t="shared" si="6"/>
        <v>-2</v>
      </c>
      <c r="Q21" s="124" t="s">
        <v>217</v>
      </c>
      <c r="R21" s="130"/>
      <c r="S21" s="119">
        <f t="shared" si="7"/>
        <v>0</v>
      </c>
      <c r="T21" s="119">
        <v>4</v>
      </c>
      <c r="U21" s="120">
        <f t="shared" si="8"/>
        <v>-4</v>
      </c>
      <c r="V21" s="92">
        <f t="shared" si="9"/>
        <v>-6</v>
      </c>
      <c r="W21" s="92" t="s">
        <v>76</v>
      </c>
    </row>
    <row r="22" spans="1:23" x14ac:dyDescent="0.25">
      <c r="K22" s="92" t="s">
        <v>77</v>
      </c>
      <c r="L22" s="124" t="s">
        <v>220</v>
      </c>
      <c r="M22" s="130" t="s">
        <v>377</v>
      </c>
      <c r="N22" s="119">
        <f t="shared" si="5"/>
        <v>2</v>
      </c>
      <c r="O22" s="119">
        <v>2</v>
      </c>
      <c r="P22" s="120">
        <f t="shared" si="6"/>
        <v>0</v>
      </c>
      <c r="Q22" s="124" t="s">
        <v>219</v>
      </c>
      <c r="R22" s="133"/>
      <c r="S22" s="119">
        <f t="shared" si="7"/>
        <v>0</v>
      </c>
      <c r="T22" s="119">
        <v>2</v>
      </c>
      <c r="U22" s="120">
        <f t="shared" si="8"/>
        <v>-2</v>
      </c>
      <c r="V22" s="92">
        <f t="shared" si="9"/>
        <v>-2</v>
      </c>
      <c r="W22" s="92" t="s">
        <v>77</v>
      </c>
    </row>
    <row r="23" spans="1:23" x14ac:dyDescent="0.25">
      <c r="K23" s="92" t="s">
        <v>78</v>
      </c>
      <c r="L23" s="124" t="s">
        <v>219</v>
      </c>
      <c r="M23" s="130" t="s">
        <v>323</v>
      </c>
      <c r="N23" s="119">
        <f t="shared" si="5"/>
        <v>1</v>
      </c>
      <c r="O23" s="119">
        <v>2</v>
      </c>
      <c r="P23" s="120">
        <f t="shared" si="6"/>
        <v>-1</v>
      </c>
      <c r="Q23" s="124" t="s">
        <v>223</v>
      </c>
      <c r="R23" s="130"/>
      <c r="S23" s="119">
        <f t="shared" si="7"/>
        <v>0</v>
      </c>
      <c r="T23" s="119">
        <v>4</v>
      </c>
      <c r="U23" s="120">
        <f t="shared" si="8"/>
        <v>-4</v>
      </c>
      <c r="V23" s="92">
        <f t="shared" si="9"/>
        <v>-5</v>
      </c>
      <c r="W23" s="92" t="s">
        <v>78</v>
      </c>
    </row>
    <row r="24" spans="1:23" x14ac:dyDescent="0.25">
      <c r="K24" s="92" t="s">
        <v>79</v>
      </c>
      <c r="L24" s="124" t="s">
        <v>221</v>
      </c>
      <c r="M24" s="130" t="s">
        <v>349</v>
      </c>
      <c r="N24" s="119">
        <f t="shared" si="5"/>
        <v>2</v>
      </c>
      <c r="O24" s="119">
        <v>2</v>
      </c>
      <c r="P24" s="120">
        <f t="shared" si="6"/>
        <v>0</v>
      </c>
      <c r="Q24" s="124" t="s">
        <v>225</v>
      </c>
      <c r="R24" s="133"/>
      <c r="S24" s="119">
        <f t="shared" si="7"/>
        <v>0</v>
      </c>
      <c r="T24" s="119">
        <v>2</v>
      </c>
      <c r="U24" s="120">
        <f t="shared" si="8"/>
        <v>-2</v>
      </c>
      <c r="V24" s="92">
        <f t="shared" si="9"/>
        <v>-2</v>
      </c>
      <c r="W24" s="92" t="s">
        <v>79</v>
      </c>
    </row>
    <row r="25" spans="1:23" x14ac:dyDescent="0.25">
      <c r="K25" s="93" t="s">
        <v>10</v>
      </c>
      <c r="L25" s="125" t="s">
        <v>32</v>
      </c>
      <c r="M25" s="131"/>
      <c r="N25" s="121">
        <f>MAX(0,SUM(N17:N24)-8)+IF(M25="",0,LEN(M25)-LEN(SUBSTITUTE(M25,",",""))+1)</f>
        <v>1</v>
      </c>
      <c r="O25" s="121">
        <v>2</v>
      </c>
      <c r="P25" s="122">
        <f t="shared" si="6"/>
        <v>-1</v>
      </c>
      <c r="Q25" s="125" t="s">
        <v>32</v>
      </c>
      <c r="R25" s="131"/>
      <c r="S25" s="121">
        <f>MAX(0,SUM(S17:S24)-16)+IF(R25="",0,LEN(R25)-LEN(SUBSTITUTE(R25,",",""))+1)</f>
        <v>0</v>
      </c>
      <c r="T25" s="121">
        <v>0</v>
      </c>
      <c r="U25" s="122">
        <f t="shared" si="8"/>
        <v>0</v>
      </c>
      <c r="V25" s="93">
        <f t="shared" si="9"/>
        <v>-1</v>
      </c>
      <c r="W25" s="93" t="s">
        <v>10</v>
      </c>
    </row>
    <row r="28" spans="1:23" s="1" customFormat="1" x14ac:dyDescent="0.25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418" t="s">
        <v>302</v>
      </c>
      <c r="M28" s="419"/>
      <c r="N28" s="419"/>
      <c r="O28" s="419"/>
      <c r="P28" s="420"/>
      <c r="Q28" s="418" t="s">
        <v>308</v>
      </c>
      <c r="R28" s="419"/>
      <c r="S28" s="419"/>
      <c r="T28" s="419"/>
      <c r="U28" s="420"/>
      <c r="V28" s="115" t="s">
        <v>222</v>
      </c>
      <c r="W28" s="113"/>
    </row>
    <row r="29" spans="1:23" s="1" customFormat="1" x14ac:dyDescent="0.25">
      <c r="A29" s="114" t="s">
        <v>97</v>
      </c>
      <c r="B29" s="126">
        <f>B3</f>
        <v>2034</v>
      </c>
      <c r="C29" s="127" t="s">
        <v>124</v>
      </c>
      <c r="D29" s="126" t="s">
        <v>261</v>
      </c>
      <c r="E29" s="128" t="s">
        <v>70</v>
      </c>
      <c r="F29" s="128" t="s">
        <v>207</v>
      </c>
      <c r="G29" s="127">
        <f>B29+1</f>
        <v>2035</v>
      </c>
      <c r="H29" s="126">
        <f>G29+1</f>
        <v>2036</v>
      </c>
      <c r="I29" s="126">
        <f>H29+1</f>
        <v>2037</v>
      </c>
      <c r="J29" s="126">
        <f>I29+1</f>
        <v>2038</v>
      </c>
      <c r="K29" s="114" t="s">
        <v>293</v>
      </c>
      <c r="L29" s="123" t="s">
        <v>303</v>
      </c>
      <c r="M29" s="129" t="s">
        <v>210</v>
      </c>
      <c r="N29" s="116" t="s">
        <v>211</v>
      </c>
      <c r="O29" s="116" t="s">
        <v>212</v>
      </c>
      <c r="P29" s="117" t="s">
        <v>214</v>
      </c>
      <c r="Q29" s="123" t="s">
        <v>303</v>
      </c>
      <c r="R29" s="129" t="s">
        <v>210</v>
      </c>
      <c r="S29" s="116" t="s">
        <v>211</v>
      </c>
      <c r="T29" s="116" t="s">
        <v>212</v>
      </c>
      <c r="U29" s="117" t="s">
        <v>213</v>
      </c>
      <c r="V29" s="118" t="s">
        <v>214</v>
      </c>
      <c r="W29" s="114" t="s">
        <v>97</v>
      </c>
    </row>
    <row r="30" spans="1:23" x14ac:dyDescent="0.25">
      <c r="A30" s="92" t="s">
        <v>87</v>
      </c>
      <c r="B30" s="145" t="str">
        <f>AMA!C53</f>
        <v>ENRIQUE VÁZQUEZ</v>
      </c>
      <c r="C30" s="124"/>
      <c r="D30" s="119"/>
      <c r="E30" s="120">
        <f>VLOOKUP(B30,AMA!$C$52:$D$74,$E$1,FALSE)</f>
        <v>31</v>
      </c>
      <c r="F30" s="120" t="s">
        <v>359</v>
      </c>
      <c r="G30" s="124" t="s">
        <v>3</v>
      </c>
      <c r="H30" s="119" t="s">
        <v>3</v>
      </c>
      <c r="I30" s="119"/>
      <c r="J30" s="119"/>
      <c r="K30" s="92"/>
      <c r="L30" s="124">
        <v>8</v>
      </c>
      <c r="M30" s="130"/>
      <c r="N30" s="119">
        <f>IF(M30="",0,LEN(M30)-LEN(SUBSTITUTE(M30,",",""))+1)</f>
        <v>0</v>
      </c>
      <c r="O30" s="119">
        <v>2</v>
      </c>
      <c r="P30" s="120">
        <f>N30-O30</f>
        <v>-2</v>
      </c>
      <c r="Q30" s="124">
        <f>L30</f>
        <v>8</v>
      </c>
      <c r="R30" s="130"/>
      <c r="S30" s="119">
        <f>IF(R30="",0,LEN(R30)-LEN(SUBSTITUTE(R30,",",""))+1)</f>
        <v>0</v>
      </c>
      <c r="T30" s="119">
        <v>2</v>
      </c>
      <c r="U30" s="120">
        <f>S30-T30</f>
        <v>-2</v>
      </c>
      <c r="V30" s="92">
        <f>MIN(P30,P30+U30)</f>
        <v>-4</v>
      </c>
      <c r="W30" s="92" t="s">
        <v>87</v>
      </c>
    </row>
    <row r="31" spans="1:23" x14ac:dyDescent="0.25">
      <c r="A31" s="92" t="s">
        <v>87</v>
      </c>
      <c r="B31" s="119" t="str">
        <f>AMA!C54</f>
        <v>Iwao Maruyama</v>
      </c>
      <c r="C31" s="124"/>
      <c r="D31" s="119"/>
      <c r="E31" s="120">
        <f>VLOOKUP(B31,AMA!$C$52:$D$74,$E$1,FALSE)</f>
        <v>27</v>
      </c>
      <c r="F31" s="120" t="s">
        <v>359</v>
      </c>
      <c r="G31" s="124" t="s">
        <v>385</v>
      </c>
      <c r="H31" s="119"/>
      <c r="I31" s="119"/>
      <c r="J31" s="119"/>
      <c r="K31" s="92"/>
      <c r="L31" s="124">
        <v>7</v>
      </c>
      <c r="M31" s="130"/>
      <c r="N31" s="119">
        <f>IF(M31="",0,LEN(M31)-LEN(SUBSTITUTE(M31,",",""))+1)+IF(P30&gt;0,P30,0)</f>
        <v>0</v>
      </c>
      <c r="O31" s="119">
        <v>1</v>
      </c>
      <c r="P31" s="120">
        <f t="shared" ref="P31:P37" si="10">N31-O31</f>
        <v>-1</v>
      </c>
      <c r="Q31" s="124">
        <f t="shared" ref="Q31:Q32" si="11">L31</f>
        <v>7</v>
      </c>
      <c r="R31" s="130"/>
      <c r="S31" s="119">
        <f>IF(R31="",0,LEN(R31)-LEN(SUBSTITUTE(R31,",",""))+1)+IF(U30&gt;0,U30,0)</f>
        <v>0</v>
      </c>
      <c r="T31" s="119">
        <v>1</v>
      </c>
      <c r="U31" s="120">
        <f t="shared" ref="U31:U37" si="12">S31-T31</f>
        <v>-1</v>
      </c>
      <c r="V31" s="92">
        <f t="shared" ref="V31:V37" si="13">MIN(P31,P31+U31)</f>
        <v>-2</v>
      </c>
      <c r="W31" s="92" t="s">
        <v>87</v>
      </c>
    </row>
    <row r="32" spans="1:23" x14ac:dyDescent="0.25">
      <c r="A32" s="92" t="s">
        <v>87</v>
      </c>
      <c r="B32" s="119" t="str">
        <f>AMA!C55</f>
        <v>Manuel Canales</v>
      </c>
      <c r="C32" s="124"/>
      <c r="D32" s="119"/>
      <c r="E32" s="120">
        <f>VLOOKUP(B32,AMA!$C$52:$D$74,$E$1,FALSE)</f>
        <v>24</v>
      </c>
      <c r="F32" s="120" t="s">
        <v>359</v>
      </c>
      <c r="G32" s="124" t="s">
        <v>292</v>
      </c>
      <c r="H32" s="119" t="s">
        <v>292</v>
      </c>
      <c r="I32" s="119" t="s">
        <v>292</v>
      </c>
      <c r="J32" s="119"/>
      <c r="K32" s="92"/>
      <c r="L32" s="124">
        <v>6</v>
      </c>
      <c r="M32" s="130"/>
      <c r="N32" s="119">
        <f>IF(M32="",0,LEN(M32)-LEN(SUBSTITUTE(M32,",",""))+1)+IF(P31&gt;0,P31,0)</f>
        <v>0</v>
      </c>
      <c r="O32" s="119">
        <v>3</v>
      </c>
      <c r="P32" s="120">
        <f t="shared" si="10"/>
        <v>-3</v>
      </c>
      <c r="Q32" s="124">
        <f t="shared" si="11"/>
        <v>6</v>
      </c>
      <c r="R32" s="130"/>
      <c r="S32" s="119">
        <f>IF(R32="",0,LEN(R32)-LEN(SUBSTITUTE(R32,",",""))+1)+IF(U31&gt;0,U31,0)</f>
        <v>0</v>
      </c>
      <c r="T32" s="119">
        <v>3</v>
      </c>
      <c r="U32" s="120">
        <f t="shared" si="12"/>
        <v>-3</v>
      </c>
      <c r="V32" s="92">
        <f t="shared" si="13"/>
        <v>-6</v>
      </c>
      <c r="W32" s="92" t="s">
        <v>87</v>
      </c>
    </row>
    <row r="33" spans="1:23" x14ac:dyDescent="0.25">
      <c r="A33" s="92" t="s">
        <v>87</v>
      </c>
      <c r="B33" s="119" t="str">
        <f>AMA!C56</f>
        <v>Bang-xao Niu</v>
      </c>
      <c r="C33" s="124"/>
      <c r="D33" s="119"/>
      <c r="E33" s="120">
        <f>VLOOKUP(B33,AMA!$C$52:$D$74,$E$1,FALSE)</f>
        <v>26</v>
      </c>
      <c r="F33" s="120" t="s">
        <v>359</v>
      </c>
      <c r="G33" s="124" t="s">
        <v>390</v>
      </c>
      <c r="H33" s="119" t="s">
        <v>390</v>
      </c>
      <c r="I33" s="119" t="s">
        <v>390</v>
      </c>
      <c r="J33" s="119"/>
      <c r="K33" s="92"/>
      <c r="L33" s="124"/>
      <c r="M33" s="130"/>
      <c r="N33" s="119"/>
      <c r="O33" s="119"/>
      <c r="P33" s="120"/>
      <c r="Q33" s="124"/>
      <c r="R33" s="130"/>
      <c r="S33" s="119"/>
      <c r="T33" s="119"/>
      <c r="U33" s="120"/>
      <c r="V33" s="92"/>
      <c r="W33" s="92"/>
    </row>
    <row r="34" spans="1:23" x14ac:dyDescent="0.25">
      <c r="A34" s="92" t="s">
        <v>87</v>
      </c>
      <c r="B34" s="119" t="str">
        <f>AMA!C57</f>
        <v>Carmelo Lamberti</v>
      </c>
      <c r="C34" s="124"/>
      <c r="D34" s="119"/>
      <c r="E34" s="120">
        <f>VLOOKUP(B34,AMA!$C$52:$D$74,$E$1,FALSE)</f>
        <v>22</v>
      </c>
      <c r="F34" s="120" t="s">
        <v>360</v>
      </c>
      <c r="G34" s="124" t="s">
        <v>329</v>
      </c>
      <c r="H34" s="119"/>
      <c r="I34" s="119"/>
      <c r="J34" s="119"/>
      <c r="K34" s="92"/>
      <c r="L34" s="124"/>
      <c r="M34" s="130"/>
      <c r="N34" s="119"/>
      <c r="O34" s="119"/>
      <c r="P34" s="120"/>
      <c r="Q34" s="124"/>
      <c r="R34" s="130"/>
      <c r="S34" s="119"/>
      <c r="T34" s="119"/>
      <c r="U34" s="120"/>
      <c r="V34" s="92"/>
      <c r="W34" s="92"/>
    </row>
    <row r="35" spans="1:23" x14ac:dyDescent="0.25">
      <c r="A35" s="92" t="s">
        <v>88</v>
      </c>
      <c r="B35" s="119" t="str">
        <f>AMA!C61</f>
        <v>Kelsey Buck</v>
      </c>
      <c r="C35" s="124"/>
      <c r="D35" s="119"/>
      <c r="E35" s="120">
        <f>VLOOKUP(B35,AMA!$C$52:$D$74,$E$1,FALSE)</f>
        <v>28</v>
      </c>
      <c r="F35" s="120" t="s">
        <v>360</v>
      </c>
      <c r="G35" s="172" t="s">
        <v>9</v>
      </c>
      <c r="H35" s="145"/>
      <c r="I35" s="145"/>
      <c r="J35" s="145"/>
      <c r="K35" s="197"/>
      <c r="L35" s="198"/>
      <c r="M35" s="199"/>
      <c r="N35" s="200"/>
      <c r="O35" s="200"/>
      <c r="P35" s="201"/>
      <c r="Q35" s="198"/>
      <c r="R35" s="202"/>
      <c r="S35" s="200"/>
      <c r="T35" s="200"/>
      <c r="U35" s="201"/>
      <c r="V35" s="197"/>
      <c r="W35" s="197"/>
    </row>
    <row r="36" spans="1:23" x14ac:dyDescent="0.25">
      <c r="A36" s="92" t="s">
        <v>11</v>
      </c>
      <c r="B36" s="119">
        <f>AMA!C62</f>
        <v>0</v>
      </c>
      <c r="C36" s="124"/>
      <c r="D36" s="119"/>
      <c r="E36" s="120" t="e">
        <f>VLOOKUP(B36,AMA!$C$52:$D$74,$E$1,FALSE)</f>
        <v>#N/A</v>
      </c>
      <c r="F36" s="120" t="s">
        <v>359</v>
      </c>
      <c r="G36" s="124"/>
      <c r="H36" s="119"/>
      <c r="I36" s="119"/>
      <c r="J36" s="119"/>
      <c r="K36" s="92"/>
      <c r="L36" s="124">
        <v>3</v>
      </c>
      <c r="M36" s="130"/>
      <c r="N36" s="119">
        <f t="shared" ref="N36" si="14">IF(M36="",0,LEN(M36)-LEN(SUBSTITUTE(M36,",",""))+1)</f>
        <v>0</v>
      </c>
      <c r="O36" s="119">
        <v>2</v>
      </c>
      <c r="P36" s="120">
        <f t="shared" si="10"/>
        <v>-2</v>
      </c>
      <c r="Q36" s="124">
        <f t="shared" ref="Q36:Q38" si="15">L36</f>
        <v>3</v>
      </c>
      <c r="R36" s="130"/>
      <c r="S36" s="119">
        <f t="shared" ref="S36" si="16">IF(R36="",0,LEN(R36)-LEN(SUBSTITUTE(R36,",",""))+1)</f>
        <v>0</v>
      </c>
      <c r="T36" s="119">
        <v>2</v>
      </c>
      <c r="U36" s="120">
        <f t="shared" si="12"/>
        <v>-2</v>
      </c>
      <c r="V36" s="92">
        <f t="shared" si="13"/>
        <v>-4</v>
      </c>
      <c r="W36" s="92" t="s">
        <v>11</v>
      </c>
    </row>
    <row r="37" spans="1:23" x14ac:dyDescent="0.25">
      <c r="A37" s="92" t="s">
        <v>11</v>
      </c>
      <c r="B37" s="119" t="str">
        <f>AMA!C65</f>
        <v>Juan Gómez</v>
      </c>
      <c r="C37" s="124"/>
      <c r="D37" s="119"/>
      <c r="E37" s="120">
        <f>VLOOKUP(B37,AMA!$C$52:$D$74,$E$1,FALSE)</f>
        <v>29</v>
      </c>
      <c r="F37" s="120" t="s">
        <v>360</v>
      </c>
      <c r="G37" s="124"/>
      <c r="H37" s="119"/>
      <c r="I37" s="119"/>
      <c r="J37" s="119"/>
      <c r="K37" s="92"/>
      <c r="L37" s="124">
        <v>2</v>
      </c>
      <c r="M37" s="130"/>
      <c r="N37" s="119">
        <f>IF(M37="",0,LEN(M37)-LEN(SUBSTITUTE(M37,",",""))+1)+IF(P36&gt;0,P36,0)</f>
        <v>0</v>
      </c>
      <c r="O37" s="119">
        <v>1</v>
      </c>
      <c r="P37" s="120">
        <f t="shared" si="10"/>
        <v>-1</v>
      </c>
      <c r="Q37" s="124">
        <f t="shared" si="15"/>
        <v>2</v>
      </c>
      <c r="R37" s="133"/>
      <c r="S37" s="119">
        <f>IF(R37="",0,LEN(R37)-LEN(SUBSTITUTE(R37,",",""))+1)+IF(U36&gt;0,U36,0)</f>
        <v>0</v>
      </c>
      <c r="T37" s="119">
        <v>1</v>
      </c>
      <c r="U37" s="120">
        <f t="shared" si="12"/>
        <v>-1</v>
      </c>
      <c r="V37" s="92">
        <f t="shared" si="13"/>
        <v>-2</v>
      </c>
      <c r="W37" s="92" t="s">
        <v>11</v>
      </c>
    </row>
    <row r="38" spans="1:23" x14ac:dyDescent="0.25">
      <c r="A38" s="92" t="s">
        <v>11</v>
      </c>
      <c r="B38" s="119" t="str">
        <f>AMA!C66</f>
        <v>Carl Ford</v>
      </c>
      <c r="C38" s="124"/>
      <c r="D38" s="119"/>
      <c r="E38" s="120">
        <f>VLOOKUP(B38,AMA!$C$52:$D$74,$E$1,FALSE)</f>
        <v>28</v>
      </c>
      <c r="F38" s="120" t="s">
        <v>359</v>
      </c>
      <c r="G38" s="124" t="s">
        <v>389</v>
      </c>
      <c r="H38" s="119" t="s">
        <v>389</v>
      </c>
      <c r="I38" s="119"/>
      <c r="J38" s="119"/>
      <c r="K38" s="92"/>
      <c r="L38" s="124">
        <v>1</v>
      </c>
      <c r="M38" s="130"/>
      <c r="N38" s="119">
        <f>IF(M38="",0,LEN(M38)-LEN(SUBSTITUTE(M38,",",""))+1)+IF(P37&gt;0,P37,0)</f>
        <v>0</v>
      </c>
      <c r="O38" s="119">
        <v>3</v>
      </c>
      <c r="P38" s="120">
        <f t="shared" ref="P38" si="17">N38-O38</f>
        <v>-3</v>
      </c>
      <c r="Q38" s="124">
        <f t="shared" si="15"/>
        <v>1</v>
      </c>
      <c r="R38" s="133"/>
      <c r="S38" s="119">
        <f>IF(R38="",0,LEN(R38)-LEN(SUBSTITUTE(R38,",",""))+1)+IF(U37&gt;0,U37,0)</f>
        <v>0</v>
      </c>
      <c r="T38" s="119">
        <v>3</v>
      </c>
      <c r="U38" s="120">
        <f t="shared" ref="U38" si="18">S38-T38</f>
        <v>-3</v>
      </c>
      <c r="V38" s="92">
        <f t="shared" ref="V38" si="19">MIN(P38,P38+U38)</f>
        <v>-6</v>
      </c>
      <c r="W38" s="92" t="s">
        <v>11</v>
      </c>
    </row>
    <row r="39" spans="1:23" x14ac:dyDescent="0.25">
      <c r="A39" s="92" t="s">
        <v>11</v>
      </c>
      <c r="B39" s="119" t="str">
        <f>AMA!C67</f>
        <v>Mike Ryan</v>
      </c>
      <c r="C39" s="124"/>
      <c r="D39" s="119"/>
      <c r="E39" s="120">
        <f>VLOOKUP(B39,AMA!$C$52:$D$74,$E$1,FALSE)</f>
        <v>31</v>
      </c>
      <c r="F39" s="120" t="s">
        <v>359</v>
      </c>
      <c r="G39" s="124" t="s">
        <v>392</v>
      </c>
      <c r="H39" s="119" t="s">
        <v>392</v>
      </c>
      <c r="I39" s="119"/>
      <c r="J39" s="119"/>
      <c r="K39" s="92"/>
      <c r="L39" s="124"/>
      <c r="M39" s="130"/>
      <c r="N39" s="119"/>
      <c r="O39" s="119"/>
      <c r="P39" s="120"/>
      <c r="Q39" s="124"/>
      <c r="R39" s="133"/>
      <c r="S39" s="119"/>
      <c r="T39" s="119"/>
      <c r="U39" s="120"/>
      <c r="V39" s="92"/>
      <c r="W39" s="92"/>
    </row>
    <row r="40" spans="1:23" x14ac:dyDescent="0.25">
      <c r="A40" s="92" t="s">
        <v>11</v>
      </c>
      <c r="B40" s="119" t="str">
        <f>AMA!C68</f>
        <v>Kyoichi Gato</v>
      </c>
      <c r="C40" s="124"/>
      <c r="D40" s="119"/>
      <c r="E40" s="120">
        <f>VLOOKUP(B40,AMA!$C$52:$D$74,$E$1,FALSE)</f>
        <v>31</v>
      </c>
      <c r="F40" s="120" t="s">
        <v>360</v>
      </c>
      <c r="G40" s="124" t="s">
        <v>391</v>
      </c>
      <c r="H40" s="119" t="s">
        <v>391</v>
      </c>
      <c r="I40" s="119"/>
      <c r="J40" s="119"/>
      <c r="K40" s="92"/>
      <c r="L40" s="124"/>
      <c r="M40" s="130"/>
      <c r="N40" s="119"/>
      <c r="O40" s="119"/>
      <c r="P40" s="120"/>
      <c r="Q40" s="124"/>
      <c r="R40" s="133"/>
      <c r="S40" s="119"/>
      <c r="T40" s="119"/>
      <c r="U40" s="120"/>
      <c r="V40" s="92"/>
      <c r="W40" s="92"/>
    </row>
    <row r="41" spans="1:23" x14ac:dyDescent="0.25">
      <c r="A41" s="93" t="s">
        <v>11</v>
      </c>
      <c r="B41" s="121" t="str">
        <f>AMA!C69</f>
        <v>Tomás Moya</v>
      </c>
      <c r="C41" s="125"/>
      <c r="D41" s="121"/>
      <c r="E41" s="122">
        <f>VLOOKUP(B41,AMA!$C$52:$D$74,$E$1,FALSE)</f>
        <v>33</v>
      </c>
      <c r="F41" s="122" t="s">
        <v>360</v>
      </c>
      <c r="G41" s="125"/>
      <c r="H41" s="121"/>
      <c r="I41" s="121"/>
      <c r="J41" s="121"/>
      <c r="K41" s="93"/>
      <c r="L41" s="125"/>
      <c r="M41" s="131"/>
      <c r="N41" s="121"/>
      <c r="O41" s="121"/>
      <c r="P41" s="122"/>
      <c r="Q41" s="125"/>
      <c r="R41" s="131"/>
      <c r="S41" s="121"/>
      <c r="T41" s="121"/>
      <c r="U41" s="122"/>
      <c r="V41" s="93"/>
      <c r="W41" s="93"/>
    </row>
    <row r="44" spans="1:23" x14ac:dyDescent="0.25">
      <c r="L44" s="418" t="s">
        <v>307</v>
      </c>
      <c r="M44" s="419"/>
      <c r="N44" s="419"/>
      <c r="O44" s="419"/>
      <c r="P44" s="420"/>
      <c r="Q44" s="418" t="s">
        <v>309</v>
      </c>
      <c r="R44" s="419"/>
      <c r="S44" s="419"/>
      <c r="T44" s="419"/>
      <c r="U44" s="420"/>
      <c r="V44" s="115" t="s">
        <v>222</v>
      </c>
    </row>
    <row r="45" spans="1:23" x14ac:dyDescent="0.25">
      <c r="K45" s="114" t="s">
        <v>97</v>
      </c>
      <c r="L45" s="123" t="s">
        <v>303</v>
      </c>
      <c r="M45" s="129" t="s">
        <v>210</v>
      </c>
      <c r="N45" s="116" t="s">
        <v>211</v>
      </c>
      <c r="O45" s="116" t="s">
        <v>212</v>
      </c>
      <c r="P45" s="117" t="s">
        <v>214</v>
      </c>
      <c r="Q45" s="123" t="s">
        <v>303</v>
      </c>
      <c r="R45" s="129" t="s">
        <v>210</v>
      </c>
      <c r="S45" s="116" t="s">
        <v>211</v>
      </c>
      <c r="T45" s="116" t="s">
        <v>212</v>
      </c>
      <c r="U45" s="117" t="s">
        <v>213</v>
      </c>
      <c r="V45" s="118" t="s">
        <v>214</v>
      </c>
      <c r="W45" s="114" t="s">
        <v>97</v>
      </c>
    </row>
    <row r="46" spans="1:23" x14ac:dyDescent="0.25">
      <c r="K46" s="92" t="s">
        <v>87</v>
      </c>
      <c r="L46" s="124">
        <f>L30</f>
        <v>8</v>
      </c>
      <c r="M46" s="130" t="s">
        <v>380</v>
      </c>
      <c r="N46" s="119">
        <f>IF(M46="",0,LEN(M46)-LEN(SUBSTITUTE(M46,",",""))+1)</f>
        <v>5</v>
      </c>
      <c r="O46" s="119">
        <v>2</v>
      </c>
      <c r="P46" s="120">
        <f>N46-O46</f>
        <v>3</v>
      </c>
      <c r="Q46" s="124">
        <f t="shared" ref="Q46:Q48" si="20">L46</f>
        <v>8</v>
      </c>
      <c r="R46" s="130"/>
      <c r="S46" s="119">
        <f>IF(R46="",0,LEN(R46)-LEN(SUBSTITUTE(R46,",",""))+1)</f>
        <v>0</v>
      </c>
      <c r="T46" s="119">
        <v>2</v>
      </c>
      <c r="U46" s="120">
        <f>S46-T46</f>
        <v>-2</v>
      </c>
      <c r="V46" s="92">
        <f>MIN(P46,P46+U46)</f>
        <v>1</v>
      </c>
      <c r="W46" s="92" t="s">
        <v>87</v>
      </c>
    </row>
    <row r="47" spans="1:23" x14ac:dyDescent="0.25">
      <c r="K47" s="92" t="s">
        <v>87</v>
      </c>
      <c r="L47" s="124">
        <f t="shared" ref="L47:L48" si="21">L31</f>
        <v>7</v>
      </c>
      <c r="M47" s="130" t="s">
        <v>379</v>
      </c>
      <c r="N47" s="119">
        <f>IF(M47="",0,LEN(M47)-LEN(SUBSTITUTE(M47,",",""))+1)+IF(P46&gt;0,P46,0)</f>
        <v>4</v>
      </c>
      <c r="O47" s="119">
        <v>1</v>
      </c>
      <c r="P47" s="120">
        <f t="shared" ref="P47:P48" si="22">N47-O47</f>
        <v>3</v>
      </c>
      <c r="Q47" s="124">
        <f t="shared" si="20"/>
        <v>7</v>
      </c>
      <c r="R47" s="130"/>
      <c r="S47" s="119">
        <f>IF(R47="",0,LEN(R47)-LEN(SUBSTITUTE(R47,",",""))+1)+IF(U46&gt;0,U46,0)</f>
        <v>0</v>
      </c>
      <c r="T47" s="119">
        <v>1</v>
      </c>
      <c r="U47" s="120">
        <f t="shared" ref="U47:U48" si="23">S47-T47</f>
        <v>-1</v>
      </c>
      <c r="V47" s="92">
        <f t="shared" ref="V47:V48" si="24">MIN(P47,P47+U47)</f>
        <v>2</v>
      </c>
      <c r="W47" s="92" t="s">
        <v>87</v>
      </c>
    </row>
    <row r="48" spans="1:23" x14ac:dyDescent="0.25">
      <c r="K48" s="92" t="s">
        <v>87</v>
      </c>
      <c r="L48" s="124">
        <f t="shared" si="21"/>
        <v>6</v>
      </c>
      <c r="M48" s="130" t="s">
        <v>350</v>
      </c>
      <c r="N48" s="119">
        <f>IF(M48="",0,LEN(M48)-LEN(SUBSTITUTE(M48,",",""))+1)+IF(P47&gt;0,P47,0)</f>
        <v>4</v>
      </c>
      <c r="O48" s="119">
        <v>3</v>
      </c>
      <c r="P48" s="120">
        <f t="shared" si="22"/>
        <v>1</v>
      </c>
      <c r="Q48" s="124">
        <f t="shared" si="20"/>
        <v>6</v>
      </c>
      <c r="R48" s="130"/>
      <c r="S48" s="119">
        <f>IF(R48="",0,LEN(R48)-LEN(SUBSTITUTE(R48,",",""))+1)+IF(U47&gt;0,U47,0)</f>
        <v>0</v>
      </c>
      <c r="T48" s="119">
        <v>3</v>
      </c>
      <c r="U48" s="120">
        <f t="shared" si="23"/>
        <v>-3</v>
      </c>
      <c r="V48" s="92">
        <f t="shared" si="24"/>
        <v>-2</v>
      </c>
      <c r="W48" s="92" t="s">
        <v>87</v>
      </c>
    </row>
    <row r="49" spans="11:23" x14ac:dyDescent="0.25">
      <c r="K49" s="92" t="s">
        <v>87</v>
      </c>
      <c r="L49" s="124"/>
      <c r="M49" s="130"/>
      <c r="N49" s="119"/>
      <c r="O49" s="119"/>
      <c r="P49" s="120"/>
      <c r="Q49" s="124"/>
      <c r="R49" s="130"/>
      <c r="S49" s="119"/>
      <c r="T49" s="119"/>
      <c r="U49" s="120"/>
      <c r="V49" s="92"/>
      <c r="W49" s="92"/>
    </row>
    <row r="50" spans="11:23" x14ac:dyDescent="0.25">
      <c r="K50" s="92" t="s">
        <v>87</v>
      </c>
      <c r="L50" s="124"/>
      <c r="M50" s="130"/>
      <c r="N50" s="119"/>
      <c r="O50" s="119"/>
      <c r="P50" s="120"/>
      <c r="Q50" s="124"/>
      <c r="R50" s="130"/>
      <c r="S50" s="119"/>
      <c r="T50" s="119"/>
      <c r="U50" s="120"/>
      <c r="V50" s="92"/>
      <c r="W50" s="92"/>
    </row>
    <row r="51" spans="11:23" x14ac:dyDescent="0.25">
      <c r="K51" s="197" t="s">
        <v>88</v>
      </c>
      <c r="L51" s="198"/>
      <c r="M51" s="199"/>
      <c r="N51" s="200"/>
      <c r="O51" s="200"/>
      <c r="P51" s="201"/>
      <c r="Q51" s="198"/>
      <c r="R51" s="202"/>
      <c r="S51" s="200"/>
      <c r="T51" s="200"/>
      <c r="U51" s="201"/>
      <c r="V51" s="197"/>
      <c r="W51" s="197"/>
    </row>
    <row r="52" spans="11:23" x14ac:dyDescent="0.25">
      <c r="K52" s="92" t="s">
        <v>11</v>
      </c>
      <c r="L52" s="124">
        <f t="shared" ref="L52:L54" si="25">L36</f>
        <v>3</v>
      </c>
      <c r="M52" s="130" t="s">
        <v>382</v>
      </c>
      <c r="N52" s="119">
        <f t="shared" ref="N52" si="26">IF(M52="",0,LEN(M52)-LEN(SUBSTITUTE(M52,",",""))+1)</f>
        <v>1</v>
      </c>
      <c r="O52" s="119">
        <v>2</v>
      </c>
      <c r="P52" s="120">
        <f t="shared" ref="P52:P54" si="27">N52-O52</f>
        <v>-1</v>
      </c>
      <c r="Q52" s="124">
        <f t="shared" ref="Q52:Q54" si="28">L52</f>
        <v>3</v>
      </c>
      <c r="R52" s="130"/>
      <c r="S52" s="119">
        <f t="shared" ref="S52" si="29">IF(R52="",0,LEN(R52)-LEN(SUBSTITUTE(R52,",",""))+1)</f>
        <v>0</v>
      </c>
      <c r="T52" s="119">
        <v>2</v>
      </c>
      <c r="U52" s="120">
        <f t="shared" ref="U52:U54" si="30">S52-T52</f>
        <v>-2</v>
      </c>
      <c r="V52" s="92">
        <f t="shared" ref="V52:V54" si="31">MIN(P52,P52+U52)</f>
        <v>-3</v>
      </c>
      <c r="W52" s="92" t="s">
        <v>11</v>
      </c>
    </row>
    <row r="53" spans="11:23" x14ac:dyDescent="0.25">
      <c r="K53" s="92" t="s">
        <v>11</v>
      </c>
      <c r="L53" s="124">
        <f t="shared" si="25"/>
        <v>2</v>
      </c>
      <c r="M53" s="130" t="s">
        <v>351</v>
      </c>
      <c r="N53" s="119">
        <f>IF(M53="",0,LEN(M53)-LEN(SUBSTITUTE(M53,",",""))+1)+IF(P52&gt;0,P52,0)</f>
        <v>1</v>
      </c>
      <c r="O53" s="119">
        <v>1</v>
      </c>
      <c r="P53" s="120">
        <f t="shared" si="27"/>
        <v>0</v>
      </c>
      <c r="Q53" s="124">
        <f t="shared" si="28"/>
        <v>2</v>
      </c>
      <c r="R53" s="133"/>
      <c r="S53" s="119">
        <f>IF(R53="",0,LEN(R53)-LEN(SUBSTITUTE(R53,",",""))+1)+IF(U52&gt;0,U52,0)</f>
        <v>0</v>
      </c>
      <c r="T53" s="119">
        <v>1</v>
      </c>
      <c r="U53" s="120">
        <f t="shared" si="30"/>
        <v>-1</v>
      </c>
      <c r="V53" s="92">
        <f t="shared" si="31"/>
        <v>-1</v>
      </c>
      <c r="W53" s="92" t="s">
        <v>11</v>
      </c>
    </row>
    <row r="54" spans="11:23" x14ac:dyDescent="0.25">
      <c r="K54" s="92" t="s">
        <v>11</v>
      </c>
      <c r="L54" s="124">
        <f t="shared" si="25"/>
        <v>1</v>
      </c>
      <c r="M54" s="130" t="s">
        <v>381</v>
      </c>
      <c r="N54" s="119">
        <f>IF(M54="",0,LEN(M54)-LEN(SUBSTITUTE(M54,",",""))+1)+IF(P53&gt;0,P53,0)</f>
        <v>4</v>
      </c>
      <c r="O54" s="119">
        <v>3</v>
      </c>
      <c r="P54" s="120">
        <f t="shared" si="27"/>
        <v>1</v>
      </c>
      <c r="Q54" s="124">
        <f t="shared" si="28"/>
        <v>1</v>
      </c>
      <c r="R54" s="133"/>
      <c r="S54" s="119">
        <f>IF(R54="",0,LEN(R54)-LEN(SUBSTITUTE(R54,",",""))+1)+IF(U53&gt;0,U53,0)</f>
        <v>0</v>
      </c>
      <c r="T54" s="119">
        <v>3</v>
      </c>
      <c r="U54" s="120">
        <f t="shared" si="30"/>
        <v>-3</v>
      </c>
      <c r="V54" s="92">
        <f t="shared" si="31"/>
        <v>-2</v>
      </c>
      <c r="W54" s="92" t="s">
        <v>11</v>
      </c>
    </row>
    <row r="55" spans="11:23" x14ac:dyDescent="0.25">
      <c r="K55" s="92" t="s">
        <v>11</v>
      </c>
      <c r="L55" s="124"/>
      <c r="M55" s="130"/>
      <c r="N55" s="119"/>
      <c r="O55" s="119"/>
      <c r="P55" s="120"/>
      <c r="Q55" s="124"/>
      <c r="R55" s="133"/>
      <c r="S55" s="119"/>
      <c r="T55" s="119"/>
      <c r="U55" s="120"/>
      <c r="V55" s="92"/>
      <c r="W55" s="92"/>
    </row>
    <row r="56" spans="11:23" x14ac:dyDescent="0.25">
      <c r="K56" s="92" t="s">
        <v>11</v>
      </c>
      <c r="L56" s="124"/>
      <c r="M56" s="130"/>
      <c r="N56" s="119"/>
      <c r="O56" s="119"/>
      <c r="P56" s="120"/>
      <c r="Q56" s="124"/>
      <c r="R56" s="133"/>
      <c r="S56" s="119"/>
      <c r="T56" s="119"/>
      <c r="U56" s="120"/>
      <c r="V56" s="92"/>
      <c r="W56" s="92"/>
    </row>
    <row r="57" spans="11:23" x14ac:dyDescent="0.25">
      <c r="K57" s="93" t="s">
        <v>11</v>
      </c>
      <c r="L57" s="125"/>
      <c r="M57" s="131"/>
      <c r="N57" s="121"/>
      <c r="O57" s="121"/>
      <c r="P57" s="122"/>
      <c r="Q57" s="125"/>
      <c r="R57" s="131"/>
      <c r="S57" s="121"/>
      <c r="T57" s="121"/>
      <c r="U57" s="122"/>
      <c r="V57" s="93"/>
      <c r="W57" s="93"/>
    </row>
  </sheetData>
  <mergeCells count="8">
    <mergeCell ref="L44:P44"/>
    <mergeCell ref="Q44:U44"/>
    <mergeCell ref="L2:P2"/>
    <mergeCell ref="Q2:U2"/>
    <mergeCell ref="L15:P15"/>
    <mergeCell ref="Q15:U15"/>
    <mergeCell ref="L28:P28"/>
    <mergeCell ref="Q28:U28"/>
  </mergeCells>
  <conditionalFormatting sqref="M4:M12 M30:M41 R30:R41 R17:R25 R4:R12 M46:M57 R46:R57 M17:M25">
    <cfRule type="expression" dxfId="78" priority="1">
      <formula>IF(P4&gt;0,1,0)</formula>
    </cfRule>
    <cfRule type="expression" dxfId="77" priority="2">
      <formula>IF(P4&lt;0,1,0)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tabColor theme="3" tint="0.39997558519241921"/>
  </sheetPr>
  <dimension ref="A1:AZ77"/>
  <sheetViews>
    <sheetView topLeftCell="A18" zoomScale="85" zoomScaleNormal="85" workbookViewId="0">
      <selection activeCell="Z27" sqref="Z27"/>
    </sheetView>
  </sheetViews>
  <sheetFormatPr defaultRowHeight="15" x14ac:dyDescent="0.25"/>
  <cols>
    <col min="1" max="1" width="3.140625" customWidth="1"/>
    <col min="2" max="2" width="10.7109375" style="1" bestFit="1" customWidth="1"/>
    <col min="3" max="3" width="20" style="19" bestFit="1" customWidth="1"/>
    <col min="4" max="4" width="4.5703125" style="19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C1" s="253" t="s">
        <v>355</v>
      </c>
      <c r="D1" s="253" t="s">
        <v>356</v>
      </c>
    </row>
    <row r="2" spans="1:52" x14ac:dyDescent="0.25">
      <c r="B2" s="253" t="s">
        <v>357</v>
      </c>
      <c r="C2" s="254">
        <v>6.5</v>
      </c>
      <c r="D2" s="254">
        <v>5</v>
      </c>
    </row>
    <row r="3" spans="1:52" x14ac:dyDescent="0.25">
      <c r="B3" s="253" t="s">
        <v>358</v>
      </c>
      <c r="C3" s="254">
        <v>6.25</v>
      </c>
      <c r="D3" s="254">
        <v>4.5</v>
      </c>
    </row>
    <row r="4" spans="1:52" x14ac:dyDescent="0.25">
      <c r="A4" s="305"/>
      <c r="D4" s="19">
        <v>12</v>
      </c>
      <c r="E4" s="19">
        <v>13</v>
      </c>
      <c r="F4" s="305"/>
      <c r="G4" s="305"/>
      <c r="H4" s="305"/>
      <c r="I4" s="305"/>
      <c r="J4" s="305">
        <v>31</v>
      </c>
      <c r="K4" s="305">
        <v>29</v>
      </c>
      <c r="L4" s="305">
        <v>30</v>
      </c>
      <c r="M4" s="305">
        <v>32</v>
      </c>
      <c r="N4" s="305">
        <v>33</v>
      </c>
      <c r="O4" s="305">
        <v>34</v>
      </c>
      <c r="P4" s="305">
        <v>35</v>
      </c>
      <c r="Q4" s="305">
        <v>36</v>
      </c>
      <c r="R4" s="305">
        <v>37</v>
      </c>
      <c r="S4" s="305">
        <v>38</v>
      </c>
      <c r="T4" s="305">
        <v>39</v>
      </c>
      <c r="U4" s="305"/>
      <c r="V4" s="305"/>
      <c r="W4" s="305"/>
      <c r="X4" s="305"/>
      <c r="Y4" s="305"/>
      <c r="Z4" s="305"/>
      <c r="AA4" s="305"/>
      <c r="AB4" s="305"/>
      <c r="AC4" s="305"/>
      <c r="AD4" s="305">
        <v>19</v>
      </c>
      <c r="AE4" s="305">
        <v>20</v>
      </c>
      <c r="AF4" s="305">
        <v>21</v>
      </c>
      <c r="AG4" s="305">
        <v>22</v>
      </c>
      <c r="AH4" s="305">
        <v>23</v>
      </c>
      <c r="AI4" s="305">
        <v>40</v>
      </c>
      <c r="AJ4" s="305">
        <v>41</v>
      </c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>
        <v>24</v>
      </c>
      <c r="AV4" s="305">
        <v>25</v>
      </c>
      <c r="AW4" s="305">
        <v>26</v>
      </c>
      <c r="AX4" s="305">
        <v>27</v>
      </c>
      <c r="AY4" s="305">
        <v>28</v>
      </c>
      <c r="AZ4" s="305"/>
    </row>
    <row r="5" spans="1:52" s="17" customFormat="1" ht="215.25" customHeight="1" x14ac:dyDescent="0.25">
      <c r="A5" s="18" t="s">
        <v>170</v>
      </c>
      <c r="B5" s="341" t="s">
        <v>102</v>
      </c>
      <c r="C5" s="37" t="str">
        <f>"Player ("&amp;COUNTA(C6:C14)&amp;")"</f>
        <v>Player (7)</v>
      </c>
      <c r="D5" s="37" t="s">
        <v>70</v>
      </c>
      <c r="E5" s="37" t="s">
        <v>80</v>
      </c>
      <c r="F5" s="44" t="e">
        <f>"Only 1 guy who plays only 1B ("&amp;SUM(F6:F14)&amp;")"</f>
        <v>#N/A</v>
      </c>
      <c r="G5" s="38" t="e">
        <f>"Only 1 guy who can only play 1B or LF ("&amp;SUM(G6:G14)&amp;")"</f>
        <v>#N/A</v>
      </c>
      <c r="H5" s="39" t="e">
        <f>"2 guys with RF arms ("&amp;SUM(H6:H14)&amp;")"</f>
        <v>#N/A</v>
      </c>
      <c r="I5" s="39" t="str">
        <f>"2 guys with CF range ("&amp;SUM(I6:I14)&amp;")"</f>
        <v>2 guys with CF range (0)</v>
      </c>
      <c r="J5" s="48" t="s">
        <v>114</v>
      </c>
      <c r="K5" s="40" t="s">
        <v>112</v>
      </c>
      <c r="L5" s="49" t="s">
        <v>113</v>
      </c>
      <c r="M5" s="41" t="s">
        <v>71</v>
      </c>
      <c r="N5" s="41" t="s">
        <v>73</v>
      </c>
      <c r="O5" s="41" t="s">
        <v>74</v>
      </c>
      <c r="P5" s="41" t="s">
        <v>75</v>
      </c>
      <c r="Q5" s="41" t="s">
        <v>76</v>
      </c>
      <c r="R5" s="41" t="s">
        <v>77</v>
      </c>
      <c r="S5" s="41" t="s">
        <v>78</v>
      </c>
      <c r="T5" s="42" t="s">
        <v>79</v>
      </c>
      <c r="U5" s="44" t="s">
        <v>115</v>
      </c>
      <c r="V5" s="38" t="s">
        <v>158</v>
      </c>
      <c r="W5" s="38" t="s">
        <v>116</v>
      </c>
      <c r="X5" s="38" t="s">
        <v>132</v>
      </c>
      <c r="Y5" s="38" t="s">
        <v>131</v>
      </c>
      <c r="Z5" s="38" t="s">
        <v>119</v>
      </c>
      <c r="AA5" s="38" t="s">
        <v>120</v>
      </c>
      <c r="AB5" s="38" t="s">
        <v>136</v>
      </c>
      <c r="AC5" s="53" t="s">
        <v>121</v>
      </c>
      <c r="AD5" s="41" t="s">
        <v>125</v>
      </c>
      <c r="AE5" s="41" t="s">
        <v>126</v>
      </c>
      <c r="AF5" s="41" t="s">
        <v>127</v>
      </c>
      <c r="AG5" s="41" t="s">
        <v>128</v>
      </c>
      <c r="AH5" s="41" t="s">
        <v>21</v>
      </c>
      <c r="AI5" s="56" t="s">
        <v>129</v>
      </c>
      <c r="AJ5" s="42" t="s">
        <v>130</v>
      </c>
      <c r="AK5" s="59" t="s">
        <v>134</v>
      </c>
      <c r="AL5" s="44" t="s">
        <v>115</v>
      </c>
      <c r="AM5" s="38" t="s">
        <v>158</v>
      </c>
      <c r="AN5" s="38" t="s">
        <v>116</v>
      </c>
      <c r="AO5" s="38" t="s">
        <v>132</v>
      </c>
      <c r="AP5" s="38" t="s">
        <v>131</v>
      </c>
      <c r="AQ5" s="38" t="s">
        <v>119</v>
      </c>
      <c r="AR5" s="38" t="s">
        <v>120</v>
      </c>
      <c r="AS5" s="38" t="s">
        <v>136</v>
      </c>
      <c r="AT5" s="53" t="s">
        <v>121</v>
      </c>
      <c r="AU5" s="56" t="s">
        <v>125</v>
      </c>
      <c r="AV5" s="41" t="s">
        <v>126</v>
      </c>
      <c r="AW5" s="41" t="s">
        <v>127</v>
      </c>
      <c r="AX5" s="41" t="s">
        <v>128</v>
      </c>
      <c r="AY5" s="42" t="s">
        <v>21</v>
      </c>
      <c r="AZ5" s="59" t="s">
        <v>174</v>
      </c>
    </row>
    <row r="6" spans="1:52" x14ac:dyDescent="0.25">
      <c r="A6" s="305">
        <v>1</v>
      </c>
      <c r="B6" s="25" t="s">
        <v>73</v>
      </c>
      <c r="C6" s="30" t="s">
        <v>729</v>
      </c>
      <c r="D6" s="26">
        <f>IF($C6="","",VLOOKUP($C6,AMABat!$A$10:$BV$140,D$4,FALSE))</f>
        <v>32</v>
      </c>
      <c r="E6" s="26" t="str">
        <f>IF($C6="","",VLOOKUP($C6,AMABat!$A$10:$BV$140,E$4,FALSE))</f>
        <v>R</v>
      </c>
      <c r="F6" s="45">
        <f t="shared" ref="F6:F8" si="0">IF($C6="","",IF(AND(O6&gt;0,O6=SUM(M6:T6)),1,0))</f>
        <v>1</v>
      </c>
      <c r="G6" s="27">
        <f t="shared" ref="G6:G8" si="1">IF($C6="","",IF(Q6&lt;&gt;"-",1,0))</f>
        <v>0</v>
      </c>
      <c r="H6" s="27">
        <f t="shared" ref="H6:H8" si="2">IF($C6="","",IF(AND(K6&gt;5,P6&lt;&gt;"-"),1,0))</f>
        <v>0</v>
      </c>
      <c r="I6" s="27" t="str">
        <f t="shared" ref="I6:I14" si="3">IF($C6="","","-")</f>
        <v>-</v>
      </c>
      <c r="J6" s="50">
        <f>IF($C6="","",VLOOKUP($C6,AMABat!$A$10:$BV$140,J$4,FALSE))</f>
        <v>1</v>
      </c>
      <c r="K6" s="26">
        <f>IF($C6="","",VLOOKUP($C6,AMABat!$A$10:$BV$140,K$4,FALSE))</f>
        <v>2</v>
      </c>
      <c r="L6" s="28">
        <f>IF($C6="","",VLOOKUP($C6,AMABat!$A$10:$BV$140,L$4,FALSE))</f>
        <v>3</v>
      </c>
      <c r="M6" s="26" t="str">
        <f>IF($C6="","",VLOOKUP($C6,AMABat!$A$10:$BV$140,M$4,FALSE))</f>
        <v>-</v>
      </c>
      <c r="N6" s="26" t="str">
        <f>IF($C6="","",VLOOKUP($C6,AMABat!$A$10:$BV$140,N$4,FALSE))</f>
        <v>-</v>
      </c>
      <c r="O6" s="26">
        <f>IF($C6="","",VLOOKUP($C6,AMABat!$A$10:$BV$140,O$4,FALSE))</f>
        <v>3</v>
      </c>
      <c r="P6" s="26" t="str">
        <f>IF($C6="","",VLOOKUP($C6,AMABat!$A$10:$BV$140,P$4,FALSE))</f>
        <v>-</v>
      </c>
      <c r="Q6" s="26" t="str">
        <f>IF($C6="","",VLOOKUP($C6,AMABat!$A$10:$BV$140,Q$4,FALSE))</f>
        <v>-</v>
      </c>
      <c r="R6" s="26" t="str">
        <f>IF($C6="","",VLOOKUP($C6,AMABat!$A$10:$BV$140,R$4,FALSE))</f>
        <v>-</v>
      </c>
      <c r="S6" s="26" t="str">
        <f>IF($C6="","",VLOOKUP($C6,AMABat!$A$10:$BV$140,S$4,FALSE))</f>
        <v>-</v>
      </c>
      <c r="T6" s="28" t="str">
        <f>IF($C6="","",VLOOKUP($C6,AMABat!$A$10:$BV$140,T$4,FALSE))</f>
        <v>-</v>
      </c>
      <c r="U6" s="345">
        <f t="shared" ref="U6:U8" si="4">IF($C6="","",IF(OR(AD6+AG6&gt;14,AND(OR(AD6+AG6&gt;12,AND(AD6&gt;6,AG6&gt;6)),AI6&gt;6,OR(AJ6&gt;=AI6,AJ6&gt;6))),1,0))</f>
        <v>0</v>
      </c>
      <c r="V6" s="339">
        <f t="shared" ref="V6:V8" si="5">IF($C6="","",IF(OR(AND(AD6&gt;6,AH6&gt;6),AD6+AG6&gt;12),1,0))</f>
        <v>1</v>
      </c>
      <c r="W6" s="27">
        <f t="shared" ref="W6:W8" si="6">IF($C6="","",IF(AND(AD6&gt;6,AF6&gt;6,AG6&gt;6),1,0))</f>
        <v>0</v>
      </c>
      <c r="X6" s="27">
        <f t="shared" ref="X6:X8" si="7">IF($C6="","",IF(AND(AF6&gt;7,OR(AD6&gt;6,AG6&gt;6)),1,0))</f>
        <v>0</v>
      </c>
      <c r="Y6" s="27">
        <f t="shared" ref="Y6:Y8" si="8">IF($C6="","",IF(AND(AF6&gt;6,OR(AD6&gt;6,AG6&gt;6)),1,0))</f>
        <v>1</v>
      </c>
      <c r="Z6" s="27">
        <f t="shared" ref="Z6:Z8" si="9">IF($C6="","",IF(AND(OR(AD6&gt;6,AF6&gt;6),OR(AD6&gt;6,AG6&gt;6)),1,0))</f>
        <v>1</v>
      </c>
      <c r="AA6" s="27">
        <f t="shared" ref="AA6:AA8" si="10">IF($C6="","",IF(AND(AD6&gt;4,OR(AD6&gt;6,AF6&gt;6,AG6&gt;6)),1,0))</f>
        <v>1</v>
      </c>
      <c r="AB6" s="27">
        <f t="shared" ref="AB6:AB8" si="11">IF($C6="","",IF(AND(AD6&gt;4,OR(AD6&gt;6,AE6&gt;6,AF6&gt;6,AG6&gt;6)),1,0))</f>
        <v>1</v>
      </c>
      <c r="AC6" s="54">
        <f t="shared" ref="AC6:AC8" si="12">IF($C6="","",IF(AND(AD6&gt;4,MAX(AD6:AH6)&gt;6),1,0))</f>
        <v>1</v>
      </c>
      <c r="AD6" s="26">
        <f>IF($C6="","",VLOOKUP($C6,AMABat!$A$10:$BV$140,AD$4,FALSE))</f>
        <v>6</v>
      </c>
      <c r="AE6" s="26">
        <f>IF($C6="","",VLOOKUP($C6,AMABat!$A$10:$BV$140,AE$4,FALSE))</f>
        <v>3</v>
      </c>
      <c r="AF6" s="26">
        <f>IF($C6="","",VLOOKUP($C6,AMABat!$A$10:$BV$140,AF$4,FALSE))</f>
        <v>7</v>
      </c>
      <c r="AG6" s="26">
        <f>IF($C6="","",VLOOKUP($C6,AMABat!$A$10:$BV$140,AG$4,FALSE))</f>
        <v>7</v>
      </c>
      <c r="AH6" s="26">
        <f>IF($C6="","",VLOOKUP($C6,AMABat!$A$10:$BV$140,AH$4,FALSE))</f>
        <v>3</v>
      </c>
      <c r="AI6" s="50" t="str">
        <f>IF($C6="","",VLOOKUP($C6,AMABat!$A$10:$BV$140,AI$4,FALSE))</f>
        <v>-</v>
      </c>
      <c r="AJ6" s="28">
        <f>IF($C6="","",VLOOKUP($C6,AMABat!$A$10:$BV$140,AJ$4,FALSE))</f>
        <v>2</v>
      </c>
      <c r="AK6" s="60">
        <f t="shared" ref="AK6:AK8" si="13">IF($C6="","",(5*AD6+4*AF6+3*AG6+2*AE6+1*AH6+0.5*(AVERAGE(AD6:AE6))+0.5*AVERAGE(AD6,AH6)+1*(AVERAGE(AD6,AF6))+1*AVERAGE(AD6,AG6))/(5+4+3+2+1+0.5+0.5+1+1))</f>
        <v>5.8611111111111107</v>
      </c>
      <c r="AL6" s="45">
        <f t="shared" ref="AL6:AL8" si="14">IF($C6="","",IF(AND(OR(AU6+AX6&gt;12,AND(AU6&gt;6,AX6&gt;6)),AI6&gt;6,OR(AJ6&gt;=AI6,AJ6&gt;6)),1,0))</f>
        <v>0</v>
      </c>
      <c r="AM6" s="27">
        <f t="shared" ref="AM6:AM8" si="15">IF($C6="","",IF(OR(AND(AU6&gt;6,AY6&gt;6),AU6+AX6&gt;12),1,0))</f>
        <v>1</v>
      </c>
      <c r="AN6" s="27">
        <f t="shared" ref="AN6:AN8" si="16">IF($C6="","",IF(AND(AU6&gt;6,AW6&gt;6,AX6&gt;6),1,0))</f>
        <v>0</v>
      </c>
      <c r="AO6" s="27">
        <f t="shared" ref="AO6:AO8" si="17">IF($C6="","",IF(AND(AW6&gt;7,OR(AU6&gt;6,AX6&gt;6)),1,0))</f>
        <v>0</v>
      </c>
      <c r="AP6" s="27">
        <f t="shared" ref="AP6:AP8" si="18">IF($C6="","",IF(AND(AW6&gt;6,OR(AU6&gt;6,AX6&gt;6)),1,0))</f>
        <v>1</v>
      </c>
      <c r="AQ6" s="27">
        <f t="shared" ref="AQ6:AQ8" si="19">IF($C6="","",IF(AND(OR(AU6&gt;6,AW6&gt;6),OR(AU6&gt;6,AX6&gt;6)),1,0))</f>
        <v>1</v>
      </c>
      <c r="AR6" s="27">
        <f t="shared" ref="AR6:AR8" si="20">IF($C6="","",IF(AND(AU6&gt;4,OR(AU6&gt;6,AW6&gt;6,AX6&gt;6)),1,0))</f>
        <v>1</v>
      </c>
      <c r="AS6" s="27">
        <f t="shared" ref="AS6:AS8" si="21">IF($C6="","",IF(AND(AU6&gt;4,OR(AU6&gt;6,AV6&gt;6,AW6&gt;6,AX6&gt;6)),1,0))</f>
        <v>1</v>
      </c>
      <c r="AT6" s="54">
        <f t="shared" ref="AT6:AT8" si="22">IF($C6="","",IF(AND(AU6&gt;4,MAX(AU6:AY6)&gt;6),1,0))</f>
        <v>1</v>
      </c>
      <c r="AU6" s="50">
        <f>IF($C6="","",VLOOKUP($C6,AMABat!$A$10:$BV$140,AU$4,FALSE))</f>
        <v>6</v>
      </c>
      <c r="AV6" s="26">
        <f>IF($C6="","",VLOOKUP($C6,AMABat!$A$10:$BV$140,AV$4,FALSE))</f>
        <v>3</v>
      </c>
      <c r="AW6" s="26">
        <f>IF($C6="","",VLOOKUP($C6,AMABat!$A$10:$BV$140,AW$4,FALSE))</f>
        <v>7</v>
      </c>
      <c r="AX6" s="26">
        <f>IF($C6="","",VLOOKUP($C6,AMABat!$A$10:$BV$140,AX$4,FALSE))</f>
        <v>7</v>
      </c>
      <c r="AY6" s="28">
        <f>IF($C6="","",VLOOKUP($C6,AMABat!$A$10:$BV$140,AY$4,FALSE))</f>
        <v>3</v>
      </c>
      <c r="AZ6" s="60">
        <f t="shared" ref="AZ6:AZ8" si="23">IF($C6="","",(5*AU6+4*AW6+3*AX6+2*AV6+1*AY6+0.5*(AVERAGE(AU6:AV6))+0.5*AVERAGE(AU6,AY6)+1*(AVERAGE(AU6,AW6))+1*AVERAGE(AU6,AX6))/(5+4+3+2+1+0.5+0.5+1+1))</f>
        <v>5.8611111111111107</v>
      </c>
    </row>
    <row r="7" spans="1:52" x14ac:dyDescent="0.25">
      <c r="A7" s="305">
        <v>2</v>
      </c>
      <c r="B7" s="29" t="s">
        <v>77</v>
      </c>
      <c r="C7" s="58" t="s">
        <v>622</v>
      </c>
      <c r="D7" s="30" t="e">
        <f>IF($C7="","",VLOOKUP($C7,AMABat!$A$10:$BV$140,D$4,FALSE))</f>
        <v>#N/A</v>
      </c>
      <c r="E7" s="30" t="e">
        <f>IF($C7="","",VLOOKUP($C7,AMABat!$A$10:$BV$140,E$4,FALSE))</f>
        <v>#N/A</v>
      </c>
      <c r="F7" s="345" t="e">
        <f t="shared" si="0"/>
        <v>#N/A</v>
      </c>
      <c r="G7" s="339" t="e">
        <f t="shared" si="1"/>
        <v>#N/A</v>
      </c>
      <c r="H7" s="339" t="e">
        <f t="shared" si="2"/>
        <v>#N/A</v>
      </c>
      <c r="I7" s="339" t="str">
        <f t="shared" si="3"/>
        <v>-</v>
      </c>
      <c r="J7" s="51" t="e">
        <f>IF($C7="","",VLOOKUP($C7,AMABat!$A$10:$BV$140,J$4,FALSE))</f>
        <v>#N/A</v>
      </c>
      <c r="K7" s="30" t="e">
        <f>IF($C7="","",VLOOKUP($C7,AMABat!$A$10:$BV$140,K$4,FALSE))</f>
        <v>#N/A</v>
      </c>
      <c r="L7" s="31" t="e">
        <f>IF($C7="","",VLOOKUP($C7,AMABat!$A$10:$BV$140,L$4,FALSE))</f>
        <v>#N/A</v>
      </c>
      <c r="M7" s="30" t="e">
        <f>IF($C7="","",VLOOKUP($C7,AMABat!$A$10:$BV$140,M$4,FALSE))</f>
        <v>#N/A</v>
      </c>
      <c r="N7" s="30" t="e">
        <f>IF($C7="","",VLOOKUP($C7,AMABat!$A$10:$BV$140,N$4,FALSE))</f>
        <v>#N/A</v>
      </c>
      <c r="O7" s="30" t="e">
        <f>IF($C7="","",VLOOKUP($C7,AMABat!$A$10:$BV$140,O$4,FALSE))</f>
        <v>#N/A</v>
      </c>
      <c r="P7" s="30" t="e">
        <f>IF($C7="","",VLOOKUP($C7,AMABat!$A$10:$BV$140,P$4,FALSE))</f>
        <v>#N/A</v>
      </c>
      <c r="Q7" s="30" t="e">
        <f>IF($C7="","",VLOOKUP($C7,AMABat!$A$10:$BV$140,Q$4,FALSE))</f>
        <v>#N/A</v>
      </c>
      <c r="R7" s="30" t="e">
        <f>IF($C7="","",VLOOKUP($C7,AMABat!$A$10:$BV$140,R$4,FALSE))</f>
        <v>#N/A</v>
      </c>
      <c r="S7" s="30" t="e">
        <f>IF($C7="","",VLOOKUP($C7,AMABat!$A$10:$BV$140,S$4,FALSE))</f>
        <v>#N/A</v>
      </c>
      <c r="T7" s="31" t="e">
        <f>IF($C7="","",VLOOKUP($C7,AMABat!$A$10:$BV$140,T$4,FALSE))</f>
        <v>#N/A</v>
      </c>
      <c r="U7" s="345" t="e">
        <f t="shared" si="4"/>
        <v>#N/A</v>
      </c>
      <c r="V7" s="339" t="e">
        <f t="shared" si="5"/>
        <v>#N/A</v>
      </c>
      <c r="W7" s="339" t="e">
        <f t="shared" si="6"/>
        <v>#N/A</v>
      </c>
      <c r="X7" s="339" t="e">
        <f t="shared" si="7"/>
        <v>#N/A</v>
      </c>
      <c r="Y7" s="339" t="e">
        <f t="shared" si="8"/>
        <v>#N/A</v>
      </c>
      <c r="Z7" s="339" t="e">
        <f t="shared" si="9"/>
        <v>#N/A</v>
      </c>
      <c r="AA7" s="339" t="e">
        <f t="shared" si="10"/>
        <v>#N/A</v>
      </c>
      <c r="AB7" s="339" t="e">
        <f t="shared" si="11"/>
        <v>#N/A</v>
      </c>
      <c r="AC7" s="340" t="e">
        <f t="shared" si="12"/>
        <v>#N/A</v>
      </c>
      <c r="AD7" s="30" t="e">
        <f>IF($C7="","",VLOOKUP($C7,AMABat!$A$10:$BV$140,AD$4,FALSE))</f>
        <v>#N/A</v>
      </c>
      <c r="AE7" s="30" t="e">
        <f>IF($C7="","",VLOOKUP($C7,AMABat!$A$10:$BV$140,AE$4,FALSE))</f>
        <v>#N/A</v>
      </c>
      <c r="AF7" s="30" t="e">
        <f>IF($C7="","",VLOOKUP($C7,AMABat!$A$10:$BV$140,AF$4,FALSE))</f>
        <v>#N/A</v>
      </c>
      <c r="AG7" s="30" t="e">
        <f>IF($C7="","",VLOOKUP($C7,AMABat!$A$10:$BV$140,AG$4,FALSE))</f>
        <v>#N/A</v>
      </c>
      <c r="AH7" s="30" t="e">
        <f>IF($C7="","",VLOOKUP($C7,AMABat!$A$10:$BV$140,AH$4,FALSE))</f>
        <v>#N/A</v>
      </c>
      <c r="AI7" s="51" t="e">
        <f>IF($C7="","",VLOOKUP($C7,AMABat!$A$10:$BV$140,AI$4,FALSE))</f>
        <v>#N/A</v>
      </c>
      <c r="AJ7" s="31" t="e">
        <f>IF($C7="","",VLOOKUP($C7,AMABat!$A$10:$BV$140,AJ$4,FALSE))</f>
        <v>#N/A</v>
      </c>
      <c r="AK7" s="60" t="e">
        <f t="shared" si="13"/>
        <v>#N/A</v>
      </c>
      <c r="AL7" s="345" t="e">
        <f t="shared" si="14"/>
        <v>#N/A</v>
      </c>
      <c r="AM7" s="339" t="e">
        <f t="shared" si="15"/>
        <v>#N/A</v>
      </c>
      <c r="AN7" s="339" t="e">
        <f t="shared" si="16"/>
        <v>#N/A</v>
      </c>
      <c r="AO7" s="339" t="e">
        <f t="shared" si="17"/>
        <v>#N/A</v>
      </c>
      <c r="AP7" s="339" t="e">
        <f t="shared" si="18"/>
        <v>#N/A</v>
      </c>
      <c r="AQ7" s="339" t="e">
        <f t="shared" si="19"/>
        <v>#N/A</v>
      </c>
      <c r="AR7" s="339" t="e">
        <f t="shared" si="20"/>
        <v>#N/A</v>
      </c>
      <c r="AS7" s="339" t="e">
        <f t="shared" si="21"/>
        <v>#N/A</v>
      </c>
      <c r="AT7" s="340" t="e">
        <f t="shared" si="22"/>
        <v>#N/A</v>
      </c>
      <c r="AU7" s="51" t="e">
        <f>IF($C7="","",VLOOKUP($C7,AMABat!$A$10:$BV$140,AU$4,FALSE))</f>
        <v>#N/A</v>
      </c>
      <c r="AV7" s="30" t="e">
        <f>IF($C7="","",VLOOKUP($C7,AMABat!$A$10:$BV$140,AV$4,FALSE))</f>
        <v>#N/A</v>
      </c>
      <c r="AW7" s="30" t="e">
        <f>IF($C7="","",VLOOKUP($C7,AMABat!$A$10:$BV$140,AW$4,FALSE))</f>
        <v>#N/A</v>
      </c>
      <c r="AX7" s="30" t="e">
        <f>IF($C7="","",VLOOKUP($C7,AMABat!$A$10:$BV$140,AX$4,FALSE))</f>
        <v>#N/A</v>
      </c>
      <c r="AY7" s="31" t="e">
        <f>IF($C7="","",VLOOKUP($C7,AMABat!$A$10:$BV$140,AY$4,FALSE))</f>
        <v>#N/A</v>
      </c>
      <c r="AZ7" s="60" t="e">
        <f t="shared" si="23"/>
        <v>#N/A</v>
      </c>
    </row>
    <row r="8" spans="1:52" x14ac:dyDescent="0.25">
      <c r="A8" s="305">
        <v>3</v>
      </c>
      <c r="B8" s="29" t="s">
        <v>78</v>
      </c>
      <c r="C8" s="58" t="s">
        <v>750</v>
      </c>
      <c r="D8" s="30" t="e">
        <f>IF($C8="","",VLOOKUP($C8,AMABat!$A$10:$BV$140,D$4,FALSE))</f>
        <v>#N/A</v>
      </c>
      <c r="E8" s="30" t="e">
        <f>IF($C8="","",VLOOKUP($C8,AMABat!$A$10:$BV$140,E$4,FALSE))</f>
        <v>#N/A</v>
      </c>
      <c r="F8" s="345" t="e">
        <f t="shared" si="0"/>
        <v>#N/A</v>
      </c>
      <c r="G8" s="339" t="e">
        <f t="shared" si="1"/>
        <v>#N/A</v>
      </c>
      <c r="H8" s="339" t="e">
        <f t="shared" si="2"/>
        <v>#N/A</v>
      </c>
      <c r="I8" s="339" t="str">
        <f t="shared" si="3"/>
        <v>-</v>
      </c>
      <c r="J8" s="51" t="e">
        <f>IF($C8="","",VLOOKUP($C8,AMABat!$A$10:$BV$140,J$4,FALSE))</f>
        <v>#N/A</v>
      </c>
      <c r="K8" s="30" t="e">
        <f>IF($C8="","",VLOOKUP($C8,AMABat!$A$10:$BV$140,K$4,FALSE))</f>
        <v>#N/A</v>
      </c>
      <c r="L8" s="31" t="e">
        <f>IF($C8="","",VLOOKUP($C8,AMABat!$A$10:$BV$140,L$4,FALSE))</f>
        <v>#N/A</v>
      </c>
      <c r="M8" s="30" t="e">
        <f>IF($C8="","",VLOOKUP($C8,AMABat!$A$10:$BV$140,M$4,FALSE))</f>
        <v>#N/A</v>
      </c>
      <c r="N8" s="30" t="e">
        <f>IF($C8="","",VLOOKUP($C8,AMABat!$A$10:$BV$140,N$4,FALSE))</f>
        <v>#N/A</v>
      </c>
      <c r="O8" s="30" t="e">
        <f>IF($C8="","",VLOOKUP($C8,AMABat!$A$10:$BV$140,O$4,FALSE))</f>
        <v>#N/A</v>
      </c>
      <c r="P8" s="30" t="e">
        <f>IF($C8="","",VLOOKUP($C8,AMABat!$A$10:$BV$140,P$4,FALSE))</f>
        <v>#N/A</v>
      </c>
      <c r="Q8" s="30" t="e">
        <f>IF($C8="","",VLOOKUP($C8,AMABat!$A$10:$BV$140,Q$4,FALSE))</f>
        <v>#N/A</v>
      </c>
      <c r="R8" s="30" t="e">
        <f>IF($C8="","",VLOOKUP($C8,AMABat!$A$10:$BV$140,R$4,FALSE))</f>
        <v>#N/A</v>
      </c>
      <c r="S8" s="30" t="e">
        <f>IF($C8="","",VLOOKUP($C8,AMABat!$A$10:$BV$140,S$4,FALSE))</f>
        <v>#N/A</v>
      </c>
      <c r="T8" s="31" t="e">
        <f>IF($C8="","",VLOOKUP($C8,AMABat!$A$10:$BV$140,T$4,FALSE))</f>
        <v>#N/A</v>
      </c>
      <c r="U8" s="345" t="e">
        <f t="shared" si="4"/>
        <v>#N/A</v>
      </c>
      <c r="V8" s="339" t="e">
        <f t="shared" si="5"/>
        <v>#N/A</v>
      </c>
      <c r="W8" s="339" t="e">
        <f t="shared" si="6"/>
        <v>#N/A</v>
      </c>
      <c r="X8" s="339" t="e">
        <f t="shared" si="7"/>
        <v>#N/A</v>
      </c>
      <c r="Y8" s="339" t="e">
        <f t="shared" si="8"/>
        <v>#N/A</v>
      </c>
      <c r="Z8" s="339" t="e">
        <f t="shared" si="9"/>
        <v>#N/A</v>
      </c>
      <c r="AA8" s="339" t="e">
        <f t="shared" si="10"/>
        <v>#N/A</v>
      </c>
      <c r="AB8" s="339" t="e">
        <f t="shared" si="11"/>
        <v>#N/A</v>
      </c>
      <c r="AC8" s="340" t="e">
        <f t="shared" si="12"/>
        <v>#N/A</v>
      </c>
      <c r="AD8" s="30" t="e">
        <f>IF($C8="","",VLOOKUP($C8,AMABat!$A$10:$BV$140,AD$4,FALSE))</f>
        <v>#N/A</v>
      </c>
      <c r="AE8" s="30" t="e">
        <f>IF($C8="","",VLOOKUP($C8,AMABat!$A$10:$BV$140,AE$4,FALSE))</f>
        <v>#N/A</v>
      </c>
      <c r="AF8" s="30" t="e">
        <f>IF($C8="","",VLOOKUP($C8,AMABat!$A$10:$BV$140,AF$4,FALSE))</f>
        <v>#N/A</v>
      </c>
      <c r="AG8" s="30" t="e">
        <f>IF($C8="","",VLOOKUP($C8,AMABat!$A$10:$BV$140,AG$4,FALSE))</f>
        <v>#N/A</v>
      </c>
      <c r="AH8" s="30" t="e">
        <f>IF($C8="","",VLOOKUP($C8,AMABat!$A$10:$BV$140,AH$4,FALSE))</f>
        <v>#N/A</v>
      </c>
      <c r="AI8" s="51" t="e">
        <f>IF($C8="","",VLOOKUP($C8,AMABat!$A$10:$BV$140,AI$4,FALSE))</f>
        <v>#N/A</v>
      </c>
      <c r="AJ8" s="31" t="e">
        <f>IF($C8="","",VLOOKUP($C8,AMABat!$A$10:$BV$140,AJ$4,FALSE))</f>
        <v>#N/A</v>
      </c>
      <c r="AK8" s="60" t="e">
        <f t="shared" si="13"/>
        <v>#N/A</v>
      </c>
      <c r="AL8" s="345" t="e">
        <f t="shared" si="14"/>
        <v>#N/A</v>
      </c>
      <c r="AM8" s="339" t="e">
        <f t="shared" si="15"/>
        <v>#N/A</v>
      </c>
      <c r="AN8" s="339" t="e">
        <f t="shared" si="16"/>
        <v>#N/A</v>
      </c>
      <c r="AO8" s="339" t="e">
        <f t="shared" si="17"/>
        <v>#N/A</v>
      </c>
      <c r="AP8" s="339" t="e">
        <f t="shared" si="18"/>
        <v>#N/A</v>
      </c>
      <c r="AQ8" s="339" t="e">
        <f t="shared" si="19"/>
        <v>#N/A</v>
      </c>
      <c r="AR8" s="339" t="e">
        <f t="shared" si="20"/>
        <v>#N/A</v>
      </c>
      <c r="AS8" s="339" t="e">
        <f t="shared" si="21"/>
        <v>#N/A</v>
      </c>
      <c r="AT8" s="340" t="e">
        <f t="shared" si="22"/>
        <v>#N/A</v>
      </c>
      <c r="AU8" s="51" t="e">
        <f>IF($C8="","",VLOOKUP($C8,AMABat!$A$10:$BV$140,AU$4,FALSE))</f>
        <v>#N/A</v>
      </c>
      <c r="AV8" s="30" t="e">
        <f>IF($C8="","",VLOOKUP($C8,AMABat!$A$10:$BV$140,AV$4,FALSE))</f>
        <v>#N/A</v>
      </c>
      <c r="AW8" s="30" t="e">
        <f>IF($C8="","",VLOOKUP($C8,AMABat!$A$10:$BV$140,AW$4,FALSE))</f>
        <v>#N/A</v>
      </c>
      <c r="AX8" s="30" t="e">
        <f>IF($C8="","",VLOOKUP($C8,AMABat!$A$10:$BV$140,AX$4,FALSE))</f>
        <v>#N/A</v>
      </c>
      <c r="AY8" s="31" t="e">
        <f>IF($C8="","",VLOOKUP($C8,AMABat!$A$10:$BV$140,AY$4,FALSE))</f>
        <v>#N/A</v>
      </c>
      <c r="AZ8" s="60" t="e">
        <f t="shared" si="23"/>
        <v>#N/A</v>
      </c>
    </row>
    <row r="9" spans="1:52" x14ac:dyDescent="0.25">
      <c r="A9" s="305">
        <v>4</v>
      </c>
      <c r="B9" s="29" t="s">
        <v>79</v>
      </c>
      <c r="C9" s="58" t="s">
        <v>478</v>
      </c>
      <c r="D9" s="30" t="e">
        <f>IF($C9="","",VLOOKUP($C9,AMABat!$A$10:$BV$140,D$4,FALSE))</f>
        <v>#N/A</v>
      </c>
      <c r="E9" s="30" t="e">
        <f>IF($C9="","",VLOOKUP($C9,AMABat!$A$10:$BV$140,E$4,FALSE))</f>
        <v>#N/A</v>
      </c>
      <c r="F9" s="345" t="e">
        <f t="shared" ref="F9" si="24">IF($C9="","",IF(AND(O9&gt;0,O9=SUM(M9:T9)),1,0))</f>
        <v>#N/A</v>
      </c>
      <c r="G9" s="339" t="e">
        <f t="shared" ref="G9" si="25">IF($C9="","",IF(Q9&lt;&gt;"-",1,0))</f>
        <v>#N/A</v>
      </c>
      <c r="H9" s="339" t="e">
        <f t="shared" ref="H9" si="26">IF($C9="","",IF(AND(K9&gt;5,P9&lt;&gt;"-"),1,0))</f>
        <v>#N/A</v>
      </c>
      <c r="I9" s="339" t="str">
        <f t="shared" si="3"/>
        <v>-</v>
      </c>
      <c r="J9" s="51" t="e">
        <f>IF($C9="","",VLOOKUP($C9,AMABat!$A$10:$BV$140,J$4,FALSE))</f>
        <v>#N/A</v>
      </c>
      <c r="K9" s="30" t="e">
        <f>IF($C9="","",VLOOKUP($C9,AMABat!$A$10:$BV$140,K$4,FALSE))</f>
        <v>#N/A</v>
      </c>
      <c r="L9" s="31" t="e">
        <f>IF($C9="","",VLOOKUP($C9,AMABat!$A$10:$BV$140,L$4,FALSE))</f>
        <v>#N/A</v>
      </c>
      <c r="M9" s="30" t="e">
        <f>IF($C9="","",VLOOKUP($C9,AMABat!$A$10:$BV$140,M$4,FALSE))</f>
        <v>#N/A</v>
      </c>
      <c r="N9" s="30" t="e">
        <f>IF($C9="","",VLOOKUP($C9,AMABat!$A$10:$BV$140,N$4,FALSE))</f>
        <v>#N/A</v>
      </c>
      <c r="O9" s="30" t="e">
        <f>IF($C9="","",VLOOKUP($C9,AMABat!$A$10:$BV$140,O$4,FALSE))</f>
        <v>#N/A</v>
      </c>
      <c r="P9" s="30" t="e">
        <f>IF($C9="","",VLOOKUP($C9,AMABat!$A$10:$BV$140,P$4,FALSE))</f>
        <v>#N/A</v>
      </c>
      <c r="Q9" s="30" t="e">
        <f>IF($C9="","",VLOOKUP($C9,AMABat!$A$10:$BV$140,Q$4,FALSE))</f>
        <v>#N/A</v>
      </c>
      <c r="R9" s="30" t="e">
        <f>IF($C9="","",VLOOKUP($C9,AMABat!$A$10:$BV$140,R$4,FALSE))</f>
        <v>#N/A</v>
      </c>
      <c r="S9" s="30" t="e">
        <f>IF($C9="","",VLOOKUP($C9,AMABat!$A$10:$BV$140,S$4,FALSE))</f>
        <v>#N/A</v>
      </c>
      <c r="T9" s="31" t="e">
        <f>IF($C9="","",VLOOKUP($C9,AMABat!$A$10:$BV$140,T$4,FALSE))</f>
        <v>#N/A</v>
      </c>
      <c r="U9" s="345" t="e">
        <f t="shared" ref="U9" si="27">IF($C9="","",IF(OR(AD9+AG9&gt;14,AND(OR(AD9+AG9&gt;12,AND(AD9&gt;6,AG9&gt;6)),AI9&gt;6,OR(AJ9&gt;=AI9,AJ9&gt;6))),1,0))</f>
        <v>#N/A</v>
      </c>
      <c r="V9" s="339" t="e">
        <f t="shared" ref="V9" si="28">IF($C9="","",IF(OR(AND(AD9&gt;6,AH9&gt;6),AD9+AG9&gt;12),1,0))</f>
        <v>#N/A</v>
      </c>
      <c r="W9" s="339" t="e">
        <f t="shared" ref="W9" si="29">IF($C9="","",IF(AND(AD9&gt;6,AF9&gt;6,AG9&gt;6),1,0))</f>
        <v>#N/A</v>
      </c>
      <c r="X9" s="339" t="e">
        <f t="shared" ref="X9" si="30">IF($C9="","",IF(AND(AF9&gt;7,OR(AD9&gt;6,AG9&gt;6)),1,0))</f>
        <v>#N/A</v>
      </c>
      <c r="Y9" s="339" t="e">
        <f t="shared" ref="Y9" si="31">IF($C9="","",IF(AND(AF9&gt;6,OR(AD9&gt;6,AG9&gt;6)),1,0))</f>
        <v>#N/A</v>
      </c>
      <c r="Z9" s="339" t="e">
        <f t="shared" ref="Z9" si="32">IF($C9="","",IF(AND(OR(AD9&gt;6,AF9&gt;6),OR(AD9&gt;6,AG9&gt;6)),1,0))</f>
        <v>#N/A</v>
      </c>
      <c r="AA9" s="339" t="e">
        <f t="shared" ref="AA9" si="33">IF($C9="","",IF(AND(AD9&gt;4,OR(AD9&gt;6,AF9&gt;6,AG9&gt;6)),1,0))</f>
        <v>#N/A</v>
      </c>
      <c r="AB9" s="339" t="e">
        <f t="shared" ref="AB9" si="34">IF($C9="","",IF(AND(AD9&gt;4,OR(AD9&gt;6,AE9&gt;6,AF9&gt;6,AG9&gt;6)),1,0))</f>
        <v>#N/A</v>
      </c>
      <c r="AC9" s="340" t="e">
        <f t="shared" ref="AC9" si="35">IF($C9="","",IF(AND(AD9&gt;4,MAX(AD9:AH9)&gt;6),1,0))</f>
        <v>#N/A</v>
      </c>
      <c r="AD9" s="30" t="e">
        <f>IF($C9="","",VLOOKUP($C9,AMABat!$A$10:$BV$140,AD$4,FALSE))</f>
        <v>#N/A</v>
      </c>
      <c r="AE9" s="30" t="e">
        <f>IF($C9="","",VLOOKUP($C9,AMABat!$A$10:$BV$140,AE$4,FALSE))</f>
        <v>#N/A</v>
      </c>
      <c r="AF9" s="30" t="e">
        <f>IF($C9="","",VLOOKUP($C9,AMABat!$A$10:$BV$140,AF$4,FALSE))</f>
        <v>#N/A</v>
      </c>
      <c r="AG9" s="30" t="e">
        <f>IF($C9="","",VLOOKUP($C9,AMABat!$A$10:$BV$140,AG$4,FALSE))</f>
        <v>#N/A</v>
      </c>
      <c r="AH9" s="30" t="e">
        <f>IF($C9="","",VLOOKUP($C9,AMABat!$A$10:$BV$140,AH$4,FALSE))</f>
        <v>#N/A</v>
      </c>
      <c r="AI9" s="51" t="e">
        <f>IF($C9="","",VLOOKUP($C9,AMABat!$A$10:$BV$140,AI$4,FALSE))</f>
        <v>#N/A</v>
      </c>
      <c r="AJ9" s="31" t="e">
        <f>IF($C9="","",VLOOKUP($C9,AMABat!$A$10:$BV$140,AJ$4,FALSE))</f>
        <v>#N/A</v>
      </c>
      <c r="AK9" s="60" t="e">
        <f t="shared" ref="AK9" si="36">IF($C9="","",(5*AD9+4*AF9+3*AG9+2*AE9+1*AH9+0.5*(AVERAGE(AD9:AE9))+0.5*AVERAGE(AD9,AH9)+1*(AVERAGE(AD9,AF9))+1*AVERAGE(AD9,AG9))/(5+4+3+2+1+0.5+0.5+1+1))</f>
        <v>#N/A</v>
      </c>
      <c r="AL9" s="345" t="e">
        <f t="shared" ref="AL9" si="37">IF($C9="","",IF(AND(OR(AU9+AX9&gt;12,AND(AU9&gt;6,AX9&gt;6)),AI9&gt;6,OR(AJ9&gt;=AI9,AJ9&gt;6)),1,0))</f>
        <v>#N/A</v>
      </c>
      <c r="AM9" s="339" t="e">
        <f t="shared" ref="AM9" si="38">IF($C9="","",IF(OR(AND(AU9&gt;6,AY9&gt;6),AU9+AX9&gt;12),1,0))</f>
        <v>#N/A</v>
      </c>
      <c r="AN9" s="339" t="e">
        <f t="shared" ref="AN9" si="39">IF($C9="","",IF(AND(AU9&gt;6,AW9&gt;6,AX9&gt;6),1,0))</f>
        <v>#N/A</v>
      </c>
      <c r="AO9" s="339" t="e">
        <f t="shared" ref="AO9" si="40">IF($C9="","",IF(AND(AW9&gt;7,OR(AU9&gt;6,AX9&gt;6)),1,0))</f>
        <v>#N/A</v>
      </c>
      <c r="AP9" s="339" t="e">
        <f t="shared" ref="AP9" si="41">IF($C9="","",IF(AND(AW9&gt;6,OR(AU9&gt;6,AX9&gt;6)),1,0))</f>
        <v>#N/A</v>
      </c>
      <c r="AQ9" s="339" t="e">
        <f t="shared" ref="AQ9" si="42">IF($C9="","",IF(AND(OR(AU9&gt;6,AW9&gt;6),OR(AU9&gt;6,AX9&gt;6)),1,0))</f>
        <v>#N/A</v>
      </c>
      <c r="AR9" s="339" t="e">
        <f t="shared" ref="AR9" si="43">IF($C9="","",IF(AND(AU9&gt;4,OR(AU9&gt;6,AW9&gt;6,AX9&gt;6)),1,0))</f>
        <v>#N/A</v>
      </c>
      <c r="AS9" s="339" t="e">
        <f t="shared" ref="AS9" si="44">IF($C9="","",IF(AND(AU9&gt;4,OR(AU9&gt;6,AV9&gt;6,AW9&gt;6,AX9&gt;6)),1,0))</f>
        <v>#N/A</v>
      </c>
      <c r="AT9" s="340" t="e">
        <f t="shared" ref="AT9" si="45">IF($C9="","",IF(AND(AU9&gt;4,MAX(AU9:AY9)&gt;6),1,0))</f>
        <v>#N/A</v>
      </c>
      <c r="AU9" s="51" t="e">
        <f>IF($C9="","",VLOOKUP($C9,AMABat!$A$10:$BV$140,AU$4,FALSE))</f>
        <v>#N/A</v>
      </c>
      <c r="AV9" s="30" t="e">
        <f>IF($C9="","",VLOOKUP($C9,AMABat!$A$10:$BV$140,AV$4,FALSE))</f>
        <v>#N/A</v>
      </c>
      <c r="AW9" s="30" t="e">
        <f>IF($C9="","",VLOOKUP($C9,AMABat!$A$10:$BV$140,AW$4,FALSE))</f>
        <v>#N/A</v>
      </c>
      <c r="AX9" s="30" t="e">
        <f>IF($C9="","",VLOOKUP($C9,AMABat!$A$10:$BV$140,AX$4,FALSE))</f>
        <v>#N/A</v>
      </c>
      <c r="AY9" s="31" t="e">
        <f>IF($C9="","",VLOOKUP($C9,AMABat!$A$10:$BV$140,AY$4,FALSE))</f>
        <v>#N/A</v>
      </c>
      <c r="AZ9" s="60" t="e">
        <f t="shared" ref="AZ9" si="46">IF($C9="","",(5*AU9+4*AW9+3*AX9+2*AV9+1*AY9+0.5*(AVERAGE(AU9:AV9))+0.5*AVERAGE(AU9,AY9)+1*(AVERAGE(AU9,AW9))+1*AVERAGE(AU9,AX9))/(5+4+3+2+1+0.5+0.5+1+1))</f>
        <v>#N/A</v>
      </c>
    </row>
    <row r="10" spans="1:52" x14ac:dyDescent="0.25">
      <c r="A10" s="305">
        <v>5</v>
      </c>
      <c r="B10" s="29" t="s">
        <v>10</v>
      </c>
      <c r="C10" s="30" t="s">
        <v>731</v>
      </c>
      <c r="D10" s="30" t="e">
        <f>IF($C10="","",VLOOKUP($C10,AMABat!$A$10:$BV$140,D$4,FALSE))</f>
        <v>#N/A</v>
      </c>
      <c r="E10" s="30" t="e">
        <f>IF($C10="","",VLOOKUP($C10,AMABat!$A$10:$BV$140,E$4,FALSE))</f>
        <v>#N/A</v>
      </c>
      <c r="F10" s="345" t="e">
        <f t="shared" ref="F10:F14" si="47">IF($C10="","",IF(AND(O10&gt;0,O10=SUM(M10:T10)),1,0))</f>
        <v>#N/A</v>
      </c>
      <c r="G10" s="339" t="e">
        <f t="shared" ref="G10:G14" si="48">IF($C10="","",IF(Q10&lt;&gt;"-",1,0))</f>
        <v>#N/A</v>
      </c>
      <c r="H10" s="339" t="e">
        <f t="shared" ref="H10:H14" si="49">IF($C10="","",IF(AND(K10&gt;5,P10&lt;&gt;"-"),1,0))</f>
        <v>#N/A</v>
      </c>
      <c r="I10" s="339" t="str">
        <f t="shared" si="3"/>
        <v>-</v>
      </c>
      <c r="J10" s="51" t="e">
        <f>IF($C10="","",VLOOKUP($C10,AMABat!$A$10:$BV$140,J$4,FALSE))</f>
        <v>#N/A</v>
      </c>
      <c r="K10" s="30" t="e">
        <f>IF($C10="","",VLOOKUP($C10,AMABat!$A$10:$BV$140,K$4,FALSE))</f>
        <v>#N/A</v>
      </c>
      <c r="L10" s="31" t="e">
        <f>IF($C10="","",VLOOKUP($C10,AMABat!$A$10:$BV$140,L$4,FALSE))</f>
        <v>#N/A</v>
      </c>
      <c r="M10" s="30" t="e">
        <f>IF($C10="","",VLOOKUP($C10,AMABat!$A$10:$BV$140,M$4,FALSE))</f>
        <v>#N/A</v>
      </c>
      <c r="N10" s="30" t="e">
        <f>IF($C10="","",VLOOKUP($C10,AMABat!$A$10:$BV$140,N$4,FALSE))</f>
        <v>#N/A</v>
      </c>
      <c r="O10" s="30" t="e">
        <f>IF($C10="","",VLOOKUP($C10,AMABat!$A$10:$BV$140,O$4,FALSE))</f>
        <v>#N/A</v>
      </c>
      <c r="P10" s="30" t="e">
        <f>IF($C10="","",VLOOKUP($C10,AMABat!$A$10:$BV$140,P$4,FALSE))</f>
        <v>#N/A</v>
      </c>
      <c r="Q10" s="30" t="e">
        <f>IF($C10="","",VLOOKUP($C10,AMABat!$A$10:$BV$140,Q$4,FALSE))</f>
        <v>#N/A</v>
      </c>
      <c r="R10" s="30" t="e">
        <f>IF($C10="","",VLOOKUP($C10,AMABat!$A$10:$BV$140,R$4,FALSE))</f>
        <v>#N/A</v>
      </c>
      <c r="S10" s="30" t="e">
        <f>IF($C10="","",VLOOKUP($C10,AMABat!$A$10:$BV$140,S$4,FALSE))</f>
        <v>#N/A</v>
      </c>
      <c r="T10" s="31" t="e">
        <f>IF($C10="","",VLOOKUP($C10,AMABat!$A$10:$BV$140,T$4,FALSE))</f>
        <v>#N/A</v>
      </c>
      <c r="U10" s="345" t="e">
        <f t="shared" ref="U10:U14" si="50">IF($C10="","",IF(OR(AD10+AG10&gt;14,AND(OR(AD10+AG10&gt;12,AND(AD10&gt;6,AG10&gt;6)),AI10&gt;6,OR(AJ10&gt;=AI10,AJ10&gt;6))),1,0))</f>
        <v>#N/A</v>
      </c>
      <c r="V10" s="339" t="e">
        <f t="shared" ref="V10:V14" si="51">IF($C10="","",IF(OR(AND(AD10&gt;6,AH10&gt;6),AD10+AG10&gt;12),1,0))</f>
        <v>#N/A</v>
      </c>
      <c r="W10" s="339" t="e">
        <f t="shared" ref="W10:W14" si="52">IF($C10="","",IF(AND(AD10&gt;6,AF10&gt;6,AG10&gt;6),1,0))</f>
        <v>#N/A</v>
      </c>
      <c r="X10" s="339" t="e">
        <f t="shared" ref="X10:X14" si="53">IF($C10="","",IF(AND(AF10&gt;7,OR(AD10&gt;6,AG10&gt;6)),1,0))</f>
        <v>#N/A</v>
      </c>
      <c r="Y10" s="339" t="e">
        <f t="shared" ref="Y10:Y14" si="54">IF($C10="","",IF(AND(AF10&gt;6,OR(AD10&gt;6,AG10&gt;6)),1,0))</f>
        <v>#N/A</v>
      </c>
      <c r="Z10" s="339" t="e">
        <f t="shared" ref="Z10:Z14" si="55">IF($C10="","",IF(AND(OR(AD10&gt;6,AF10&gt;6),OR(AD10&gt;6,AG10&gt;6)),1,0))</f>
        <v>#N/A</v>
      </c>
      <c r="AA10" s="339" t="e">
        <f t="shared" ref="AA10:AA14" si="56">IF($C10="","",IF(AND(AD10&gt;4,OR(AD10&gt;6,AF10&gt;6,AG10&gt;6)),1,0))</f>
        <v>#N/A</v>
      </c>
      <c r="AB10" s="339" t="e">
        <f t="shared" ref="AB10:AB14" si="57">IF($C10="","",IF(AND(AD10&gt;4,OR(AD10&gt;6,AE10&gt;6,AF10&gt;6,AG10&gt;6)),1,0))</f>
        <v>#N/A</v>
      </c>
      <c r="AC10" s="340" t="e">
        <f t="shared" ref="AC10:AC14" si="58">IF($C10="","",IF(AND(AD10&gt;4,MAX(AD10:AH10)&gt;6),1,0))</f>
        <v>#N/A</v>
      </c>
      <c r="AD10" s="30" t="e">
        <f>IF($C10="","",VLOOKUP($C10,AMABat!$A$10:$BV$140,AD$4,FALSE))</f>
        <v>#N/A</v>
      </c>
      <c r="AE10" s="30" t="e">
        <f>IF($C10="","",VLOOKUP($C10,AMABat!$A$10:$BV$140,AE$4,FALSE))</f>
        <v>#N/A</v>
      </c>
      <c r="AF10" s="30" t="e">
        <f>IF($C10="","",VLOOKUP($C10,AMABat!$A$10:$BV$140,AF$4,FALSE))</f>
        <v>#N/A</v>
      </c>
      <c r="AG10" s="30" t="e">
        <f>IF($C10="","",VLOOKUP($C10,AMABat!$A$10:$BV$140,AG$4,FALSE))</f>
        <v>#N/A</v>
      </c>
      <c r="AH10" s="30" t="e">
        <f>IF($C10="","",VLOOKUP($C10,AMABat!$A$10:$BV$140,AH$4,FALSE))</f>
        <v>#N/A</v>
      </c>
      <c r="AI10" s="51" t="e">
        <f>IF($C10="","",VLOOKUP($C10,AMABat!$A$10:$BV$140,AI$4,FALSE))</f>
        <v>#N/A</v>
      </c>
      <c r="AJ10" s="31" t="e">
        <f>IF($C10="","",VLOOKUP($C10,AMABat!$A$10:$BV$140,AJ$4,FALSE))</f>
        <v>#N/A</v>
      </c>
      <c r="AK10" s="60" t="e">
        <f t="shared" ref="AK10:AK14" si="59">IF($C10="","",(5*AD10+4*AF10+3*AG10+2*AE10+1*AH10+0.5*(AVERAGE(AD10:AE10))+0.5*AVERAGE(AD10,AH10)+1*(AVERAGE(AD10,AF10))+1*AVERAGE(AD10,AG10))/(5+4+3+2+1+0.5+0.5+1+1))</f>
        <v>#N/A</v>
      </c>
      <c r="AL10" s="345" t="e">
        <f t="shared" ref="AL10:AL14" si="60">IF($C10="","",IF(AND(OR(AU10+AX10&gt;12,AND(AU10&gt;6,AX10&gt;6)),AI10&gt;6,OR(AJ10&gt;=AI10,AJ10&gt;6)),1,0))</f>
        <v>#N/A</v>
      </c>
      <c r="AM10" s="339" t="e">
        <f t="shared" ref="AM10:AM14" si="61">IF($C10="","",IF(OR(AND(AU10&gt;6,AY10&gt;6),AU10+AX10&gt;12),1,0))</f>
        <v>#N/A</v>
      </c>
      <c r="AN10" s="339" t="e">
        <f t="shared" ref="AN10:AN14" si="62">IF($C10="","",IF(AND(AU10&gt;6,AW10&gt;6,AX10&gt;6),1,0))</f>
        <v>#N/A</v>
      </c>
      <c r="AO10" s="339" t="e">
        <f t="shared" ref="AO10:AO14" si="63">IF($C10="","",IF(AND(AW10&gt;7,OR(AU10&gt;6,AX10&gt;6)),1,0))</f>
        <v>#N/A</v>
      </c>
      <c r="AP10" s="339" t="e">
        <f t="shared" ref="AP10:AP14" si="64">IF($C10="","",IF(AND(AW10&gt;6,OR(AU10&gt;6,AX10&gt;6)),1,0))</f>
        <v>#N/A</v>
      </c>
      <c r="AQ10" s="339" t="e">
        <f t="shared" ref="AQ10:AQ14" si="65">IF($C10="","",IF(AND(OR(AU10&gt;6,AW10&gt;6),OR(AU10&gt;6,AX10&gt;6)),1,0))</f>
        <v>#N/A</v>
      </c>
      <c r="AR10" s="339" t="e">
        <f t="shared" ref="AR10:AR14" si="66">IF($C10="","",IF(AND(AU10&gt;4,OR(AU10&gt;6,AW10&gt;6,AX10&gt;6)),1,0))</f>
        <v>#N/A</v>
      </c>
      <c r="AS10" s="339" t="e">
        <f t="shared" ref="AS10:AS14" si="67">IF($C10="","",IF(AND(AU10&gt;4,OR(AU10&gt;6,AV10&gt;6,AW10&gt;6,AX10&gt;6)),1,0))</f>
        <v>#N/A</v>
      </c>
      <c r="AT10" s="340" t="e">
        <f t="shared" ref="AT10:AT14" si="68">IF($C10="","",IF(AND(AU10&gt;4,MAX(AU10:AY10)&gt;6),1,0))</f>
        <v>#N/A</v>
      </c>
      <c r="AU10" s="51" t="e">
        <f>IF($C10="","",VLOOKUP($C10,AMABat!$A$10:$BV$140,AU$4,FALSE))</f>
        <v>#N/A</v>
      </c>
      <c r="AV10" s="30" t="e">
        <f>IF($C10="","",VLOOKUP($C10,AMABat!$A$10:$BV$140,AV$4,FALSE))</f>
        <v>#N/A</v>
      </c>
      <c r="AW10" s="30" t="e">
        <f>IF($C10="","",VLOOKUP($C10,AMABat!$A$10:$BV$140,AW$4,FALSE))</f>
        <v>#N/A</v>
      </c>
      <c r="AX10" s="30" t="e">
        <f>IF($C10="","",VLOOKUP($C10,AMABat!$A$10:$BV$140,AX$4,FALSE))</f>
        <v>#N/A</v>
      </c>
      <c r="AY10" s="31" t="e">
        <f>IF($C10="","",VLOOKUP($C10,AMABat!$A$10:$BV$140,AY$4,FALSE))</f>
        <v>#N/A</v>
      </c>
      <c r="AZ10" s="60" t="e">
        <f t="shared" ref="AZ10:AZ14" si="69">IF($C10="","",(5*AU10+4*AW10+3*AX10+2*AV10+1*AY10+0.5*(AVERAGE(AU10:AV10))+0.5*AVERAGE(AU10,AY10)+1*(AVERAGE(AU10,AW10))+1*AVERAGE(AU10,AX10))/(5+4+3+2+1+0.5+0.5+1+1))</f>
        <v>#N/A</v>
      </c>
    </row>
    <row r="11" spans="1:52" x14ac:dyDescent="0.25">
      <c r="A11" s="305">
        <v>6</v>
      </c>
      <c r="B11" s="29" t="s">
        <v>80</v>
      </c>
      <c r="C11" s="30" t="s">
        <v>730</v>
      </c>
      <c r="D11" s="30" t="e">
        <f>IF($C11="","",VLOOKUP($C11,AMABat!$A$10:$BV$140,D$4,FALSE))</f>
        <v>#N/A</v>
      </c>
      <c r="E11" s="30" t="e">
        <f>IF($C11="","",VLOOKUP($C11,AMABat!$A$10:$BV$140,E$4,FALSE))</f>
        <v>#N/A</v>
      </c>
      <c r="F11" s="345" t="e">
        <f t="shared" si="47"/>
        <v>#N/A</v>
      </c>
      <c r="G11" s="339" t="e">
        <f t="shared" si="48"/>
        <v>#N/A</v>
      </c>
      <c r="H11" s="339" t="e">
        <f t="shared" si="49"/>
        <v>#N/A</v>
      </c>
      <c r="I11" s="339" t="str">
        <f t="shared" si="3"/>
        <v>-</v>
      </c>
      <c r="J11" s="51" t="e">
        <f>IF($C11="","",VLOOKUP($C11,AMABat!$A$10:$BV$140,J$4,FALSE))</f>
        <v>#N/A</v>
      </c>
      <c r="K11" s="30" t="e">
        <f>IF($C11="","",VLOOKUP($C11,AMABat!$A$10:$BV$140,K$4,FALSE))</f>
        <v>#N/A</v>
      </c>
      <c r="L11" s="31" t="e">
        <f>IF($C11="","",VLOOKUP($C11,AMABat!$A$10:$BV$140,L$4,FALSE))</f>
        <v>#N/A</v>
      </c>
      <c r="M11" s="30" t="e">
        <f>IF($C11="","",VLOOKUP($C11,AMABat!$A$10:$BV$140,M$4,FALSE))</f>
        <v>#N/A</v>
      </c>
      <c r="N11" s="30" t="e">
        <f>IF($C11="","",VLOOKUP($C11,AMABat!$A$10:$BV$140,N$4,FALSE))</f>
        <v>#N/A</v>
      </c>
      <c r="O11" s="30" t="e">
        <f>IF($C11="","",VLOOKUP($C11,AMABat!$A$10:$BV$140,O$4,FALSE))</f>
        <v>#N/A</v>
      </c>
      <c r="P11" s="30" t="e">
        <f>IF($C11="","",VLOOKUP($C11,AMABat!$A$10:$BV$140,P$4,FALSE))</f>
        <v>#N/A</v>
      </c>
      <c r="Q11" s="30" t="e">
        <f>IF($C11="","",VLOOKUP($C11,AMABat!$A$10:$BV$140,Q$4,FALSE))</f>
        <v>#N/A</v>
      </c>
      <c r="R11" s="30" t="e">
        <f>IF($C11="","",VLOOKUP($C11,AMABat!$A$10:$BV$140,R$4,FALSE))</f>
        <v>#N/A</v>
      </c>
      <c r="S11" s="30" t="e">
        <f>IF($C11="","",VLOOKUP($C11,AMABat!$A$10:$BV$140,S$4,FALSE))</f>
        <v>#N/A</v>
      </c>
      <c r="T11" s="31" t="e">
        <f>IF($C11="","",VLOOKUP($C11,AMABat!$A$10:$BV$140,T$4,FALSE))</f>
        <v>#N/A</v>
      </c>
      <c r="U11" s="345" t="e">
        <f t="shared" si="50"/>
        <v>#N/A</v>
      </c>
      <c r="V11" s="339" t="e">
        <f t="shared" si="51"/>
        <v>#N/A</v>
      </c>
      <c r="W11" s="339" t="e">
        <f t="shared" si="52"/>
        <v>#N/A</v>
      </c>
      <c r="X11" s="339" t="e">
        <f t="shared" si="53"/>
        <v>#N/A</v>
      </c>
      <c r="Y11" s="339" t="e">
        <f t="shared" si="54"/>
        <v>#N/A</v>
      </c>
      <c r="Z11" s="339" t="e">
        <f t="shared" si="55"/>
        <v>#N/A</v>
      </c>
      <c r="AA11" s="339" t="e">
        <f t="shared" si="56"/>
        <v>#N/A</v>
      </c>
      <c r="AB11" s="339" t="e">
        <f t="shared" si="57"/>
        <v>#N/A</v>
      </c>
      <c r="AC11" s="340" t="e">
        <f t="shared" si="58"/>
        <v>#N/A</v>
      </c>
      <c r="AD11" s="30" t="e">
        <f>IF($C11="","",VLOOKUP($C11,AMABat!$A$10:$BV$140,AD$4,FALSE))</f>
        <v>#N/A</v>
      </c>
      <c r="AE11" s="30" t="e">
        <f>IF($C11="","",VLOOKUP($C11,AMABat!$A$10:$BV$140,AE$4,FALSE))</f>
        <v>#N/A</v>
      </c>
      <c r="AF11" s="30" t="e">
        <f>IF($C11="","",VLOOKUP($C11,AMABat!$A$10:$BV$140,AF$4,FALSE))</f>
        <v>#N/A</v>
      </c>
      <c r="AG11" s="30" t="e">
        <f>IF($C11="","",VLOOKUP($C11,AMABat!$A$10:$BV$140,AG$4,FALSE))</f>
        <v>#N/A</v>
      </c>
      <c r="AH11" s="30" t="e">
        <f>IF($C11="","",VLOOKUP($C11,AMABat!$A$10:$BV$140,AH$4,FALSE))</f>
        <v>#N/A</v>
      </c>
      <c r="AI11" s="51" t="e">
        <f>IF($C11="","",VLOOKUP($C11,AMABat!$A$10:$BV$140,AI$4,FALSE))</f>
        <v>#N/A</v>
      </c>
      <c r="AJ11" s="31" t="e">
        <f>IF($C11="","",VLOOKUP($C11,AMABat!$A$10:$BV$140,AJ$4,FALSE))</f>
        <v>#N/A</v>
      </c>
      <c r="AK11" s="60" t="e">
        <f t="shared" si="59"/>
        <v>#N/A</v>
      </c>
      <c r="AL11" s="345" t="e">
        <f t="shared" si="60"/>
        <v>#N/A</v>
      </c>
      <c r="AM11" s="339" t="e">
        <f t="shared" si="61"/>
        <v>#N/A</v>
      </c>
      <c r="AN11" s="339" t="e">
        <f t="shared" si="62"/>
        <v>#N/A</v>
      </c>
      <c r="AO11" s="339" t="e">
        <f t="shared" si="63"/>
        <v>#N/A</v>
      </c>
      <c r="AP11" s="339" t="e">
        <f t="shared" si="64"/>
        <v>#N/A</v>
      </c>
      <c r="AQ11" s="339" t="e">
        <f t="shared" si="65"/>
        <v>#N/A</v>
      </c>
      <c r="AR11" s="339" t="e">
        <f t="shared" si="66"/>
        <v>#N/A</v>
      </c>
      <c r="AS11" s="339" t="e">
        <f t="shared" si="67"/>
        <v>#N/A</v>
      </c>
      <c r="AT11" s="340" t="e">
        <f t="shared" si="68"/>
        <v>#N/A</v>
      </c>
      <c r="AU11" s="51" t="e">
        <f>IF($C11="","",VLOOKUP($C11,AMABat!$A$10:$BV$140,AU$4,FALSE))</f>
        <v>#N/A</v>
      </c>
      <c r="AV11" s="30" t="e">
        <f>IF($C11="","",VLOOKUP($C11,AMABat!$A$10:$BV$140,AV$4,FALSE))</f>
        <v>#N/A</v>
      </c>
      <c r="AW11" s="30" t="e">
        <f>IF($C11="","",VLOOKUP($C11,AMABat!$A$10:$BV$140,AW$4,FALSE))</f>
        <v>#N/A</v>
      </c>
      <c r="AX11" s="30" t="e">
        <f>IF($C11="","",VLOOKUP($C11,AMABat!$A$10:$BV$140,AX$4,FALSE))</f>
        <v>#N/A</v>
      </c>
      <c r="AY11" s="31" t="e">
        <f>IF($C11="","",VLOOKUP($C11,AMABat!$A$10:$BV$140,AY$4,FALSE))</f>
        <v>#N/A</v>
      </c>
      <c r="AZ11" s="60" t="e">
        <f t="shared" si="69"/>
        <v>#N/A</v>
      </c>
    </row>
    <row r="12" spans="1:52" x14ac:dyDescent="0.25">
      <c r="A12" s="305">
        <v>7</v>
      </c>
      <c r="B12" s="29" t="s">
        <v>80</v>
      </c>
      <c r="C12" s="30" t="s">
        <v>653</v>
      </c>
      <c r="D12" s="30" t="e">
        <f>IF($C12="","",VLOOKUP($C12,AMABat!$A$10:$BV$140,D$4,FALSE))</f>
        <v>#N/A</v>
      </c>
      <c r="E12" s="30" t="e">
        <f>IF($C12="","",VLOOKUP($C12,AMABat!$A$10:$BV$140,E$4,FALSE))</f>
        <v>#N/A</v>
      </c>
      <c r="F12" s="345" t="e">
        <f t="shared" si="47"/>
        <v>#N/A</v>
      </c>
      <c r="G12" s="339" t="e">
        <f t="shared" si="48"/>
        <v>#N/A</v>
      </c>
      <c r="H12" s="339" t="e">
        <f t="shared" si="49"/>
        <v>#N/A</v>
      </c>
      <c r="I12" s="339" t="str">
        <f t="shared" si="3"/>
        <v>-</v>
      </c>
      <c r="J12" s="51" t="e">
        <f>IF($C12="","",VLOOKUP($C12,AMABat!$A$10:$BV$140,J$4,FALSE))</f>
        <v>#N/A</v>
      </c>
      <c r="K12" s="30" t="e">
        <f>IF($C12="","",VLOOKUP($C12,AMABat!$A$10:$BV$140,K$4,FALSE))</f>
        <v>#N/A</v>
      </c>
      <c r="L12" s="31" t="e">
        <f>IF($C12="","",VLOOKUP($C12,AMABat!$A$10:$BV$140,L$4,FALSE))</f>
        <v>#N/A</v>
      </c>
      <c r="M12" s="30" t="e">
        <f>IF($C12="","",VLOOKUP($C12,AMABat!$A$10:$BV$140,M$4,FALSE))</f>
        <v>#N/A</v>
      </c>
      <c r="N12" s="30" t="e">
        <f>IF($C12="","",VLOOKUP($C12,AMABat!$A$10:$BV$140,N$4,FALSE))</f>
        <v>#N/A</v>
      </c>
      <c r="O12" s="30" t="e">
        <f>IF($C12="","",VLOOKUP($C12,AMABat!$A$10:$BV$140,O$4,FALSE))</f>
        <v>#N/A</v>
      </c>
      <c r="P12" s="30" t="e">
        <f>IF($C12="","",VLOOKUP($C12,AMABat!$A$10:$BV$140,P$4,FALSE))</f>
        <v>#N/A</v>
      </c>
      <c r="Q12" s="30" t="e">
        <f>IF($C12="","",VLOOKUP($C12,AMABat!$A$10:$BV$140,Q$4,FALSE))</f>
        <v>#N/A</v>
      </c>
      <c r="R12" s="30" t="e">
        <f>IF($C12="","",VLOOKUP($C12,AMABat!$A$10:$BV$140,R$4,FALSE))</f>
        <v>#N/A</v>
      </c>
      <c r="S12" s="30" t="e">
        <f>IF($C12="","",VLOOKUP($C12,AMABat!$A$10:$BV$140,S$4,FALSE))</f>
        <v>#N/A</v>
      </c>
      <c r="T12" s="31" t="e">
        <f>IF($C12="","",VLOOKUP($C12,AMABat!$A$10:$BV$140,T$4,FALSE))</f>
        <v>#N/A</v>
      </c>
      <c r="U12" s="345" t="e">
        <f t="shared" si="50"/>
        <v>#N/A</v>
      </c>
      <c r="V12" s="339" t="e">
        <f t="shared" si="51"/>
        <v>#N/A</v>
      </c>
      <c r="W12" s="339" t="e">
        <f t="shared" si="52"/>
        <v>#N/A</v>
      </c>
      <c r="X12" s="339" t="e">
        <f t="shared" si="53"/>
        <v>#N/A</v>
      </c>
      <c r="Y12" s="339" t="e">
        <f t="shared" si="54"/>
        <v>#N/A</v>
      </c>
      <c r="Z12" s="339" t="e">
        <f t="shared" si="55"/>
        <v>#N/A</v>
      </c>
      <c r="AA12" s="339" t="e">
        <f t="shared" si="56"/>
        <v>#N/A</v>
      </c>
      <c r="AB12" s="339" t="e">
        <f t="shared" si="57"/>
        <v>#N/A</v>
      </c>
      <c r="AC12" s="340" t="e">
        <f t="shared" si="58"/>
        <v>#N/A</v>
      </c>
      <c r="AD12" s="30" t="e">
        <f>IF($C12="","",VLOOKUP($C12,AMABat!$A$10:$BV$140,AD$4,FALSE))</f>
        <v>#N/A</v>
      </c>
      <c r="AE12" s="30" t="e">
        <f>IF($C12="","",VLOOKUP($C12,AMABat!$A$10:$BV$140,AE$4,FALSE))</f>
        <v>#N/A</v>
      </c>
      <c r="AF12" s="30" t="e">
        <f>IF($C12="","",VLOOKUP($C12,AMABat!$A$10:$BV$140,AF$4,FALSE))</f>
        <v>#N/A</v>
      </c>
      <c r="AG12" s="30" t="e">
        <f>IF($C12="","",VLOOKUP($C12,AMABat!$A$10:$BV$140,AG$4,FALSE))</f>
        <v>#N/A</v>
      </c>
      <c r="AH12" s="30" t="e">
        <f>IF($C12="","",VLOOKUP($C12,AMABat!$A$10:$BV$140,AH$4,FALSE))</f>
        <v>#N/A</v>
      </c>
      <c r="AI12" s="51" t="e">
        <f>IF($C12="","",VLOOKUP($C12,AMABat!$A$10:$BV$140,AI$4,FALSE))</f>
        <v>#N/A</v>
      </c>
      <c r="AJ12" s="31" t="e">
        <f>IF($C12="","",VLOOKUP($C12,AMABat!$A$10:$BV$140,AJ$4,FALSE))</f>
        <v>#N/A</v>
      </c>
      <c r="AK12" s="60" t="e">
        <f t="shared" si="59"/>
        <v>#N/A</v>
      </c>
      <c r="AL12" s="345" t="e">
        <f t="shared" si="60"/>
        <v>#N/A</v>
      </c>
      <c r="AM12" s="339" t="e">
        <f t="shared" si="61"/>
        <v>#N/A</v>
      </c>
      <c r="AN12" s="339" t="e">
        <f t="shared" si="62"/>
        <v>#N/A</v>
      </c>
      <c r="AO12" s="339" t="e">
        <f t="shared" si="63"/>
        <v>#N/A</v>
      </c>
      <c r="AP12" s="339" t="e">
        <f t="shared" si="64"/>
        <v>#N/A</v>
      </c>
      <c r="AQ12" s="339" t="e">
        <f t="shared" si="65"/>
        <v>#N/A</v>
      </c>
      <c r="AR12" s="339" t="e">
        <f t="shared" si="66"/>
        <v>#N/A</v>
      </c>
      <c r="AS12" s="339" t="e">
        <f t="shared" si="67"/>
        <v>#N/A</v>
      </c>
      <c r="AT12" s="340" t="e">
        <f t="shared" si="68"/>
        <v>#N/A</v>
      </c>
      <c r="AU12" s="51" t="e">
        <f>IF($C12="","",VLOOKUP($C12,AMABat!$A$10:$BV$140,AU$4,FALSE))</f>
        <v>#N/A</v>
      </c>
      <c r="AV12" s="30" t="e">
        <f>IF($C12="","",VLOOKUP($C12,AMABat!$A$10:$BV$140,AV$4,FALSE))</f>
        <v>#N/A</v>
      </c>
      <c r="AW12" s="30" t="e">
        <f>IF($C12="","",VLOOKUP($C12,AMABat!$A$10:$BV$140,AW$4,FALSE))</f>
        <v>#N/A</v>
      </c>
      <c r="AX12" s="30" t="e">
        <f>IF($C12="","",VLOOKUP($C12,AMABat!$A$10:$BV$140,AX$4,FALSE))</f>
        <v>#N/A</v>
      </c>
      <c r="AY12" s="31" t="e">
        <f>IF($C12="","",VLOOKUP($C12,AMABat!$A$10:$BV$140,AY$4,FALSE))</f>
        <v>#N/A</v>
      </c>
      <c r="AZ12" s="60" t="e">
        <f t="shared" si="69"/>
        <v>#N/A</v>
      </c>
    </row>
    <row r="13" spans="1:52" x14ac:dyDescent="0.25">
      <c r="A13" s="305">
        <v>8</v>
      </c>
      <c r="B13" s="29" t="s">
        <v>80</v>
      </c>
      <c r="C13" s="30"/>
      <c r="D13" s="30" t="str">
        <f>IF($C13="","",VLOOKUP($C13,AMABat!$A$10:$BV$140,D$4,FALSE))</f>
        <v/>
      </c>
      <c r="E13" s="30" t="str">
        <f>IF($C13="","",VLOOKUP($C13,AMABat!$A$10:$BV$140,E$4,FALSE))</f>
        <v/>
      </c>
      <c r="F13" s="345" t="str">
        <f t="shared" si="47"/>
        <v/>
      </c>
      <c r="G13" s="339" t="str">
        <f t="shared" si="48"/>
        <v/>
      </c>
      <c r="H13" s="339" t="str">
        <f t="shared" si="49"/>
        <v/>
      </c>
      <c r="I13" s="339" t="str">
        <f t="shared" si="3"/>
        <v/>
      </c>
      <c r="J13" s="51" t="str">
        <f>IF($C13="","",VLOOKUP($C13,AMABat!$A$10:$BV$140,J$4,FALSE))</f>
        <v/>
      </c>
      <c r="K13" s="30" t="str">
        <f>IF($C13="","",VLOOKUP($C13,AMABat!$A$10:$BV$140,K$4,FALSE))</f>
        <v/>
      </c>
      <c r="L13" s="31" t="str">
        <f>IF($C13="","",VLOOKUP($C13,AMABat!$A$10:$BV$140,L$4,FALSE))</f>
        <v/>
      </c>
      <c r="M13" s="30" t="str">
        <f>IF($C13="","",VLOOKUP($C13,AMABat!$A$10:$BV$140,M$4,FALSE))</f>
        <v/>
      </c>
      <c r="N13" s="30" t="str">
        <f>IF($C13="","",VLOOKUP($C13,AMABat!$A$10:$BV$140,N$4,FALSE))</f>
        <v/>
      </c>
      <c r="O13" s="30" t="str">
        <f>IF($C13="","",VLOOKUP($C13,AMABat!$A$10:$BV$140,O$4,FALSE))</f>
        <v/>
      </c>
      <c r="P13" s="30" t="str">
        <f>IF($C13="","",VLOOKUP($C13,AMABat!$A$10:$BV$140,P$4,FALSE))</f>
        <v/>
      </c>
      <c r="Q13" s="30" t="str">
        <f>IF($C13="","",VLOOKUP($C13,AMABat!$A$10:$BV$140,Q$4,FALSE))</f>
        <v/>
      </c>
      <c r="R13" s="30" t="str">
        <f>IF($C13="","",VLOOKUP($C13,AMABat!$A$10:$BV$140,R$4,FALSE))</f>
        <v/>
      </c>
      <c r="S13" s="30" t="str">
        <f>IF($C13="","",VLOOKUP($C13,AMABat!$A$10:$BV$140,S$4,FALSE))</f>
        <v/>
      </c>
      <c r="T13" s="31" t="str">
        <f>IF($C13="","",VLOOKUP($C13,AMABat!$A$10:$BV$140,T$4,FALSE))</f>
        <v/>
      </c>
      <c r="U13" s="345" t="str">
        <f t="shared" si="50"/>
        <v/>
      </c>
      <c r="V13" s="339" t="str">
        <f t="shared" si="51"/>
        <v/>
      </c>
      <c r="W13" s="339" t="str">
        <f t="shared" si="52"/>
        <v/>
      </c>
      <c r="X13" s="339" t="str">
        <f t="shared" si="53"/>
        <v/>
      </c>
      <c r="Y13" s="339" t="str">
        <f t="shared" si="54"/>
        <v/>
      </c>
      <c r="Z13" s="339" t="str">
        <f t="shared" si="55"/>
        <v/>
      </c>
      <c r="AA13" s="339" t="str">
        <f t="shared" si="56"/>
        <v/>
      </c>
      <c r="AB13" s="339" t="str">
        <f t="shared" si="57"/>
        <v/>
      </c>
      <c r="AC13" s="340" t="str">
        <f t="shared" si="58"/>
        <v/>
      </c>
      <c r="AD13" s="30" t="str">
        <f>IF($C13="","",VLOOKUP($C13,AMABat!$A$10:$BV$140,AD$4,FALSE))</f>
        <v/>
      </c>
      <c r="AE13" s="30" t="str">
        <f>IF($C13="","",VLOOKUP($C13,AMABat!$A$10:$BV$140,AE$4,FALSE))</f>
        <v/>
      </c>
      <c r="AF13" s="30" t="str">
        <f>IF($C13="","",VLOOKUP($C13,AMABat!$A$10:$BV$140,AF$4,FALSE))</f>
        <v/>
      </c>
      <c r="AG13" s="30" t="str">
        <f>IF($C13="","",VLOOKUP($C13,AMABat!$A$10:$BV$140,AG$4,FALSE))</f>
        <v/>
      </c>
      <c r="AH13" s="30" t="str">
        <f>IF($C13="","",VLOOKUP($C13,AMABat!$A$10:$BV$140,AH$4,FALSE))</f>
        <v/>
      </c>
      <c r="AI13" s="51" t="str">
        <f>IF($C13="","",VLOOKUP($C13,AMABat!$A$10:$BV$140,AI$4,FALSE))</f>
        <v/>
      </c>
      <c r="AJ13" s="31" t="str">
        <f>IF($C13="","",VLOOKUP($C13,AMABat!$A$10:$BV$140,AJ$4,FALSE))</f>
        <v/>
      </c>
      <c r="AK13" s="60" t="str">
        <f t="shared" si="59"/>
        <v/>
      </c>
      <c r="AL13" s="345" t="str">
        <f t="shared" si="60"/>
        <v/>
      </c>
      <c r="AM13" s="339" t="str">
        <f t="shared" si="61"/>
        <v/>
      </c>
      <c r="AN13" s="339" t="str">
        <f t="shared" si="62"/>
        <v/>
      </c>
      <c r="AO13" s="339" t="str">
        <f t="shared" si="63"/>
        <v/>
      </c>
      <c r="AP13" s="339" t="str">
        <f t="shared" si="64"/>
        <v/>
      </c>
      <c r="AQ13" s="339" t="str">
        <f t="shared" si="65"/>
        <v/>
      </c>
      <c r="AR13" s="339" t="str">
        <f t="shared" si="66"/>
        <v/>
      </c>
      <c r="AS13" s="339" t="str">
        <f t="shared" si="67"/>
        <v/>
      </c>
      <c r="AT13" s="340" t="str">
        <f t="shared" si="68"/>
        <v/>
      </c>
      <c r="AU13" s="51" t="str">
        <f>IF($C13="","",VLOOKUP($C13,AMABat!$A$10:$BV$140,AU$4,FALSE))</f>
        <v/>
      </c>
      <c r="AV13" s="30" t="str">
        <f>IF($C13="","",VLOOKUP($C13,AMABat!$A$10:$BV$140,AV$4,FALSE))</f>
        <v/>
      </c>
      <c r="AW13" s="30" t="str">
        <f>IF($C13="","",VLOOKUP($C13,AMABat!$A$10:$BV$140,AW$4,FALSE))</f>
        <v/>
      </c>
      <c r="AX13" s="30" t="str">
        <f>IF($C13="","",VLOOKUP($C13,AMABat!$A$10:$BV$140,AX$4,FALSE))</f>
        <v/>
      </c>
      <c r="AY13" s="31" t="str">
        <f>IF($C13="","",VLOOKUP($C13,AMABat!$A$10:$BV$140,AY$4,FALSE))</f>
        <v/>
      </c>
      <c r="AZ13" s="60" t="str">
        <f t="shared" si="69"/>
        <v/>
      </c>
    </row>
    <row r="14" spans="1:52" x14ac:dyDescent="0.25">
      <c r="A14" s="305">
        <v>9</v>
      </c>
      <c r="B14" s="32" t="s">
        <v>80</v>
      </c>
      <c r="C14" s="33"/>
      <c r="D14" s="33" t="str">
        <f>IF($C14="","",VLOOKUP($C14,AMABat!$A$10:$BV$140,D$4,FALSE))</f>
        <v/>
      </c>
      <c r="E14" s="33" t="str">
        <f>IF($C14="","",VLOOKUP($C14,AMABat!$A$10:$BV$140,E$4,FALSE))</f>
        <v/>
      </c>
      <c r="F14" s="47" t="str">
        <f t="shared" si="47"/>
        <v/>
      </c>
      <c r="G14" s="337" t="str">
        <f t="shared" si="48"/>
        <v/>
      </c>
      <c r="H14" s="337" t="str">
        <f t="shared" si="49"/>
        <v/>
      </c>
      <c r="I14" s="337" t="str">
        <f t="shared" si="3"/>
        <v/>
      </c>
      <c r="J14" s="52" t="str">
        <f>IF($C14="","",VLOOKUP($C14,AMABat!$A$10:$BV$140,J$4,FALSE))</f>
        <v/>
      </c>
      <c r="K14" s="33" t="str">
        <f>IF($C14="","",VLOOKUP($C14,AMABat!$A$10:$BV$140,K$4,FALSE))</f>
        <v/>
      </c>
      <c r="L14" s="35" t="str">
        <f>IF($C14="","",VLOOKUP($C14,AMABat!$A$10:$BV$140,L$4,FALSE))</f>
        <v/>
      </c>
      <c r="M14" s="33" t="str">
        <f>IF($C14="","",VLOOKUP($C14,AMABat!$A$10:$BV$140,M$4,FALSE))</f>
        <v/>
      </c>
      <c r="N14" s="33" t="str">
        <f>IF($C14="","",VLOOKUP($C14,AMABat!$A$10:$BV$140,N$4,FALSE))</f>
        <v/>
      </c>
      <c r="O14" s="33" t="str">
        <f>IF($C14="","",VLOOKUP($C14,AMABat!$A$10:$BV$140,O$4,FALSE))</f>
        <v/>
      </c>
      <c r="P14" s="33" t="str">
        <f>IF($C14="","",VLOOKUP($C14,AMABat!$A$10:$BV$140,P$4,FALSE))</f>
        <v/>
      </c>
      <c r="Q14" s="33" t="str">
        <f>IF($C14="","",VLOOKUP($C14,AMABat!$A$10:$BV$140,Q$4,FALSE))</f>
        <v/>
      </c>
      <c r="R14" s="33" t="str">
        <f>IF($C14="","",VLOOKUP($C14,AMABat!$A$10:$BV$140,R$4,FALSE))</f>
        <v/>
      </c>
      <c r="S14" s="33" t="str">
        <f>IF($C14="","",VLOOKUP($C14,AMABat!$A$10:$BV$140,S$4,FALSE))</f>
        <v/>
      </c>
      <c r="T14" s="35" t="str">
        <f>IF($C14="","",VLOOKUP($C14,AMABat!$A$10:$BV$140,T$4,FALSE))</f>
        <v/>
      </c>
      <c r="U14" s="47" t="str">
        <f t="shared" si="50"/>
        <v/>
      </c>
      <c r="V14" s="337" t="str">
        <f t="shared" si="51"/>
        <v/>
      </c>
      <c r="W14" s="337" t="str">
        <f t="shared" si="52"/>
        <v/>
      </c>
      <c r="X14" s="337" t="str">
        <f t="shared" si="53"/>
        <v/>
      </c>
      <c r="Y14" s="337" t="str">
        <f t="shared" si="54"/>
        <v/>
      </c>
      <c r="Z14" s="337" t="str">
        <f t="shared" si="55"/>
        <v/>
      </c>
      <c r="AA14" s="337" t="str">
        <f t="shared" si="56"/>
        <v/>
      </c>
      <c r="AB14" s="337" t="str">
        <f t="shared" si="57"/>
        <v/>
      </c>
      <c r="AC14" s="338" t="str">
        <f t="shared" si="58"/>
        <v/>
      </c>
      <c r="AD14" s="33" t="str">
        <f>IF($C14="","",VLOOKUP($C14,AMABat!$A$10:$BV$140,AD$4,FALSE))</f>
        <v/>
      </c>
      <c r="AE14" s="33" t="str">
        <f>IF($C14="","",VLOOKUP($C14,AMABat!$A$10:$BV$140,AE$4,FALSE))</f>
        <v/>
      </c>
      <c r="AF14" s="33" t="str">
        <f>IF($C14="","",VLOOKUP($C14,AMABat!$A$10:$BV$140,AF$4,FALSE))</f>
        <v/>
      </c>
      <c r="AG14" s="33" t="str">
        <f>IF($C14="","",VLOOKUP($C14,AMABat!$A$10:$BV$140,AG$4,FALSE))</f>
        <v/>
      </c>
      <c r="AH14" s="33" t="str">
        <f>IF($C14="","",VLOOKUP($C14,AMABat!$A$10:$BV$140,AH$4,FALSE))</f>
        <v/>
      </c>
      <c r="AI14" s="52" t="str">
        <f>IF($C14="","",VLOOKUP($C14,AMABat!$A$10:$BV$140,AI$4,FALSE))</f>
        <v/>
      </c>
      <c r="AJ14" s="35" t="str">
        <f>IF($C14="","",VLOOKUP($C14,AMABat!$A$10:$BV$140,AJ$4,FALSE))</f>
        <v/>
      </c>
      <c r="AK14" s="61" t="str">
        <f t="shared" si="59"/>
        <v/>
      </c>
      <c r="AL14" s="47" t="str">
        <f t="shared" si="60"/>
        <v/>
      </c>
      <c r="AM14" s="337" t="str">
        <f t="shared" si="61"/>
        <v/>
      </c>
      <c r="AN14" s="337" t="str">
        <f t="shared" si="62"/>
        <v/>
      </c>
      <c r="AO14" s="337" t="str">
        <f t="shared" si="63"/>
        <v/>
      </c>
      <c r="AP14" s="337" t="str">
        <f t="shared" si="64"/>
        <v/>
      </c>
      <c r="AQ14" s="337" t="str">
        <f t="shared" si="65"/>
        <v/>
      </c>
      <c r="AR14" s="337" t="str">
        <f t="shared" si="66"/>
        <v/>
      </c>
      <c r="AS14" s="337" t="str">
        <f t="shared" si="67"/>
        <v/>
      </c>
      <c r="AT14" s="338" t="str">
        <f t="shared" si="68"/>
        <v/>
      </c>
      <c r="AU14" s="52" t="str">
        <f>IF($C14="","",VLOOKUP($C14,AMABat!$A$10:$BV$140,AU$4,FALSE))</f>
        <v/>
      </c>
      <c r="AV14" s="33" t="str">
        <f>IF($C14="","",VLOOKUP($C14,AMABat!$A$10:$BV$140,AV$4,FALSE))</f>
        <v/>
      </c>
      <c r="AW14" s="33" t="str">
        <f>IF($C14="","",VLOOKUP($C14,AMABat!$A$10:$BV$140,AW$4,FALSE))</f>
        <v/>
      </c>
      <c r="AX14" s="33" t="str">
        <f>IF($C14="","",VLOOKUP($C14,AMABat!$A$10:$BV$140,AX$4,FALSE))</f>
        <v/>
      </c>
      <c r="AY14" s="35" t="str">
        <f>IF($C14="","",VLOOKUP($C14,AMABat!$A$10:$BV$140,AY$4,FALSE))</f>
        <v/>
      </c>
      <c r="AZ14" s="61" t="str">
        <f t="shared" si="69"/>
        <v/>
      </c>
    </row>
    <row r="15" spans="1:52" x14ac:dyDescent="0.25">
      <c r="A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</row>
    <row r="16" spans="1:52" ht="196.5" x14ac:dyDescent="0.25">
      <c r="A16" s="18" t="s">
        <v>170</v>
      </c>
      <c r="B16" s="341" t="s">
        <v>103</v>
      </c>
      <c r="C16" s="37" t="str">
        <f>"Player ("&amp;COUNTA(C17:C22)&amp;")"</f>
        <v>Player (5)</v>
      </c>
      <c r="D16" s="37" t="s">
        <v>70</v>
      </c>
      <c r="E16" s="37" t="s">
        <v>80</v>
      </c>
      <c r="F16" s="44" t="e">
        <f>"Only 1 guy who only plays 2B ("&amp;SUM(F17:F22)&amp;")"</f>
        <v>#N/A</v>
      </c>
      <c r="G16" s="39" t="e">
        <f>"2 Guys Who Play SS ("&amp;SUM(G17:G22)&amp;")"</f>
        <v>#N/A</v>
      </c>
      <c r="H16" s="39" t="e">
        <f>"2 guys with 3B arm ("&amp;SUM(H17:H22)&amp;")"</f>
        <v>#N/A</v>
      </c>
      <c r="I16" s="42" t="s">
        <v>32</v>
      </c>
      <c r="J16" s="40" t="s">
        <v>114</v>
      </c>
      <c r="K16" s="40" t="s">
        <v>112</v>
      </c>
      <c r="L16" s="40" t="s">
        <v>113</v>
      </c>
      <c r="M16" s="56" t="s">
        <v>71</v>
      </c>
      <c r="N16" s="41" t="s">
        <v>73</v>
      </c>
      <c r="O16" s="41" t="s">
        <v>74</v>
      </c>
      <c r="P16" s="41" t="s">
        <v>75</v>
      </c>
      <c r="Q16" s="41" t="s">
        <v>76</v>
      </c>
      <c r="R16" s="41" t="s">
        <v>77</v>
      </c>
      <c r="S16" s="41" t="s">
        <v>78</v>
      </c>
      <c r="T16" s="42" t="s">
        <v>79</v>
      </c>
      <c r="U16" s="38" t="s">
        <v>115</v>
      </c>
      <c r="V16" s="38" t="s">
        <v>158</v>
      </c>
      <c r="W16" s="38" t="s">
        <v>116</v>
      </c>
      <c r="X16" s="38" t="s">
        <v>117</v>
      </c>
      <c r="Y16" s="38" t="s">
        <v>118</v>
      </c>
      <c r="Z16" s="38" t="s">
        <v>119</v>
      </c>
      <c r="AA16" s="38" t="s">
        <v>120</v>
      </c>
      <c r="AB16" s="38" t="s">
        <v>122</v>
      </c>
      <c r="AC16" s="38" t="s">
        <v>121</v>
      </c>
      <c r="AD16" s="56" t="s">
        <v>125</v>
      </c>
      <c r="AE16" s="41" t="s">
        <v>126</v>
      </c>
      <c r="AF16" s="41" t="s">
        <v>127</v>
      </c>
      <c r="AG16" s="41" t="s">
        <v>128</v>
      </c>
      <c r="AH16" s="41" t="s">
        <v>21</v>
      </c>
      <c r="AI16" s="41" t="s">
        <v>129</v>
      </c>
      <c r="AJ16" s="42" t="s">
        <v>130</v>
      </c>
      <c r="AK16" s="59" t="s">
        <v>134</v>
      </c>
      <c r="AL16" s="38" t="s">
        <v>115</v>
      </c>
      <c r="AM16" s="38" t="s">
        <v>158</v>
      </c>
      <c r="AN16" s="38" t="s">
        <v>116</v>
      </c>
      <c r="AO16" s="38" t="s">
        <v>117</v>
      </c>
      <c r="AP16" s="38" t="s">
        <v>118</v>
      </c>
      <c r="AQ16" s="38" t="s">
        <v>119</v>
      </c>
      <c r="AR16" s="38" t="s">
        <v>120</v>
      </c>
      <c r="AS16" s="38" t="s">
        <v>122</v>
      </c>
      <c r="AT16" s="38" t="s">
        <v>121</v>
      </c>
      <c r="AU16" s="56" t="s">
        <v>125</v>
      </c>
      <c r="AV16" s="41" t="s">
        <v>126</v>
      </c>
      <c r="AW16" s="41" t="s">
        <v>127</v>
      </c>
      <c r="AX16" s="41" t="s">
        <v>128</v>
      </c>
      <c r="AY16" s="42" t="s">
        <v>21</v>
      </c>
      <c r="AZ16" s="59" t="s">
        <v>174</v>
      </c>
    </row>
    <row r="17" spans="1:52" x14ac:dyDescent="0.25">
      <c r="A17" s="305">
        <v>1</v>
      </c>
      <c r="B17" s="29" t="s">
        <v>74</v>
      </c>
      <c r="C17" s="30" t="s">
        <v>751</v>
      </c>
      <c r="D17" s="30" t="e">
        <f>IF($C17="","",VLOOKUP($C17,AMABat!$A$10:$BV$140,D$4,FALSE))</f>
        <v>#N/A</v>
      </c>
      <c r="E17" s="26" t="e">
        <f>IF($C17="","",VLOOKUP($C17,AMABat!$A$10:$BV$140,E$4,FALSE))</f>
        <v>#N/A</v>
      </c>
      <c r="F17" s="345" t="e">
        <f t="shared" ref="F17:F22" si="70">IF($C17="","",IF(AND(O17&gt;0,O17=SUM(M17:T17)),1,0))</f>
        <v>#N/A</v>
      </c>
      <c r="G17" s="339" t="e">
        <f t="shared" ref="G17:G22" si="71">IF($C17="","",IF(Q17&lt;&gt;"-",1,0))</f>
        <v>#N/A</v>
      </c>
      <c r="H17" s="339" t="e">
        <f t="shared" ref="H17:H22" si="72">IF($C17="","",IF(AND(K17&gt;5,P17&lt;&gt;"-"),1,0))</f>
        <v>#N/A</v>
      </c>
      <c r="I17" s="340" t="str">
        <f t="shared" ref="I17:I22" si="73">IF($C17="","","-")</f>
        <v>-</v>
      </c>
      <c r="J17" s="30" t="e">
        <f>IF($C17="","",VLOOKUP($C17,AMABat!$A$10:$BV$140,J$4,FALSE))</f>
        <v>#N/A</v>
      </c>
      <c r="K17" s="30" t="e">
        <f>IF($C17="","",VLOOKUP($C17,AMABat!$A$10:$BV$140,K$4,FALSE))</f>
        <v>#N/A</v>
      </c>
      <c r="L17" s="30" t="e">
        <f>IF($C17="","",VLOOKUP($C17,AMABat!$A$10:$BV$140,L$4,FALSE))</f>
        <v>#N/A</v>
      </c>
      <c r="M17" s="51" t="e">
        <f>IF($C17="","",VLOOKUP($C17,AMABat!$A$10:$BV$140,M$4,FALSE))</f>
        <v>#N/A</v>
      </c>
      <c r="N17" s="30" t="e">
        <f>IF($C17="","",VLOOKUP($C17,AMABat!$A$10:$BV$140,N$4,FALSE))</f>
        <v>#N/A</v>
      </c>
      <c r="O17" s="30" t="e">
        <f>IF($C17="","",VLOOKUP($C17,AMABat!$A$10:$BV$140,O$4,FALSE))</f>
        <v>#N/A</v>
      </c>
      <c r="P17" s="30" t="e">
        <f>IF($C17="","",VLOOKUP($C17,AMABat!$A$10:$BV$140,P$4,FALSE))</f>
        <v>#N/A</v>
      </c>
      <c r="Q17" s="30" t="e">
        <f>IF($C17="","",VLOOKUP($C17,AMABat!$A$10:$BV$140,Q$4,FALSE))</f>
        <v>#N/A</v>
      </c>
      <c r="R17" s="30" t="e">
        <f>IF($C17="","",VLOOKUP($C17,AMABat!$A$10:$BV$140,R$4,FALSE))</f>
        <v>#N/A</v>
      </c>
      <c r="S17" s="30" t="e">
        <f>IF($C17="","",VLOOKUP($C17,AMABat!$A$10:$BV$140,S$4,FALSE))</f>
        <v>#N/A</v>
      </c>
      <c r="T17" s="31" t="e">
        <f>IF($C17="","",VLOOKUP($C17,AMABat!$A$10:$BV$140,T$4,FALSE))</f>
        <v>#N/A</v>
      </c>
      <c r="U17" s="339" t="e">
        <f t="shared" ref="U17:U22" si="74">IF($C17="","",IF(OR(AD17+AG17&gt;14,AND(OR(AD17+AG17&gt;12,AND(AD17&gt;6,AG17&gt;6)),AI17&gt;6,OR(AJ17&gt;=AI17,AJ17&gt;6))),1,0))</f>
        <v>#N/A</v>
      </c>
      <c r="V17" s="339" t="e">
        <f t="shared" ref="V17:V22" si="75">IF($C17="","",IF(OR(AND(AD17&gt;6,AH17&gt;6),AD17+AG17&gt;12),1,0))</f>
        <v>#N/A</v>
      </c>
      <c r="W17" s="339" t="e">
        <f t="shared" ref="W17:W22" si="76">IF($C17="","",IF(AND(AD17&gt;6,AF17&gt;6,AG17&gt;6),1,0))</f>
        <v>#N/A</v>
      </c>
      <c r="X17" s="339" t="e">
        <f t="shared" ref="X17:X22" si="77">IF($C17="","",IF(AND(AF17&gt;7,OR(AD17&gt;6,AG17&gt;6)),1,0))</f>
        <v>#N/A</v>
      </c>
      <c r="Y17" s="339" t="e">
        <f t="shared" ref="Y17:Y22" si="78">IF($C17="","",IF(AND(AF17&gt;6,OR(AD17&gt;6,AG17&gt;6)),1,0))</f>
        <v>#N/A</v>
      </c>
      <c r="Z17" s="339" t="e">
        <f t="shared" ref="Z17:Z22" si="79">IF($C17="","",IF(AND(OR(AD17&gt;6,AF17&gt;6),OR(AD17&gt;6,AG17&gt;6)),1,0))</f>
        <v>#N/A</v>
      </c>
      <c r="AA17" s="339" t="e">
        <f t="shared" ref="AA17:AA22" si="80">IF($C17="","",IF(AND(AD17&gt;4,OR(AD17&gt;6,AF17&gt;6,AG17&gt;6)),1,0))</f>
        <v>#N/A</v>
      </c>
      <c r="AB17" s="339" t="e">
        <f t="shared" ref="AB17:AB22" si="81">IF($C17="","",IF(AND(AD17&gt;4,OR(AD17&gt;6,AE17&gt;6,AF17&gt;6,AG17&gt;6)),1,0))</f>
        <v>#N/A</v>
      </c>
      <c r="AC17" s="339" t="e">
        <f t="shared" ref="AC17:AC22" si="82">IF($C17="","",IF(AND(AD17&gt;4,MAX(AD17:AH17)&gt;6),1,0))</f>
        <v>#N/A</v>
      </c>
      <c r="AD17" s="51" t="e">
        <f>IF($C17="","",VLOOKUP($C17,AMABat!$A$10:$BV$140,AD$4,FALSE))</f>
        <v>#N/A</v>
      </c>
      <c r="AE17" s="30" t="e">
        <f>IF($C17="","",VLOOKUP($C17,AMABat!$A$10:$BV$140,AE$4,FALSE))</f>
        <v>#N/A</v>
      </c>
      <c r="AF17" s="30" t="e">
        <f>IF($C17="","",VLOOKUP($C17,AMABat!$A$10:$BV$140,AF$4,FALSE))</f>
        <v>#N/A</v>
      </c>
      <c r="AG17" s="30" t="e">
        <f>IF($C17="","",VLOOKUP($C17,AMABat!$A$10:$BV$140,AG$4,FALSE))</f>
        <v>#N/A</v>
      </c>
      <c r="AH17" s="30" t="e">
        <f>IF($C17="","",VLOOKUP($C17,AMABat!$A$10:$BV$140,AH$4,FALSE))</f>
        <v>#N/A</v>
      </c>
      <c r="AI17" s="30" t="e">
        <f>IF($C17="","",VLOOKUP($C17,AMABat!$A$10:$BV$140,AI$4,FALSE))</f>
        <v>#N/A</v>
      </c>
      <c r="AJ17" s="31" t="e">
        <f>IF($C17="","",VLOOKUP($C17,AMABat!$A$10:$BV$140,AJ$4,FALSE))</f>
        <v>#N/A</v>
      </c>
      <c r="AK17" s="60" t="e">
        <f t="shared" ref="AK17:AK22" si="83">IF($C17="","",(5*AD17+4*AF17+3*AG17+2*AE17+1*AH17+0.5*(AVERAGE(AD17:AE17))+0.5*AVERAGE(AD17,AH17)+1*(AVERAGE(AD17,AF17))+1*AVERAGE(AD17,AG17))/(5+4+3+2+1+0.5+0.5+1+1))</f>
        <v>#N/A</v>
      </c>
      <c r="AL17" s="339" t="e">
        <f t="shared" ref="AL17:AL22" si="84">IF($C17="","",IF(AND(OR(AU17+AX17&gt;12,AND(AU17&gt;6,AX17&gt;6)),AI17&gt;6,OR(AJ17&gt;=AI17,AJ17&gt;6)),1,0))</f>
        <v>#N/A</v>
      </c>
      <c r="AM17" s="339" t="e">
        <f t="shared" ref="AM17:AM22" si="85">IF($C17="","",IF(OR(AND(AU17&gt;6,AY17&gt;6),AU17+AX17&gt;12),1,0))</f>
        <v>#N/A</v>
      </c>
      <c r="AN17" s="339" t="e">
        <f t="shared" ref="AN17:AN22" si="86">IF($C17="","",IF(AND(AU17&gt;6,AW17&gt;6,AX17&gt;6),1,0))</f>
        <v>#N/A</v>
      </c>
      <c r="AO17" s="339" t="e">
        <f t="shared" ref="AO17:AO22" si="87">IF($C17="","",IF(AND(AW17&gt;7,OR(AU17&gt;6,AX17&gt;6)),1,0))</f>
        <v>#N/A</v>
      </c>
      <c r="AP17" s="339" t="e">
        <f t="shared" ref="AP17:AP22" si="88">IF($C17="","",IF(AND(AW17&gt;6,OR(AU17&gt;6,AX17&gt;6)),1,0))</f>
        <v>#N/A</v>
      </c>
      <c r="AQ17" s="339" t="e">
        <f t="shared" ref="AQ17:AQ22" si="89">IF($C17="","",IF(AND(OR(AU17&gt;6,AW17&gt;6),OR(AU17&gt;6,AX17&gt;6)),1,0))</f>
        <v>#N/A</v>
      </c>
      <c r="AR17" s="339" t="e">
        <f t="shared" ref="AR17:AR22" si="90">IF($C17="","",IF(AND(AU17&gt;4,OR(AU17&gt;6,AW17&gt;6,AX17&gt;6)),1,0))</f>
        <v>#N/A</v>
      </c>
      <c r="AS17" s="339" t="e">
        <f t="shared" ref="AS17:AS22" si="91">IF($C17="","",IF(AND(AU17&gt;4,OR(AU17&gt;6,AV17&gt;6,AW17&gt;6,AX17&gt;6)),1,0))</f>
        <v>#N/A</v>
      </c>
      <c r="AT17" s="339" t="e">
        <f t="shared" ref="AT17:AT22" si="92">IF($C17="","",IF(AND(AU17&gt;4,MAX(AU17:AY17)&gt;6),1,0))</f>
        <v>#N/A</v>
      </c>
      <c r="AU17" s="51" t="e">
        <f>IF($C17="","",VLOOKUP($C17,AMABat!$A$10:$BV$140,AU$4,FALSE))</f>
        <v>#N/A</v>
      </c>
      <c r="AV17" s="30" t="e">
        <f>IF($C17="","",VLOOKUP($C17,AMABat!$A$10:$BV$140,AV$4,FALSE))</f>
        <v>#N/A</v>
      </c>
      <c r="AW17" s="30" t="e">
        <f>IF($C17="","",VLOOKUP($C17,AMABat!$A$10:$BV$140,AW$4,FALSE))</f>
        <v>#N/A</v>
      </c>
      <c r="AX17" s="30" t="e">
        <f>IF($C17="","",VLOOKUP($C17,AMABat!$A$10:$BV$140,AX$4,FALSE))</f>
        <v>#N/A</v>
      </c>
      <c r="AY17" s="31" t="e">
        <f>IF($C17="","",VLOOKUP($C17,AMABat!$A$10:$BV$140,AY$4,FALSE))</f>
        <v>#N/A</v>
      </c>
      <c r="AZ17" s="60" t="e">
        <f t="shared" ref="AZ17:AZ22" si="93">IF($C17="","",(5*AU17+4*AW17+3*AX17+2*AV17+1*AY17+0.5*(AVERAGE(AU17:AV17))+0.5*AVERAGE(AU17,AY17)+1*(AVERAGE(AU17,AW17))+1*AVERAGE(AU17,AX17))/(5+4+3+2+1+0.5+0.5+1+1))</f>
        <v>#N/A</v>
      </c>
    </row>
    <row r="18" spans="1:52" x14ac:dyDescent="0.25">
      <c r="A18" s="305">
        <v>2</v>
      </c>
      <c r="B18" s="29" t="s">
        <v>75</v>
      </c>
      <c r="C18" s="58" t="s">
        <v>732</v>
      </c>
      <c r="D18" s="30" t="e">
        <f>IF($C18="","",VLOOKUP($C18,AMABat!$A$10:$BV$140,D$4,FALSE))</f>
        <v>#N/A</v>
      </c>
      <c r="E18" s="30" t="e">
        <f>IF($C18="","",VLOOKUP($C18,AMABat!$A$10:$BV$140,E$4,FALSE))</f>
        <v>#N/A</v>
      </c>
      <c r="F18" s="345" t="e">
        <f t="shared" si="70"/>
        <v>#N/A</v>
      </c>
      <c r="G18" s="339" t="e">
        <f t="shared" si="71"/>
        <v>#N/A</v>
      </c>
      <c r="H18" s="339" t="e">
        <f t="shared" si="72"/>
        <v>#N/A</v>
      </c>
      <c r="I18" s="340" t="str">
        <f t="shared" si="73"/>
        <v>-</v>
      </c>
      <c r="J18" s="30" t="e">
        <f>IF($C18="","",VLOOKUP($C18,AMABat!$A$10:$BV$140,J$4,FALSE))</f>
        <v>#N/A</v>
      </c>
      <c r="K18" s="30" t="e">
        <f>IF($C18="","",VLOOKUP($C18,AMABat!$A$10:$BV$140,K$4,FALSE))</f>
        <v>#N/A</v>
      </c>
      <c r="L18" s="30" t="e">
        <f>IF($C18="","",VLOOKUP($C18,AMABat!$A$10:$BV$140,L$4,FALSE))</f>
        <v>#N/A</v>
      </c>
      <c r="M18" s="51" t="e">
        <f>IF($C18="","",VLOOKUP($C18,AMABat!$A$10:$BV$140,M$4,FALSE))</f>
        <v>#N/A</v>
      </c>
      <c r="N18" s="30" t="e">
        <f>IF($C18="","",VLOOKUP($C18,AMABat!$A$10:$BV$140,N$4,FALSE))</f>
        <v>#N/A</v>
      </c>
      <c r="O18" s="30" t="e">
        <f>IF($C18="","",VLOOKUP($C18,AMABat!$A$10:$BV$140,O$4,FALSE))</f>
        <v>#N/A</v>
      </c>
      <c r="P18" s="30" t="e">
        <f>IF($C18="","",VLOOKUP($C18,AMABat!$A$10:$BV$140,P$4,FALSE))</f>
        <v>#N/A</v>
      </c>
      <c r="Q18" s="30" t="e">
        <f>IF($C18="","",VLOOKUP($C18,AMABat!$A$10:$BV$140,Q$4,FALSE))</f>
        <v>#N/A</v>
      </c>
      <c r="R18" s="30" t="e">
        <f>IF($C18="","",VLOOKUP($C18,AMABat!$A$10:$BV$140,R$4,FALSE))</f>
        <v>#N/A</v>
      </c>
      <c r="S18" s="30" t="e">
        <f>IF($C18="","",VLOOKUP($C18,AMABat!$A$10:$BV$140,S$4,FALSE))</f>
        <v>#N/A</v>
      </c>
      <c r="T18" s="31" t="e">
        <f>IF($C18="","",VLOOKUP($C18,AMABat!$A$10:$BV$140,T$4,FALSE))</f>
        <v>#N/A</v>
      </c>
      <c r="U18" s="339" t="e">
        <f t="shared" si="74"/>
        <v>#N/A</v>
      </c>
      <c r="V18" s="339" t="e">
        <f t="shared" si="75"/>
        <v>#N/A</v>
      </c>
      <c r="W18" s="339" t="e">
        <f t="shared" si="76"/>
        <v>#N/A</v>
      </c>
      <c r="X18" s="339" t="e">
        <f t="shared" si="77"/>
        <v>#N/A</v>
      </c>
      <c r="Y18" s="339" t="e">
        <f t="shared" si="78"/>
        <v>#N/A</v>
      </c>
      <c r="Z18" s="339" t="e">
        <f t="shared" si="79"/>
        <v>#N/A</v>
      </c>
      <c r="AA18" s="339" t="e">
        <f t="shared" si="80"/>
        <v>#N/A</v>
      </c>
      <c r="AB18" s="339" t="e">
        <f t="shared" si="81"/>
        <v>#N/A</v>
      </c>
      <c r="AC18" s="339" t="e">
        <f t="shared" si="82"/>
        <v>#N/A</v>
      </c>
      <c r="AD18" s="51" t="e">
        <f>IF($C18="","",VLOOKUP($C18,AMABat!$A$10:$BV$140,AD$4,FALSE))</f>
        <v>#N/A</v>
      </c>
      <c r="AE18" s="30" t="e">
        <f>IF($C18="","",VLOOKUP($C18,AMABat!$A$10:$BV$140,AE$4,FALSE))</f>
        <v>#N/A</v>
      </c>
      <c r="AF18" s="30" t="e">
        <f>IF($C18="","",VLOOKUP($C18,AMABat!$A$10:$BV$140,AF$4,FALSE))</f>
        <v>#N/A</v>
      </c>
      <c r="AG18" s="30" t="e">
        <f>IF($C18="","",VLOOKUP($C18,AMABat!$A$10:$BV$140,AG$4,FALSE))</f>
        <v>#N/A</v>
      </c>
      <c r="AH18" s="30" t="e">
        <f>IF($C18="","",VLOOKUP($C18,AMABat!$A$10:$BV$140,AH$4,FALSE))</f>
        <v>#N/A</v>
      </c>
      <c r="AI18" s="30" t="e">
        <f>IF($C18="","",VLOOKUP($C18,AMABat!$A$10:$BV$140,AI$4,FALSE))</f>
        <v>#N/A</v>
      </c>
      <c r="AJ18" s="31" t="e">
        <f>IF($C18="","",VLOOKUP($C18,AMABat!$A$10:$BV$140,AJ$4,FALSE))</f>
        <v>#N/A</v>
      </c>
      <c r="AK18" s="60" t="e">
        <f t="shared" si="83"/>
        <v>#N/A</v>
      </c>
      <c r="AL18" s="339" t="e">
        <f t="shared" si="84"/>
        <v>#N/A</v>
      </c>
      <c r="AM18" s="339" t="e">
        <f t="shared" si="85"/>
        <v>#N/A</v>
      </c>
      <c r="AN18" s="339" t="e">
        <f t="shared" si="86"/>
        <v>#N/A</v>
      </c>
      <c r="AO18" s="339" t="e">
        <f t="shared" si="87"/>
        <v>#N/A</v>
      </c>
      <c r="AP18" s="339" t="e">
        <f t="shared" si="88"/>
        <v>#N/A</v>
      </c>
      <c r="AQ18" s="339" t="e">
        <f t="shared" si="89"/>
        <v>#N/A</v>
      </c>
      <c r="AR18" s="339" t="e">
        <f t="shared" si="90"/>
        <v>#N/A</v>
      </c>
      <c r="AS18" s="339" t="e">
        <f t="shared" si="91"/>
        <v>#N/A</v>
      </c>
      <c r="AT18" s="339" t="e">
        <f t="shared" si="92"/>
        <v>#N/A</v>
      </c>
      <c r="AU18" s="51" t="e">
        <f>IF($C18="","",VLOOKUP($C18,AMABat!$A$10:$BV$140,AU$4,FALSE))</f>
        <v>#N/A</v>
      </c>
      <c r="AV18" s="30" t="e">
        <f>IF($C18="","",VLOOKUP($C18,AMABat!$A$10:$BV$140,AV$4,FALSE))</f>
        <v>#N/A</v>
      </c>
      <c r="AW18" s="30" t="e">
        <f>IF($C18="","",VLOOKUP($C18,AMABat!$A$10:$BV$140,AW$4,FALSE))</f>
        <v>#N/A</v>
      </c>
      <c r="AX18" s="30" t="e">
        <f>IF($C18="","",VLOOKUP($C18,AMABat!$A$10:$BV$140,AX$4,FALSE))</f>
        <v>#N/A</v>
      </c>
      <c r="AY18" s="31" t="e">
        <f>IF($C18="","",VLOOKUP($C18,AMABat!$A$10:$BV$140,AY$4,FALSE))</f>
        <v>#N/A</v>
      </c>
      <c r="AZ18" s="60" t="e">
        <f t="shared" si="93"/>
        <v>#N/A</v>
      </c>
    </row>
    <row r="19" spans="1:52" s="17" customFormat="1" x14ac:dyDescent="0.25">
      <c r="A19" s="305">
        <v>3</v>
      </c>
      <c r="B19" s="29" t="s">
        <v>76</v>
      </c>
      <c r="C19" s="30" t="s">
        <v>661</v>
      </c>
      <c r="D19" s="30" t="e">
        <f>IF($C19="","",VLOOKUP($C19,AMABat!$A$10:$BV$140,D$4,FALSE))</f>
        <v>#N/A</v>
      </c>
      <c r="E19" s="30" t="e">
        <f>IF($C19="","",VLOOKUP($C19,AMABat!$A$10:$BV$140,E$4,FALSE))</f>
        <v>#N/A</v>
      </c>
      <c r="F19" s="345" t="e">
        <f t="shared" ref="F19" si="94">IF($C19="","",IF(AND(O19&gt;0,O19=SUM(M19:T19)),1,0))</f>
        <v>#N/A</v>
      </c>
      <c r="G19" s="339" t="e">
        <f t="shared" ref="G19" si="95">IF($C19="","",IF(Q19&lt;&gt;"-",1,0))</f>
        <v>#N/A</v>
      </c>
      <c r="H19" s="339" t="e">
        <f t="shared" ref="H19" si="96">IF($C19="","",IF(AND(K19&gt;5,P19&lt;&gt;"-"),1,0))</f>
        <v>#N/A</v>
      </c>
      <c r="I19" s="340" t="str">
        <f t="shared" si="73"/>
        <v>-</v>
      </c>
      <c r="J19" s="30" t="e">
        <f>IF($C19="","",VLOOKUP($C19,AMABat!$A$10:$BV$140,J$4,FALSE))</f>
        <v>#N/A</v>
      </c>
      <c r="K19" s="30" t="e">
        <f>IF($C19="","",VLOOKUP($C19,AMABat!$A$10:$BV$140,K$4,FALSE))</f>
        <v>#N/A</v>
      </c>
      <c r="L19" s="30" t="e">
        <f>IF($C19="","",VLOOKUP($C19,AMABat!$A$10:$BV$140,L$4,FALSE))</f>
        <v>#N/A</v>
      </c>
      <c r="M19" s="51" t="e">
        <f>IF($C19="","",VLOOKUP($C19,AMABat!$A$10:$BV$140,M$4,FALSE))</f>
        <v>#N/A</v>
      </c>
      <c r="N19" s="30" t="e">
        <f>IF($C19="","",VLOOKUP($C19,AMABat!$A$10:$BV$140,N$4,FALSE))</f>
        <v>#N/A</v>
      </c>
      <c r="O19" s="30" t="e">
        <f>IF($C19="","",VLOOKUP($C19,AMABat!$A$10:$BV$140,O$4,FALSE))</f>
        <v>#N/A</v>
      </c>
      <c r="P19" s="30" t="e">
        <f>IF($C19="","",VLOOKUP($C19,AMABat!$A$10:$BV$140,P$4,FALSE))</f>
        <v>#N/A</v>
      </c>
      <c r="Q19" s="30" t="e">
        <f>IF($C19="","",VLOOKUP($C19,AMABat!$A$10:$BV$140,Q$4,FALSE))</f>
        <v>#N/A</v>
      </c>
      <c r="R19" s="30" t="e">
        <f>IF($C19="","",VLOOKUP($C19,AMABat!$A$10:$BV$140,R$4,FALSE))</f>
        <v>#N/A</v>
      </c>
      <c r="S19" s="30" t="e">
        <f>IF($C19="","",VLOOKUP($C19,AMABat!$A$10:$BV$140,S$4,FALSE))</f>
        <v>#N/A</v>
      </c>
      <c r="T19" s="31" t="e">
        <f>IF($C19="","",VLOOKUP($C19,AMABat!$A$10:$BV$140,T$4,FALSE))</f>
        <v>#N/A</v>
      </c>
      <c r="U19" s="339" t="e">
        <f t="shared" ref="U19" si="97">IF($C19="","",IF(OR(AD19+AG19&gt;14,AND(OR(AD19+AG19&gt;12,AND(AD19&gt;6,AG19&gt;6)),AI19&gt;6,OR(AJ19&gt;=AI19,AJ19&gt;6))),1,0))</f>
        <v>#N/A</v>
      </c>
      <c r="V19" s="339" t="e">
        <f t="shared" ref="V19" si="98">IF($C19="","",IF(OR(AND(AD19&gt;6,AH19&gt;6),AD19+AG19&gt;12),1,0))</f>
        <v>#N/A</v>
      </c>
      <c r="W19" s="339" t="e">
        <f t="shared" ref="W19" si="99">IF($C19="","",IF(AND(AD19&gt;6,AF19&gt;6,AG19&gt;6),1,0))</f>
        <v>#N/A</v>
      </c>
      <c r="X19" s="339" t="e">
        <f t="shared" ref="X19" si="100">IF($C19="","",IF(AND(AF19&gt;7,OR(AD19&gt;6,AG19&gt;6)),1,0))</f>
        <v>#N/A</v>
      </c>
      <c r="Y19" s="339" t="e">
        <f t="shared" ref="Y19" si="101">IF($C19="","",IF(AND(AF19&gt;6,OR(AD19&gt;6,AG19&gt;6)),1,0))</f>
        <v>#N/A</v>
      </c>
      <c r="Z19" s="339" t="e">
        <f t="shared" ref="Z19" si="102">IF($C19="","",IF(AND(OR(AD19&gt;6,AF19&gt;6),OR(AD19&gt;6,AG19&gt;6)),1,0))</f>
        <v>#N/A</v>
      </c>
      <c r="AA19" s="339" t="e">
        <f t="shared" ref="AA19" si="103">IF($C19="","",IF(AND(AD19&gt;4,OR(AD19&gt;6,AF19&gt;6,AG19&gt;6)),1,0))</f>
        <v>#N/A</v>
      </c>
      <c r="AB19" s="339" t="e">
        <f t="shared" ref="AB19" si="104">IF($C19="","",IF(AND(AD19&gt;4,OR(AD19&gt;6,AE19&gt;6,AF19&gt;6,AG19&gt;6)),1,0))</f>
        <v>#N/A</v>
      </c>
      <c r="AC19" s="339" t="e">
        <f t="shared" ref="AC19" si="105">IF($C19="","",IF(AND(AD19&gt;4,MAX(AD19:AH19)&gt;6),1,0))</f>
        <v>#N/A</v>
      </c>
      <c r="AD19" s="51" t="e">
        <f>IF($C19="","",VLOOKUP($C19,AMABat!$A$10:$BV$140,AD$4,FALSE))</f>
        <v>#N/A</v>
      </c>
      <c r="AE19" s="30" t="e">
        <f>IF($C19="","",VLOOKUP($C19,AMABat!$A$10:$BV$140,AE$4,FALSE))</f>
        <v>#N/A</v>
      </c>
      <c r="AF19" s="30" t="e">
        <f>IF($C19="","",VLOOKUP($C19,AMABat!$A$10:$BV$140,AF$4,FALSE))</f>
        <v>#N/A</v>
      </c>
      <c r="AG19" s="30" t="e">
        <f>IF($C19="","",VLOOKUP($C19,AMABat!$A$10:$BV$140,AG$4,FALSE))</f>
        <v>#N/A</v>
      </c>
      <c r="AH19" s="30" t="e">
        <f>IF($C19="","",VLOOKUP($C19,AMABat!$A$10:$BV$140,AH$4,FALSE))</f>
        <v>#N/A</v>
      </c>
      <c r="AI19" s="30" t="e">
        <f>IF($C19="","",VLOOKUP($C19,AMABat!$A$10:$BV$140,AI$4,FALSE))</f>
        <v>#N/A</v>
      </c>
      <c r="AJ19" s="31" t="e">
        <f>IF($C19="","",VLOOKUP($C19,AMABat!$A$10:$BV$140,AJ$4,FALSE))</f>
        <v>#N/A</v>
      </c>
      <c r="AK19" s="60" t="e">
        <f t="shared" ref="AK19" si="106">IF($C19="","",(5*AD19+4*AF19+3*AG19+2*AE19+1*AH19+0.5*(AVERAGE(AD19:AE19))+0.5*AVERAGE(AD19,AH19)+1*(AVERAGE(AD19,AF19))+1*AVERAGE(AD19,AG19))/(5+4+3+2+1+0.5+0.5+1+1))</f>
        <v>#N/A</v>
      </c>
      <c r="AL19" s="339" t="e">
        <f t="shared" ref="AL19" si="107">IF($C19="","",IF(AND(OR(AU19+AX19&gt;12,AND(AU19&gt;6,AX19&gt;6)),AI19&gt;6,OR(AJ19&gt;=AI19,AJ19&gt;6)),1,0))</f>
        <v>#N/A</v>
      </c>
      <c r="AM19" s="339" t="e">
        <f t="shared" ref="AM19" si="108">IF($C19="","",IF(OR(AND(AU19&gt;6,AY19&gt;6),AU19+AX19&gt;12),1,0))</f>
        <v>#N/A</v>
      </c>
      <c r="AN19" s="339" t="e">
        <f t="shared" ref="AN19" si="109">IF($C19="","",IF(AND(AU19&gt;6,AW19&gt;6,AX19&gt;6),1,0))</f>
        <v>#N/A</v>
      </c>
      <c r="AO19" s="339" t="e">
        <f t="shared" ref="AO19" si="110">IF($C19="","",IF(AND(AW19&gt;7,OR(AU19&gt;6,AX19&gt;6)),1,0))</f>
        <v>#N/A</v>
      </c>
      <c r="AP19" s="339" t="e">
        <f t="shared" ref="AP19" si="111">IF($C19="","",IF(AND(AW19&gt;6,OR(AU19&gt;6,AX19&gt;6)),1,0))</f>
        <v>#N/A</v>
      </c>
      <c r="AQ19" s="339" t="e">
        <f t="shared" ref="AQ19" si="112">IF($C19="","",IF(AND(OR(AU19&gt;6,AW19&gt;6),OR(AU19&gt;6,AX19&gt;6)),1,0))</f>
        <v>#N/A</v>
      </c>
      <c r="AR19" s="339" t="e">
        <f t="shared" ref="AR19" si="113">IF($C19="","",IF(AND(AU19&gt;4,OR(AU19&gt;6,AW19&gt;6,AX19&gt;6)),1,0))</f>
        <v>#N/A</v>
      </c>
      <c r="AS19" s="339" t="e">
        <f t="shared" ref="AS19" si="114">IF($C19="","",IF(AND(AU19&gt;4,OR(AU19&gt;6,AV19&gt;6,AW19&gt;6,AX19&gt;6)),1,0))</f>
        <v>#N/A</v>
      </c>
      <c r="AT19" s="339" t="e">
        <f t="shared" ref="AT19" si="115">IF($C19="","",IF(AND(AU19&gt;4,MAX(AU19:AY19)&gt;6),1,0))</f>
        <v>#N/A</v>
      </c>
      <c r="AU19" s="51" t="e">
        <f>IF($C19="","",VLOOKUP($C19,AMABat!$A$10:$BV$140,AU$4,FALSE))</f>
        <v>#N/A</v>
      </c>
      <c r="AV19" s="30" t="e">
        <f>IF($C19="","",VLOOKUP($C19,AMABat!$A$10:$BV$140,AV$4,FALSE))</f>
        <v>#N/A</v>
      </c>
      <c r="AW19" s="30" t="e">
        <f>IF($C19="","",VLOOKUP($C19,AMABat!$A$10:$BV$140,AW$4,FALSE))</f>
        <v>#N/A</v>
      </c>
      <c r="AX19" s="30" t="e">
        <f>IF($C19="","",VLOOKUP($C19,AMABat!$A$10:$BV$140,AX$4,FALSE))</f>
        <v>#N/A</v>
      </c>
      <c r="AY19" s="31" t="e">
        <f>IF($C19="","",VLOOKUP($C19,AMABat!$A$10:$BV$140,AY$4,FALSE))</f>
        <v>#N/A</v>
      </c>
      <c r="AZ19" s="60" t="e">
        <f t="shared" ref="AZ19" si="116">IF($C19="","",(5*AU19+4*AW19+3*AX19+2*AV19+1*AY19+0.5*(AVERAGE(AU19:AV19))+0.5*AVERAGE(AU19,AY19)+1*(AVERAGE(AU19,AW19))+1*AVERAGE(AU19,AX19))/(5+4+3+2+1+0.5+0.5+1+1))</f>
        <v>#N/A</v>
      </c>
    </row>
    <row r="20" spans="1:52" x14ac:dyDescent="0.25">
      <c r="A20" s="305">
        <v>4</v>
      </c>
      <c r="B20" s="29" t="s">
        <v>80</v>
      </c>
      <c r="C20" s="58" t="s">
        <v>641</v>
      </c>
      <c r="D20" s="30" t="e">
        <f>IF($C20="","",VLOOKUP($C20,AMABat!$A$10:$BV$140,D$4,FALSE))</f>
        <v>#N/A</v>
      </c>
      <c r="E20" s="30" t="e">
        <f>IF($C20="","",VLOOKUP($C20,AMABat!$A$10:$BV$140,E$4,FALSE))</f>
        <v>#N/A</v>
      </c>
      <c r="F20" s="345" t="e">
        <f t="shared" si="70"/>
        <v>#N/A</v>
      </c>
      <c r="G20" s="339" t="e">
        <f t="shared" si="71"/>
        <v>#N/A</v>
      </c>
      <c r="H20" s="339" t="e">
        <f t="shared" si="72"/>
        <v>#N/A</v>
      </c>
      <c r="I20" s="340" t="str">
        <f t="shared" si="73"/>
        <v>-</v>
      </c>
      <c r="J20" s="30" t="e">
        <f>IF($C20="","",VLOOKUP($C20,AMABat!$A$10:$BV$140,J$4,FALSE))</f>
        <v>#N/A</v>
      </c>
      <c r="K20" s="30" t="e">
        <f>IF($C20="","",VLOOKUP($C20,AMABat!$A$10:$BV$140,K$4,FALSE))</f>
        <v>#N/A</v>
      </c>
      <c r="L20" s="30" t="e">
        <f>IF($C20="","",VLOOKUP($C20,AMABat!$A$10:$BV$140,L$4,FALSE))</f>
        <v>#N/A</v>
      </c>
      <c r="M20" s="51" t="e">
        <f>IF($C20="","",VLOOKUP($C20,AMABat!$A$10:$BV$140,M$4,FALSE))</f>
        <v>#N/A</v>
      </c>
      <c r="N20" s="30" t="e">
        <f>IF($C20="","",VLOOKUP($C20,AMABat!$A$10:$BV$140,N$4,FALSE))</f>
        <v>#N/A</v>
      </c>
      <c r="O20" s="30" t="e">
        <f>IF($C20="","",VLOOKUP($C20,AMABat!$A$10:$BV$140,O$4,FALSE))</f>
        <v>#N/A</v>
      </c>
      <c r="P20" s="30" t="e">
        <f>IF($C20="","",VLOOKUP($C20,AMABat!$A$10:$BV$140,P$4,FALSE))</f>
        <v>#N/A</v>
      </c>
      <c r="Q20" s="30" t="e">
        <f>IF($C20="","",VLOOKUP($C20,AMABat!$A$10:$BV$140,Q$4,FALSE))</f>
        <v>#N/A</v>
      </c>
      <c r="R20" s="30" t="e">
        <f>IF($C20="","",VLOOKUP($C20,AMABat!$A$10:$BV$140,R$4,FALSE))</f>
        <v>#N/A</v>
      </c>
      <c r="S20" s="30" t="e">
        <f>IF($C20="","",VLOOKUP($C20,AMABat!$A$10:$BV$140,S$4,FALSE))</f>
        <v>#N/A</v>
      </c>
      <c r="T20" s="31" t="e">
        <f>IF($C20="","",VLOOKUP($C20,AMABat!$A$10:$BV$140,T$4,FALSE))</f>
        <v>#N/A</v>
      </c>
      <c r="U20" s="339" t="e">
        <f t="shared" si="74"/>
        <v>#N/A</v>
      </c>
      <c r="V20" s="339" t="e">
        <f t="shared" si="75"/>
        <v>#N/A</v>
      </c>
      <c r="W20" s="339" t="e">
        <f t="shared" si="76"/>
        <v>#N/A</v>
      </c>
      <c r="X20" s="339" t="e">
        <f t="shared" si="77"/>
        <v>#N/A</v>
      </c>
      <c r="Y20" s="339" t="e">
        <f t="shared" si="78"/>
        <v>#N/A</v>
      </c>
      <c r="Z20" s="339" t="e">
        <f t="shared" si="79"/>
        <v>#N/A</v>
      </c>
      <c r="AA20" s="339" t="e">
        <f t="shared" si="80"/>
        <v>#N/A</v>
      </c>
      <c r="AB20" s="339" t="e">
        <f t="shared" si="81"/>
        <v>#N/A</v>
      </c>
      <c r="AC20" s="339" t="e">
        <f t="shared" si="82"/>
        <v>#N/A</v>
      </c>
      <c r="AD20" s="51" t="e">
        <f>IF($C20="","",VLOOKUP($C20,AMABat!$A$10:$BV$140,AD$4,FALSE))</f>
        <v>#N/A</v>
      </c>
      <c r="AE20" s="30" t="e">
        <f>IF($C20="","",VLOOKUP($C20,AMABat!$A$10:$BV$140,AE$4,FALSE))</f>
        <v>#N/A</v>
      </c>
      <c r="AF20" s="30" t="e">
        <f>IF($C20="","",VLOOKUP($C20,AMABat!$A$10:$BV$140,AF$4,FALSE))</f>
        <v>#N/A</v>
      </c>
      <c r="AG20" s="30" t="e">
        <f>IF($C20="","",VLOOKUP($C20,AMABat!$A$10:$BV$140,AG$4,FALSE))</f>
        <v>#N/A</v>
      </c>
      <c r="AH20" s="30" t="e">
        <f>IF($C20="","",VLOOKUP($C20,AMABat!$A$10:$BV$140,AH$4,FALSE))</f>
        <v>#N/A</v>
      </c>
      <c r="AI20" s="30" t="e">
        <f>IF($C20="","",VLOOKUP($C20,AMABat!$A$10:$BV$140,AI$4,FALSE))</f>
        <v>#N/A</v>
      </c>
      <c r="AJ20" s="31" t="e">
        <f>IF($C20="","",VLOOKUP($C20,AMABat!$A$10:$BV$140,AJ$4,FALSE))</f>
        <v>#N/A</v>
      </c>
      <c r="AK20" s="60" t="e">
        <f t="shared" si="83"/>
        <v>#N/A</v>
      </c>
      <c r="AL20" s="339" t="e">
        <f t="shared" si="84"/>
        <v>#N/A</v>
      </c>
      <c r="AM20" s="339" t="e">
        <f t="shared" si="85"/>
        <v>#N/A</v>
      </c>
      <c r="AN20" s="339" t="e">
        <f t="shared" si="86"/>
        <v>#N/A</v>
      </c>
      <c r="AO20" s="339" t="e">
        <f t="shared" si="87"/>
        <v>#N/A</v>
      </c>
      <c r="AP20" s="339" t="e">
        <f t="shared" si="88"/>
        <v>#N/A</v>
      </c>
      <c r="AQ20" s="339" t="e">
        <f t="shared" si="89"/>
        <v>#N/A</v>
      </c>
      <c r="AR20" s="339" t="e">
        <f t="shared" si="90"/>
        <v>#N/A</v>
      </c>
      <c r="AS20" s="339" t="e">
        <f t="shared" si="91"/>
        <v>#N/A</v>
      </c>
      <c r="AT20" s="339" t="e">
        <f t="shared" si="92"/>
        <v>#N/A</v>
      </c>
      <c r="AU20" s="51" t="e">
        <f>IF($C20="","",VLOOKUP($C20,AMABat!$A$10:$BV$140,AU$4,FALSE))</f>
        <v>#N/A</v>
      </c>
      <c r="AV20" s="30" t="e">
        <f>IF($C20="","",VLOOKUP($C20,AMABat!$A$10:$BV$140,AV$4,FALSE))</f>
        <v>#N/A</v>
      </c>
      <c r="AW20" s="30" t="e">
        <f>IF($C20="","",VLOOKUP($C20,AMABat!$A$10:$BV$140,AW$4,FALSE))</f>
        <v>#N/A</v>
      </c>
      <c r="AX20" s="30" t="e">
        <f>IF($C20="","",VLOOKUP($C20,AMABat!$A$10:$BV$140,AX$4,FALSE))</f>
        <v>#N/A</v>
      </c>
      <c r="AY20" s="31" t="e">
        <f>IF($C20="","",VLOOKUP($C20,AMABat!$A$10:$BV$140,AY$4,FALSE))</f>
        <v>#N/A</v>
      </c>
      <c r="AZ20" s="60" t="e">
        <f t="shared" si="93"/>
        <v>#N/A</v>
      </c>
    </row>
    <row r="21" spans="1:52" x14ac:dyDescent="0.25">
      <c r="A21" s="305">
        <v>5</v>
      </c>
      <c r="B21" s="29" t="s">
        <v>80</v>
      </c>
      <c r="C21" s="58" t="s">
        <v>733</v>
      </c>
      <c r="D21" s="30" t="e">
        <f>IF($C21="","",VLOOKUP($C21,AMABat!$A$10:$BV$140,D$4,FALSE))</f>
        <v>#N/A</v>
      </c>
      <c r="E21" s="30" t="e">
        <f>IF($C21="","",VLOOKUP($C21,AMABat!$A$10:$BV$140,E$4,FALSE))</f>
        <v>#N/A</v>
      </c>
      <c r="F21" s="345" t="e">
        <f t="shared" si="70"/>
        <v>#N/A</v>
      </c>
      <c r="G21" s="339" t="e">
        <f t="shared" si="71"/>
        <v>#N/A</v>
      </c>
      <c r="H21" s="339" t="e">
        <f t="shared" si="72"/>
        <v>#N/A</v>
      </c>
      <c r="I21" s="340" t="str">
        <f t="shared" si="73"/>
        <v>-</v>
      </c>
      <c r="J21" s="30" t="e">
        <f>IF($C21="","",VLOOKUP($C21,AMABat!$A$10:$BV$140,J$4,FALSE))</f>
        <v>#N/A</v>
      </c>
      <c r="K21" s="30" t="e">
        <f>IF($C21="","",VLOOKUP($C21,AMABat!$A$10:$BV$140,K$4,FALSE))</f>
        <v>#N/A</v>
      </c>
      <c r="L21" s="30" t="e">
        <f>IF($C21="","",VLOOKUP($C21,AMABat!$A$10:$BV$140,L$4,FALSE))</f>
        <v>#N/A</v>
      </c>
      <c r="M21" s="51" t="e">
        <f>IF($C21="","",VLOOKUP($C21,AMABat!$A$10:$BV$140,M$4,FALSE))</f>
        <v>#N/A</v>
      </c>
      <c r="N21" s="30" t="e">
        <f>IF($C21="","",VLOOKUP($C21,AMABat!$A$10:$BV$140,N$4,FALSE))</f>
        <v>#N/A</v>
      </c>
      <c r="O21" s="30" t="e">
        <f>IF($C21="","",VLOOKUP($C21,AMABat!$A$10:$BV$140,O$4,FALSE))</f>
        <v>#N/A</v>
      </c>
      <c r="P21" s="30" t="e">
        <f>IF($C21="","",VLOOKUP($C21,AMABat!$A$10:$BV$140,P$4,FALSE))</f>
        <v>#N/A</v>
      </c>
      <c r="Q21" s="30" t="e">
        <f>IF($C21="","",VLOOKUP($C21,AMABat!$A$10:$BV$140,Q$4,FALSE))</f>
        <v>#N/A</v>
      </c>
      <c r="R21" s="30" t="e">
        <f>IF($C21="","",VLOOKUP($C21,AMABat!$A$10:$BV$140,R$4,FALSE))</f>
        <v>#N/A</v>
      </c>
      <c r="S21" s="30" t="e">
        <f>IF($C21="","",VLOOKUP($C21,AMABat!$A$10:$BV$140,S$4,FALSE))</f>
        <v>#N/A</v>
      </c>
      <c r="T21" s="31" t="e">
        <f>IF($C21="","",VLOOKUP($C21,AMABat!$A$10:$BV$140,T$4,FALSE))</f>
        <v>#N/A</v>
      </c>
      <c r="U21" s="339" t="e">
        <f t="shared" si="74"/>
        <v>#N/A</v>
      </c>
      <c r="V21" s="339" t="e">
        <f t="shared" si="75"/>
        <v>#N/A</v>
      </c>
      <c r="W21" s="339" t="e">
        <f t="shared" si="76"/>
        <v>#N/A</v>
      </c>
      <c r="X21" s="339" t="e">
        <f t="shared" si="77"/>
        <v>#N/A</v>
      </c>
      <c r="Y21" s="339" t="e">
        <f t="shared" si="78"/>
        <v>#N/A</v>
      </c>
      <c r="Z21" s="339" t="e">
        <f t="shared" si="79"/>
        <v>#N/A</v>
      </c>
      <c r="AA21" s="339" t="e">
        <f t="shared" si="80"/>
        <v>#N/A</v>
      </c>
      <c r="AB21" s="339" t="e">
        <f t="shared" si="81"/>
        <v>#N/A</v>
      </c>
      <c r="AC21" s="339" t="e">
        <f t="shared" si="82"/>
        <v>#N/A</v>
      </c>
      <c r="AD21" s="51" t="e">
        <f>IF($C21="","",VLOOKUP($C21,AMABat!$A$10:$BV$140,AD$4,FALSE))</f>
        <v>#N/A</v>
      </c>
      <c r="AE21" s="30" t="e">
        <f>IF($C21="","",VLOOKUP($C21,AMABat!$A$10:$BV$140,AE$4,FALSE))</f>
        <v>#N/A</v>
      </c>
      <c r="AF21" s="30" t="e">
        <f>IF($C21="","",VLOOKUP($C21,AMABat!$A$10:$BV$140,AF$4,FALSE))</f>
        <v>#N/A</v>
      </c>
      <c r="AG21" s="30" t="e">
        <f>IF($C21="","",VLOOKUP($C21,AMABat!$A$10:$BV$140,AG$4,FALSE))</f>
        <v>#N/A</v>
      </c>
      <c r="AH21" s="30" t="e">
        <f>IF($C21="","",VLOOKUP($C21,AMABat!$A$10:$BV$140,AH$4,FALSE))</f>
        <v>#N/A</v>
      </c>
      <c r="AI21" s="30" t="e">
        <f>IF($C21="","",VLOOKUP($C21,AMABat!$A$10:$BV$140,AI$4,FALSE))</f>
        <v>#N/A</v>
      </c>
      <c r="AJ21" s="31" t="e">
        <f>IF($C21="","",VLOOKUP($C21,AMABat!$A$10:$BV$140,AJ$4,FALSE))</f>
        <v>#N/A</v>
      </c>
      <c r="AK21" s="60" t="e">
        <f t="shared" si="83"/>
        <v>#N/A</v>
      </c>
      <c r="AL21" s="339" t="e">
        <f t="shared" si="84"/>
        <v>#N/A</v>
      </c>
      <c r="AM21" s="339" t="e">
        <f t="shared" si="85"/>
        <v>#N/A</v>
      </c>
      <c r="AN21" s="339" t="e">
        <f t="shared" si="86"/>
        <v>#N/A</v>
      </c>
      <c r="AO21" s="339" t="e">
        <f t="shared" si="87"/>
        <v>#N/A</v>
      </c>
      <c r="AP21" s="339" t="e">
        <f t="shared" si="88"/>
        <v>#N/A</v>
      </c>
      <c r="AQ21" s="339" t="e">
        <f t="shared" si="89"/>
        <v>#N/A</v>
      </c>
      <c r="AR21" s="339" t="e">
        <f t="shared" si="90"/>
        <v>#N/A</v>
      </c>
      <c r="AS21" s="339" t="e">
        <f t="shared" si="91"/>
        <v>#N/A</v>
      </c>
      <c r="AT21" s="339" t="e">
        <f t="shared" si="92"/>
        <v>#N/A</v>
      </c>
      <c r="AU21" s="51" t="e">
        <f>IF($C21="","",VLOOKUP($C21,AMABat!$A$10:$BV$140,AU$4,FALSE))</f>
        <v>#N/A</v>
      </c>
      <c r="AV21" s="30" t="e">
        <f>IF($C21="","",VLOOKUP($C21,AMABat!$A$10:$BV$140,AV$4,FALSE))</f>
        <v>#N/A</v>
      </c>
      <c r="AW21" s="30" t="e">
        <f>IF($C21="","",VLOOKUP($C21,AMABat!$A$10:$BV$140,AW$4,FALSE))</f>
        <v>#N/A</v>
      </c>
      <c r="AX21" s="30" t="e">
        <f>IF($C21="","",VLOOKUP($C21,AMABat!$A$10:$BV$140,AX$4,FALSE))</f>
        <v>#N/A</v>
      </c>
      <c r="AY21" s="31" t="e">
        <f>IF($C21="","",VLOOKUP($C21,AMABat!$A$10:$BV$140,AY$4,FALSE))</f>
        <v>#N/A</v>
      </c>
      <c r="AZ21" s="60" t="e">
        <f t="shared" si="93"/>
        <v>#N/A</v>
      </c>
    </row>
    <row r="22" spans="1:52" x14ac:dyDescent="0.25">
      <c r="A22" s="305">
        <v>6</v>
      </c>
      <c r="B22" s="32" t="s">
        <v>80</v>
      </c>
      <c r="C22" s="33"/>
      <c r="D22" s="33" t="str">
        <f>IF($C22="","",VLOOKUP($C22,AMABat!$A$10:$BV$140,D$4,FALSE))</f>
        <v/>
      </c>
      <c r="E22" s="33" t="str">
        <f>IF($C22="","",VLOOKUP($C22,AMABat!$A$10:$BV$140,E$4,FALSE))</f>
        <v/>
      </c>
      <c r="F22" s="47" t="str">
        <f t="shared" si="70"/>
        <v/>
      </c>
      <c r="G22" s="337" t="str">
        <f t="shared" si="71"/>
        <v/>
      </c>
      <c r="H22" s="337" t="str">
        <f t="shared" si="72"/>
        <v/>
      </c>
      <c r="I22" s="338" t="str">
        <f t="shared" si="73"/>
        <v/>
      </c>
      <c r="J22" s="33" t="str">
        <f>IF($C22="","",VLOOKUP($C22,AMABat!$A$10:$BV$140,J$4,FALSE))</f>
        <v/>
      </c>
      <c r="K22" s="33" t="str">
        <f>IF($C22="","",VLOOKUP($C22,AMABat!$A$10:$BV$140,K$4,FALSE))</f>
        <v/>
      </c>
      <c r="L22" s="33" t="str">
        <f>IF($C22="","",VLOOKUP($C22,AMABat!$A$10:$BV$140,L$4,FALSE))</f>
        <v/>
      </c>
      <c r="M22" s="52" t="str">
        <f>IF($C22="","",VLOOKUP($C22,AMABat!$A$10:$BV$140,M$4,FALSE))</f>
        <v/>
      </c>
      <c r="N22" s="33" t="str">
        <f>IF($C22="","",VLOOKUP($C22,AMABat!$A$10:$BV$140,N$4,FALSE))</f>
        <v/>
      </c>
      <c r="O22" s="33" t="str">
        <f>IF($C22="","",VLOOKUP($C22,AMABat!$A$10:$BV$140,O$4,FALSE))</f>
        <v/>
      </c>
      <c r="P22" s="33" t="str">
        <f>IF($C22="","",VLOOKUP($C22,AMABat!$A$10:$BV$140,P$4,FALSE))</f>
        <v/>
      </c>
      <c r="Q22" s="33" t="str">
        <f>IF($C22="","",VLOOKUP($C22,AMABat!$A$10:$BV$140,Q$4,FALSE))</f>
        <v/>
      </c>
      <c r="R22" s="33" t="str">
        <f>IF($C22="","",VLOOKUP($C22,AMABat!$A$10:$BV$140,R$4,FALSE))</f>
        <v/>
      </c>
      <c r="S22" s="33" t="str">
        <f>IF($C22="","",VLOOKUP($C22,AMABat!$A$10:$BV$140,S$4,FALSE))</f>
        <v/>
      </c>
      <c r="T22" s="35" t="str">
        <f>IF($C22="","",VLOOKUP($C22,AMABat!$A$10:$BV$140,T$4,FALSE))</f>
        <v/>
      </c>
      <c r="U22" s="337" t="str">
        <f t="shared" si="74"/>
        <v/>
      </c>
      <c r="V22" s="337" t="str">
        <f t="shared" si="75"/>
        <v/>
      </c>
      <c r="W22" s="337" t="str">
        <f t="shared" si="76"/>
        <v/>
      </c>
      <c r="X22" s="337" t="str">
        <f t="shared" si="77"/>
        <v/>
      </c>
      <c r="Y22" s="337" t="str">
        <f t="shared" si="78"/>
        <v/>
      </c>
      <c r="Z22" s="337" t="str">
        <f t="shared" si="79"/>
        <v/>
      </c>
      <c r="AA22" s="337" t="str">
        <f t="shared" si="80"/>
        <v/>
      </c>
      <c r="AB22" s="337" t="str">
        <f t="shared" si="81"/>
        <v/>
      </c>
      <c r="AC22" s="337" t="str">
        <f t="shared" si="82"/>
        <v/>
      </c>
      <c r="AD22" s="52" t="str">
        <f>IF($C22="","",VLOOKUP($C22,AMABat!$A$10:$BV$140,AD$4,FALSE))</f>
        <v/>
      </c>
      <c r="AE22" s="33" t="str">
        <f>IF($C22="","",VLOOKUP($C22,AMABat!$A$10:$BV$140,AE$4,FALSE))</f>
        <v/>
      </c>
      <c r="AF22" s="33" t="str">
        <f>IF($C22="","",VLOOKUP($C22,AMABat!$A$10:$BV$140,AF$4,FALSE))</f>
        <v/>
      </c>
      <c r="AG22" s="33" t="str">
        <f>IF($C22="","",VLOOKUP($C22,AMABat!$A$10:$BV$140,AG$4,FALSE))</f>
        <v/>
      </c>
      <c r="AH22" s="33" t="str">
        <f>IF($C22="","",VLOOKUP($C22,AMABat!$A$10:$BV$140,AH$4,FALSE))</f>
        <v/>
      </c>
      <c r="AI22" s="33" t="str">
        <f>IF($C22="","",VLOOKUP($C22,AMABat!$A$10:$BV$140,AI$4,FALSE))</f>
        <v/>
      </c>
      <c r="AJ22" s="35" t="str">
        <f>IF($C22="","",VLOOKUP($C22,AMABat!$A$10:$BV$140,AJ$4,FALSE))</f>
        <v/>
      </c>
      <c r="AK22" s="61" t="str">
        <f t="shared" si="83"/>
        <v/>
      </c>
      <c r="AL22" s="337" t="str">
        <f t="shared" si="84"/>
        <v/>
      </c>
      <c r="AM22" s="337" t="str">
        <f t="shared" si="85"/>
        <v/>
      </c>
      <c r="AN22" s="337" t="str">
        <f t="shared" si="86"/>
        <v/>
      </c>
      <c r="AO22" s="337" t="str">
        <f t="shared" si="87"/>
        <v/>
      </c>
      <c r="AP22" s="337" t="str">
        <f t="shared" si="88"/>
        <v/>
      </c>
      <c r="AQ22" s="337" t="str">
        <f t="shared" si="89"/>
        <v/>
      </c>
      <c r="AR22" s="337" t="str">
        <f t="shared" si="90"/>
        <v/>
      </c>
      <c r="AS22" s="337" t="str">
        <f t="shared" si="91"/>
        <v/>
      </c>
      <c r="AT22" s="337" t="str">
        <f t="shared" si="92"/>
        <v/>
      </c>
      <c r="AU22" s="52" t="str">
        <f>IF($C22="","",VLOOKUP($C22,AMABat!$A$10:$BV$140,AU$4,FALSE))</f>
        <v/>
      </c>
      <c r="AV22" s="33" t="str">
        <f>IF($C22="","",VLOOKUP($C22,AMABat!$A$10:$BV$140,AV$4,FALSE))</f>
        <v/>
      </c>
      <c r="AW22" s="33" t="str">
        <f>IF($C22="","",VLOOKUP($C22,AMABat!$A$10:$BV$140,AW$4,FALSE))</f>
        <v/>
      </c>
      <c r="AX22" s="33" t="str">
        <f>IF($C22="","",VLOOKUP($C22,AMABat!$A$10:$BV$140,AX$4,FALSE))</f>
        <v/>
      </c>
      <c r="AY22" s="35" t="str">
        <f>IF($C22="","",VLOOKUP($C22,AMABat!$A$10:$BV$140,AY$4,FALSE))</f>
        <v/>
      </c>
      <c r="AZ22" s="61" t="str">
        <f t="shared" si="93"/>
        <v/>
      </c>
    </row>
    <row r="23" spans="1:52" x14ac:dyDescent="0.25">
      <c r="A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</row>
    <row r="24" spans="1:52" ht="196.5" x14ac:dyDescent="0.25">
      <c r="A24" s="18" t="s">
        <v>170</v>
      </c>
      <c r="B24" s="341" t="s">
        <v>111</v>
      </c>
      <c r="C24" s="37" t="str">
        <f>"Player ("&amp;COUNTA(C25:C27)&amp;")"</f>
        <v>Player (2)</v>
      </c>
      <c r="D24" s="37" t="s">
        <v>70</v>
      </c>
      <c r="E24" s="37" t="s">
        <v>80</v>
      </c>
      <c r="F24" s="57" t="e">
        <f>"Strong C Arm ("&amp;SUM(F25:F27)&amp;")"</f>
        <v>#N/A</v>
      </c>
      <c r="G24" s="41" t="s">
        <v>32</v>
      </c>
      <c r="H24" s="41" t="s">
        <v>32</v>
      </c>
      <c r="I24" s="41" t="s">
        <v>32</v>
      </c>
      <c r="J24" s="48" t="s">
        <v>114</v>
      </c>
      <c r="K24" s="40" t="s">
        <v>112</v>
      </c>
      <c r="L24" s="49" t="s">
        <v>113</v>
      </c>
      <c r="M24" s="41" t="s">
        <v>71</v>
      </c>
      <c r="N24" s="41" t="s">
        <v>73</v>
      </c>
      <c r="O24" s="41" t="s">
        <v>74</v>
      </c>
      <c r="P24" s="41" t="s">
        <v>75</v>
      </c>
      <c r="Q24" s="41" t="s">
        <v>76</v>
      </c>
      <c r="R24" s="41" t="s">
        <v>77</v>
      </c>
      <c r="S24" s="41" t="s">
        <v>78</v>
      </c>
      <c r="T24" s="42" t="s">
        <v>79</v>
      </c>
      <c r="U24" s="38" t="s">
        <v>115</v>
      </c>
      <c r="V24" s="38" t="s">
        <v>158</v>
      </c>
      <c r="W24" s="38" t="s">
        <v>116</v>
      </c>
      <c r="X24" s="38" t="s">
        <v>117</v>
      </c>
      <c r="Y24" s="38" t="s">
        <v>118</v>
      </c>
      <c r="Z24" s="38" t="s">
        <v>119</v>
      </c>
      <c r="AA24" s="38" t="s">
        <v>120</v>
      </c>
      <c r="AB24" s="38" t="s">
        <v>122</v>
      </c>
      <c r="AC24" s="53" t="s">
        <v>121</v>
      </c>
      <c r="AD24" s="41" t="s">
        <v>125</v>
      </c>
      <c r="AE24" s="41" t="s">
        <v>126</v>
      </c>
      <c r="AF24" s="41" t="s">
        <v>127</v>
      </c>
      <c r="AG24" s="41" t="s">
        <v>128</v>
      </c>
      <c r="AH24" s="41" t="s">
        <v>21</v>
      </c>
      <c r="AI24" s="41" t="s">
        <v>129</v>
      </c>
      <c r="AJ24" s="42" t="s">
        <v>130</v>
      </c>
      <c r="AK24" s="59" t="s">
        <v>134</v>
      </c>
      <c r="AL24" s="38" t="s">
        <v>115</v>
      </c>
      <c r="AM24" s="38" t="s">
        <v>158</v>
      </c>
      <c r="AN24" s="38" t="s">
        <v>116</v>
      </c>
      <c r="AO24" s="38" t="s">
        <v>117</v>
      </c>
      <c r="AP24" s="38" t="s">
        <v>118</v>
      </c>
      <c r="AQ24" s="38" t="s">
        <v>119</v>
      </c>
      <c r="AR24" s="38" t="s">
        <v>120</v>
      </c>
      <c r="AS24" s="38" t="s">
        <v>122</v>
      </c>
      <c r="AT24" s="53" t="s">
        <v>121</v>
      </c>
      <c r="AU24" s="56" t="s">
        <v>125</v>
      </c>
      <c r="AV24" s="41" t="s">
        <v>126</v>
      </c>
      <c r="AW24" s="41" t="s">
        <v>127</v>
      </c>
      <c r="AX24" s="41" t="s">
        <v>128</v>
      </c>
      <c r="AY24" s="42" t="s">
        <v>21</v>
      </c>
      <c r="AZ24" s="59" t="s">
        <v>174</v>
      </c>
    </row>
    <row r="25" spans="1:52" x14ac:dyDescent="0.25">
      <c r="A25" s="305">
        <v>1</v>
      </c>
      <c r="B25" s="29" t="s">
        <v>71</v>
      </c>
      <c r="C25" s="30" t="s">
        <v>506</v>
      </c>
      <c r="D25" s="30" t="e">
        <f>IF($C25="","",VLOOKUP($C25,AMABat!$A$10:$BV$140,D$4,FALSE))</f>
        <v>#N/A</v>
      </c>
      <c r="E25" s="30" t="e">
        <f>IF($C25="","",VLOOKUP($C25,AMABat!$A$10:$BV$140,E$4,FALSE))</f>
        <v>#N/A</v>
      </c>
      <c r="F25" s="345" t="e">
        <f t="shared" ref="F25:F27" si="117">IF($C25="","",IF(AND(O25&gt;0,O25=SUM(M25:T25)),1,0))</f>
        <v>#N/A</v>
      </c>
      <c r="G25" s="339" t="e">
        <f t="shared" ref="G25:G27" si="118">IF($C25="","",IF(Q25&lt;&gt;"-",1,0))</f>
        <v>#N/A</v>
      </c>
      <c r="H25" s="339" t="e">
        <f t="shared" ref="H25:H27" si="119">IF($C25="","",IF(AND(K25&gt;5,P25&lt;&gt;"-"),1,0))</f>
        <v>#N/A</v>
      </c>
      <c r="I25" s="339" t="str">
        <f t="shared" ref="I25:I27" si="120">IF($C25="","","-")</f>
        <v>-</v>
      </c>
      <c r="J25" s="51" t="e">
        <f>IF($C25="","",VLOOKUP($C25,AMABat!$A$10:$BV$140,J$4,FALSE))</f>
        <v>#N/A</v>
      </c>
      <c r="K25" s="30" t="e">
        <f>IF($C25="","",VLOOKUP($C25,AMABat!$A$10:$BV$140,K$4,FALSE))</f>
        <v>#N/A</v>
      </c>
      <c r="L25" s="31" t="e">
        <f>IF($C25="","",VLOOKUP($C25,AMABat!$A$10:$BV$140,L$4,FALSE))</f>
        <v>#N/A</v>
      </c>
      <c r="M25" s="30" t="e">
        <f>IF($C25="","",VLOOKUP($C25,AMABat!$A$10:$BV$140,M$4,FALSE))</f>
        <v>#N/A</v>
      </c>
      <c r="N25" s="30" t="e">
        <f>IF($C25="","",VLOOKUP($C25,AMABat!$A$10:$BV$140,N$4,FALSE))</f>
        <v>#N/A</v>
      </c>
      <c r="O25" s="30" t="e">
        <f>IF($C25="","",VLOOKUP($C25,AMABat!$A$10:$BV$140,O$4,FALSE))</f>
        <v>#N/A</v>
      </c>
      <c r="P25" s="30" t="e">
        <f>IF($C25="","",VLOOKUP($C25,AMABat!$A$10:$BV$140,P$4,FALSE))</f>
        <v>#N/A</v>
      </c>
      <c r="Q25" s="30" t="e">
        <f>IF($C25="","",VLOOKUP($C25,AMABat!$A$10:$BV$140,Q$4,FALSE))</f>
        <v>#N/A</v>
      </c>
      <c r="R25" s="30" t="e">
        <f>IF($C25="","",VLOOKUP($C25,AMABat!$A$10:$BV$140,R$4,FALSE))</f>
        <v>#N/A</v>
      </c>
      <c r="S25" s="30" t="e">
        <f>IF($C25="","",VLOOKUP($C25,AMABat!$A$10:$BV$140,S$4,FALSE))</f>
        <v>#N/A</v>
      </c>
      <c r="T25" s="31" t="e">
        <f>IF($C25="","",VLOOKUP($C25,AMABat!$A$10:$BV$140,T$4,FALSE))</f>
        <v>#N/A</v>
      </c>
      <c r="U25" s="339" t="e">
        <f t="shared" ref="U25:U27" si="121">IF($C25="","",IF(OR(AD25+AG25&gt;14,AND(OR(AD25+AG25&gt;12,AND(AD25&gt;6,AG25&gt;6)),AI25&gt;6,OR(AJ25&gt;=AI25,AJ25&gt;6))),1,0))</f>
        <v>#N/A</v>
      </c>
      <c r="V25" s="339" t="e">
        <f t="shared" ref="V25:V27" si="122">IF($C25="","",IF(OR(AND(AD25&gt;6,AH25&gt;6),AD25+AG25&gt;12),1,0))</f>
        <v>#N/A</v>
      </c>
      <c r="W25" s="339" t="e">
        <f t="shared" ref="W25:W27" si="123">IF($C25="","",IF(AND(AD25&gt;6,AF25&gt;6,AG25&gt;6),1,0))</f>
        <v>#N/A</v>
      </c>
      <c r="X25" s="339" t="e">
        <f t="shared" ref="X25:X27" si="124">IF($C25="","",IF(AND(AF25&gt;7,OR(AD25&gt;6,AG25&gt;6)),1,0))</f>
        <v>#N/A</v>
      </c>
      <c r="Y25" s="339" t="e">
        <f t="shared" ref="Y25:Y27" si="125">IF($C25="","",IF(AND(AF25&gt;6,OR(AD25&gt;6,AG25&gt;6)),1,0))</f>
        <v>#N/A</v>
      </c>
      <c r="Z25" s="339" t="e">
        <f t="shared" ref="Z25:Z27" si="126">IF($C25="","",IF(AND(OR(AD25&gt;6,AF25&gt;6),OR(AD25&gt;6,AG25&gt;6)),1,0))</f>
        <v>#N/A</v>
      </c>
      <c r="AA25" s="339" t="e">
        <f t="shared" ref="AA25:AA27" si="127">IF($C25="","",IF(AND(AD25&gt;4,OR(AD25&gt;6,AF25&gt;6,AG25&gt;6)),1,0))</f>
        <v>#N/A</v>
      </c>
      <c r="AB25" s="339" t="e">
        <f t="shared" ref="AB25:AB27" si="128">IF($C25="","",IF(AND(AD25&gt;4,OR(AD25&gt;6,AE25&gt;6,AF25&gt;6,AG25&gt;6)),1,0))</f>
        <v>#N/A</v>
      </c>
      <c r="AC25" s="340" t="e">
        <f t="shared" ref="AC25:AC27" si="129">IF($C25="","",IF(AND(AD25&gt;4,MAX(AD25:AH25)&gt;6),1,0))</f>
        <v>#N/A</v>
      </c>
      <c r="AD25" s="30" t="e">
        <f>IF($C25="","",VLOOKUP($C25,AMABat!$A$10:$BV$140,AD$4,FALSE))</f>
        <v>#N/A</v>
      </c>
      <c r="AE25" s="30" t="e">
        <f>IF($C25="","",VLOOKUP($C25,AMABat!$A$10:$BV$140,AE$4,FALSE))</f>
        <v>#N/A</v>
      </c>
      <c r="AF25" s="30" t="e">
        <f>IF($C25="","",VLOOKUP($C25,AMABat!$A$10:$BV$140,AF$4,FALSE))</f>
        <v>#N/A</v>
      </c>
      <c r="AG25" s="30" t="e">
        <f>IF($C25="","",VLOOKUP($C25,AMABat!$A$10:$BV$140,AG$4,FALSE))</f>
        <v>#N/A</v>
      </c>
      <c r="AH25" s="30" t="e">
        <f>IF($C25="","",VLOOKUP($C25,AMABat!$A$10:$BV$140,AH$4,FALSE))</f>
        <v>#N/A</v>
      </c>
      <c r="AI25" s="30" t="e">
        <f>IF($C25="","",VLOOKUP($C25,AMABat!$A$10:$BV$140,AI$4,FALSE))</f>
        <v>#N/A</v>
      </c>
      <c r="AJ25" s="31" t="e">
        <f>IF($C25="","",VLOOKUP($C25,AMABat!$A$10:$BV$140,AJ$4,FALSE))</f>
        <v>#N/A</v>
      </c>
      <c r="AK25" s="60" t="e">
        <f t="shared" ref="AK25:AK27" si="130">IF($C25="","",(5*AD25+4*AF25+3*AG25+2*AE25+1*AH25+0.5*(AVERAGE(AD25:AE25))+0.5*AVERAGE(AD25,AH25)+1*(AVERAGE(AD25,AF25))+1*AVERAGE(AD25,AG25))/(5+4+3+2+1+0.5+0.5+1+1))</f>
        <v>#N/A</v>
      </c>
      <c r="AL25" s="339" t="e">
        <f t="shared" ref="AL25:AL27" si="131">IF($C25="","",IF(AND(OR(AU25+AX25&gt;12,AND(AU25&gt;6,AX25&gt;6)),AI25&gt;6,OR(AJ25&gt;=AI25,AJ25&gt;6)),1,0))</f>
        <v>#N/A</v>
      </c>
      <c r="AM25" s="339" t="e">
        <f t="shared" ref="AM25:AM27" si="132">IF($C25="","",IF(OR(AND(AU25&gt;6,AY25&gt;6),AU25+AX25&gt;12),1,0))</f>
        <v>#N/A</v>
      </c>
      <c r="AN25" s="339" t="e">
        <f t="shared" ref="AN25:AN27" si="133">IF($C25="","",IF(AND(AU25&gt;6,AW25&gt;6,AX25&gt;6),1,0))</f>
        <v>#N/A</v>
      </c>
      <c r="AO25" s="339" t="e">
        <f t="shared" ref="AO25:AO27" si="134">IF($C25="","",IF(AND(AW25&gt;7,OR(AU25&gt;6,AX25&gt;6)),1,0))</f>
        <v>#N/A</v>
      </c>
      <c r="AP25" s="339" t="e">
        <f t="shared" ref="AP25:AP27" si="135">IF($C25="","",IF(AND(AW25&gt;6,OR(AU25&gt;6,AX25&gt;6)),1,0))</f>
        <v>#N/A</v>
      </c>
      <c r="AQ25" s="339" t="e">
        <f t="shared" ref="AQ25:AQ27" si="136">IF($C25="","",IF(AND(OR(AU25&gt;6,AW25&gt;6),OR(AU25&gt;6,AX25&gt;6)),1,0))</f>
        <v>#N/A</v>
      </c>
      <c r="AR25" s="339" t="e">
        <f t="shared" ref="AR25:AR27" si="137">IF($C25="","",IF(AND(AU25&gt;4,OR(AU25&gt;6,AW25&gt;6,AX25&gt;6)),1,0))</f>
        <v>#N/A</v>
      </c>
      <c r="AS25" s="339" t="e">
        <f t="shared" ref="AS25:AS27" si="138">IF($C25="","",IF(AND(AU25&gt;4,OR(AU25&gt;6,AV25&gt;6,AW25&gt;6,AX25&gt;6)),1,0))</f>
        <v>#N/A</v>
      </c>
      <c r="AT25" s="340" t="e">
        <f t="shared" ref="AT25:AT27" si="139">IF($C25="","",IF(AND(AU25&gt;4,MAX(AU25:AY25)&gt;6),1,0))</f>
        <v>#N/A</v>
      </c>
      <c r="AU25" s="51" t="e">
        <f>IF($C25="","",VLOOKUP($C25,AMABat!$A$10:$BV$140,AU$4,FALSE))</f>
        <v>#N/A</v>
      </c>
      <c r="AV25" s="30" t="e">
        <f>IF($C25="","",VLOOKUP($C25,AMABat!$A$10:$BV$140,AV$4,FALSE))</f>
        <v>#N/A</v>
      </c>
      <c r="AW25" s="30" t="e">
        <f>IF($C25="","",VLOOKUP($C25,AMABat!$A$10:$BV$140,AW$4,FALSE))</f>
        <v>#N/A</v>
      </c>
      <c r="AX25" s="30" t="e">
        <f>IF($C25="","",VLOOKUP($C25,AMABat!$A$10:$BV$140,AX$4,FALSE))</f>
        <v>#N/A</v>
      </c>
      <c r="AY25" s="31" t="e">
        <f>IF($C25="","",VLOOKUP($C25,AMABat!$A$10:$BV$140,AY$4,FALSE))</f>
        <v>#N/A</v>
      </c>
      <c r="AZ25" s="60" t="e">
        <f t="shared" ref="AZ25:AZ27" si="140">IF($C25="","",(5*AU25+4*AW25+3*AX25+2*AV25+1*AY25+0.5*(AVERAGE(AU25:AV25))+0.5*AVERAGE(AU25,AY25)+1*(AVERAGE(AU25,AW25))+1*AVERAGE(AU25,AX25))/(5+4+3+2+1+0.5+0.5+1+1))</f>
        <v>#N/A</v>
      </c>
    </row>
    <row r="26" spans="1:52" x14ac:dyDescent="0.25">
      <c r="A26" s="305">
        <v>2</v>
      </c>
      <c r="B26" s="29" t="s">
        <v>80</v>
      </c>
      <c r="C26" s="30" t="s">
        <v>749</v>
      </c>
      <c r="D26" s="30" t="e">
        <f>IF($C26="","",VLOOKUP($C26,AMABat!$A$10:$BV$140,D$4,FALSE))</f>
        <v>#N/A</v>
      </c>
      <c r="E26" s="30" t="e">
        <f>IF($C26="","",VLOOKUP($C26,AMABat!$A$10:$BV$140,E$4,FALSE))</f>
        <v>#N/A</v>
      </c>
      <c r="F26" s="345" t="e">
        <f t="shared" si="117"/>
        <v>#N/A</v>
      </c>
      <c r="G26" s="339" t="e">
        <f t="shared" si="118"/>
        <v>#N/A</v>
      </c>
      <c r="H26" s="339" t="e">
        <f t="shared" si="119"/>
        <v>#N/A</v>
      </c>
      <c r="I26" s="339" t="str">
        <f t="shared" si="120"/>
        <v>-</v>
      </c>
      <c r="J26" s="51" t="e">
        <f>IF($C26="","",VLOOKUP($C26,AMABat!$A$10:$BV$140,J$4,FALSE))</f>
        <v>#N/A</v>
      </c>
      <c r="K26" s="30" t="e">
        <f>IF($C26="","",VLOOKUP($C26,AMABat!$A$10:$BV$140,K$4,FALSE))</f>
        <v>#N/A</v>
      </c>
      <c r="L26" s="31" t="e">
        <f>IF($C26="","",VLOOKUP($C26,AMABat!$A$10:$BV$140,L$4,FALSE))</f>
        <v>#N/A</v>
      </c>
      <c r="M26" s="30" t="e">
        <f>IF($C26="","",VLOOKUP($C26,AMABat!$A$10:$BV$140,M$4,FALSE))</f>
        <v>#N/A</v>
      </c>
      <c r="N26" s="30" t="e">
        <f>IF($C26="","",VLOOKUP($C26,AMABat!$A$10:$BV$140,N$4,FALSE))</f>
        <v>#N/A</v>
      </c>
      <c r="O26" s="30" t="e">
        <f>IF($C26="","",VLOOKUP($C26,AMABat!$A$10:$BV$140,O$4,FALSE))</f>
        <v>#N/A</v>
      </c>
      <c r="P26" s="30" t="e">
        <f>IF($C26="","",VLOOKUP($C26,AMABat!$A$10:$BV$140,P$4,FALSE))</f>
        <v>#N/A</v>
      </c>
      <c r="Q26" s="30" t="e">
        <f>IF($C26="","",VLOOKUP($C26,AMABat!$A$10:$BV$140,Q$4,FALSE))</f>
        <v>#N/A</v>
      </c>
      <c r="R26" s="30" t="e">
        <f>IF($C26="","",VLOOKUP($C26,AMABat!$A$10:$BV$140,R$4,FALSE))</f>
        <v>#N/A</v>
      </c>
      <c r="S26" s="30" t="e">
        <f>IF($C26="","",VLOOKUP($C26,AMABat!$A$10:$BV$140,S$4,FALSE))</f>
        <v>#N/A</v>
      </c>
      <c r="T26" s="31" t="e">
        <f>IF($C26="","",VLOOKUP($C26,AMABat!$A$10:$BV$140,T$4,FALSE))</f>
        <v>#N/A</v>
      </c>
      <c r="U26" s="339" t="e">
        <f t="shared" si="121"/>
        <v>#N/A</v>
      </c>
      <c r="V26" s="339" t="e">
        <f t="shared" si="122"/>
        <v>#N/A</v>
      </c>
      <c r="W26" s="339" t="e">
        <f t="shared" si="123"/>
        <v>#N/A</v>
      </c>
      <c r="X26" s="339" t="e">
        <f t="shared" si="124"/>
        <v>#N/A</v>
      </c>
      <c r="Y26" s="339" t="e">
        <f t="shared" si="125"/>
        <v>#N/A</v>
      </c>
      <c r="Z26" s="339" t="e">
        <f t="shared" si="126"/>
        <v>#N/A</v>
      </c>
      <c r="AA26" s="339" t="e">
        <f t="shared" si="127"/>
        <v>#N/A</v>
      </c>
      <c r="AB26" s="339" t="e">
        <f t="shared" si="128"/>
        <v>#N/A</v>
      </c>
      <c r="AC26" s="340" t="e">
        <f t="shared" si="129"/>
        <v>#N/A</v>
      </c>
      <c r="AD26" s="30" t="e">
        <f>IF($C26="","",VLOOKUP($C26,AMABat!$A$10:$BV$140,AD$4,FALSE))</f>
        <v>#N/A</v>
      </c>
      <c r="AE26" s="30" t="e">
        <f>IF($C26="","",VLOOKUP($C26,AMABat!$A$10:$BV$140,AE$4,FALSE))</f>
        <v>#N/A</v>
      </c>
      <c r="AF26" s="30" t="e">
        <f>IF($C26="","",VLOOKUP($C26,AMABat!$A$10:$BV$140,AF$4,FALSE))</f>
        <v>#N/A</v>
      </c>
      <c r="AG26" s="30" t="e">
        <f>IF($C26="","",VLOOKUP($C26,AMABat!$A$10:$BV$140,AG$4,FALSE))</f>
        <v>#N/A</v>
      </c>
      <c r="AH26" s="30" t="e">
        <f>IF($C26="","",VLOOKUP($C26,AMABat!$A$10:$BV$140,AH$4,FALSE))</f>
        <v>#N/A</v>
      </c>
      <c r="AI26" s="30" t="e">
        <f>IF($C26="","",VLOOKUP($C26,AMABat!$A$10:$BV$140,AI$4,FALSE))</f>
        <v>#N/A</v>
      </c>
      <c r="AJ26" s="31" t="e">
        <f>IF($C26="","",VLOOKUP($C26,AMABat!$A$10:$BV$140,AJ$4,FALSE))</f>
        <v>#N/A</v>
      </c>
      <c r="AK26" s="60" t="e">
        <f t="shared" si="130"/>
        <v>#N/A</v>
      </c>
      <c r="AL26" s="339" t="e">
        <f t="shared" si="131"/>
        <v>#N/A</v>
      </c>
      <c r="AM26" s="339" t="e">
        <f t="shared" si="132"/>
        <v>#N/A</v>
      </c>
      <c r="AN26" s="339" t="e">
        <f t="shared" si="133"/>
        <v>#N/A</v>
      </c>
      <c r="AO26" s="339" t="e">
        <f t="shared" si="134"/>
        <v>#N/A</v>
      </c>
      <c r="AP26" s="339" t="e">
        <f t="shared" si="135"/>
        <v>#N/A</v>
      </c>
      <c r="AQ26" s="339" t="e">
        <f t="shared" si="136"/>
        <v>#N/A</v>
      </c>
      <c r="AR26" s="339" t="e">
        <f t="shared" si="137"/>
        <v>#N/A</v>
      </c>
      <c r="AS26" s="339" t="e">
        <f t="shared" si="138"/>
        <v>#N/A</v>
      </c>
      <c r="AT26" s="340" t="e">
        <f t="shared" si="139"/>
        <v>#N/A</v>
      </c>
      <c r="AU26" s="51" t="e">
        <f>IF($C26="","",VLOOKUP($C26,AMABat!$A$10:$BV$140,AU$4,FALSE))</f>
        <v>#N/A</v>
      </c>
      <c r="AV26" s="30" t="e">
        <f>IF($C26="","",VLOOKUP($C26,AMABat!$A$10:$BV$140,AV$4,FALSE))</f>
        <v>#N/A</v>
      </c>
      <c r="AW26" s="30" t="e">
        <f>IF($C26="","",VLOOKUP($C26,AMABat!$A$10:$BV$140,AW$4,FALSE))</f>
        <v>#N/A</v>
      </c>
      <c r="AX26" s="30" t="e">
        <f>IF($C26="","",VLOOKUP($C26,AMABat!$A$10:$BV$140,AX$4,FALSE))</f>
        <v>#N/A</v>
      </c>
      <c r="AY26" s="31" t="e">
        <f>IF($C26="","",VLOOKUP($C26,AMABat!$A$10:$BV$140,AY$4,FALSE))</f>
        <v>#N/A</v>
      </c>
      <c r="AZ26" s="60" t="e">
        <f t="shared" si="140"/>
        <v>#N/A</v>
      </c>
    </row>
    <row r="27" spans="1:52" x14ac:dyDescent="0.25">
      <c r="A27" s="305">
        <v>3</v>
      </c>
      <c r="B27" s="32" t="s">
        <v>80</v>
      </c>
      <c r="C27" s="33"/>
      <c r="D27" s="33" t="str">
        <f>IF($C27="","",VLOOKUP($C27,AMABat!$A$10:$BV$140,D$4,FALSE))</f>
        <v/>
      </c>
      <c r="E27" s="33" t="str">
        <f>IF($C27="","",VLOOKUP($C27,AMABat!$A$10:$BV$140,E$4,FALSE))</f>
        <v/>
      </c>
      <c r="F27" s="47" t="str">
        <f t="shared" si="117"/>
        <v/>
      </c>
      <c r="G27" s="337" t="str">
        <f t="shared" si="118"/>
        <v/>
      </c>
      <c r="H27" s="337" t="str">
        <f t="shared" si="119"/>
        <v/>
      </c>
      <c r="I27" s="337" t="str">
        <f t="shared" si="120"/>
        <v/>
      </c>
      <c r="J27" s="52" t="str">
        <f>IF($C27="","",VLOOKUP($C27,AMABat!$A$10:$BV$140,J$4,FALSE))</f>
        <v/>
      </c>
      <c r="K27" s="33" t="str">
        <f>IF($C27="","",VLOOKUP($C27,AMABat!$A$10:$BV$140,K$4,FALSE))</f>
        <v/>
      </c>
      <c r="L27" s="35" t="str">
        <f>IF($C27="","",VLOOKUP($C27,AMABat!$A$10:$BV$140,L$4,FALSE))</f>
        <v/>
      </c>
      <c r="M27" s="33" t="str">
        <f>IF($C27="","",VLOOKUP($C27,AMABat!$A$10:$BV$140,M$4,FALSE))</f>
        <v/>
      </c>
      <c r="N27" s="33" t="str">
        <f>IF($C27="","",VLOOKUP($C27,AMABat!$A$10:$BV$140,N$4,FALSE))</f>
        <v/>
      </c>
      <c r="O27" s="33" t="str">
        <f>IF($C27="","",VLOOKUP($C27,AMABat!$A$10:$BV$140,O$4,FALSE))</f>
        <v/>
      </c>
      <c r="P27" s="33" t="str">
        <f>IF($C27="","",VLOOKUP($C27,AMABat!$A$10:$BV$140,P$4,FALSE))</f>
        <v/>
      </c>
      <c r="Q27" s="33" t="str">
        <f>IF($C27="","",VLOOKUP($C27,AMABat!$A$10:$BV$140,Q$4,FALSE))</f>
        <v/>
      </c>
      <c r="R27" s="33" t="str">
        <f>IF($C27="","",VLOOKUP($C27,AMABat!$A$10:$BV$140,R$4,FALSE))</f>
        <v/>
      </c>
      <c r="S27" s="33" t="str">
        <f>IF($C27="","",VLOOKUP($C27,AMABat!$A$10:$BV$140,S$4,FALSE))</f>
        <v/>
      </c>
      <c r="T27" s="35" t="str">
        <f>IF($C27="","",VLOOKUP($C27,AMABat!$A$10:$BV$140,T$4,FALSE))</f>
        <v/>
      </c>
      <c r="U27" s="337" t="str">
        <f t="shared" si="121"/>
        <v/>
      </c>
      <c r="V27" s="337" t="str">
        <f t="shared" si="122"/>
        <v/>
      </c>
      <c r="W27" s="337" t="str">
        <f t="shared" si="123"/>
        <v/>
      </c>
      <c r="X27" s="337" t="str">
        <f t="shared" si="124"/>
        <v/>
      </c>
      <c r="Y27" s="337" t="str">
        <f t="shared" si="125"/>
        <v/>
      </c>
      <c r="Z27" s="337" t="str">
        <f t="shared" si="126"/>
        <v/>
      </c>
      <c r="AA27" s="337" t="str">
        <f t="shared" si="127"/>
        <v/>
      </c>
      <c r="AB27" s="337" t="str">
        <f t="shared" si="128"/>
        <v/>
      </c>
      <c r="AC27" s="338" t="str">
        <f t="shared" si="129"/>
        <v/>
      </c>
      <c r="AD27" s="33" t="str">
        <f>IF($C27="","",VLOOKUP($C27,AMABat!$A$10:$BV$140,AD$4,FALSE))</f>
        <v/>
      </c>
      <c r="AE27" s="33" t="str">
        <f>IF($C27="","",VLOOKUP($C27,AMABat!$A$10:$BV$140,AE$4,FALSE))</f>
        <v/>
      </c>
      <c r="AF27" s="33" t="str">
        <f>IF($C27="","",VLOOKUP($C27,AMABat!$A$10:$BV$140,AF$4,FALSE))</f>
        <v/>
      </c>
      <c r="AG27" s="33" t="str">
        <f>IF($C27="","",VLOOKUP($C27,AMABat!$A$10:$BV$140,AG$4,FALSE))</f>
        <v/>
      </c>
      <c r="AH27" s="33" t="str">
        <f>IF($C27="","",VLOOKUP($C27,AMABat!$A$10:$BV$140,AH$4,FALSE))</f>
        <v/>
      </c>
      <c r="AI27" s="33" t="str">
        <f>IF($C27="","",VLOOKUP($C27,AMABat!$A$10:$BV$140,AI$4,FALSE))</f>
        <v/>
      </c>
      <c r="AJ27" s="35" t="str">
        <f>IF($C27="","",VLOOKUP($C27,AMABat!$A$10:$BV$140,AJ$4,FALSE))</f>
        <v/>
      </c>
      <c r="AK27" s="61" t="str">
        <f t="shared" si="130"/>
        <v/>
      </c>
      <c r="AL27" s="337" t="str">
        <f t="shared" si="131"/>
        <v/>
      </c>
      <c r="AM27" s="337" t="str">
        <f t="shared" si="132"/>
        <v/>
      </c>
      <c r="AN27" s="337" t="str">
        <f t="shared" si="133"/>
        <v/>
      </c>
      <c r="AO27" s="337" t="str">
        <f t="shared" si="134"/>
        <v/>
      </c>
      <c r="AP27" s="337" t="str">
        <f t="shared" si="135"/>
        <v/>
      </c>
      <c r="AQ27" s="337" t="str">
        <f t="shared" si="136"/>
        <v/>
      </c>
      <c r="AR27" s="337" t="str">
        <f t="shared" si="137"/>
        <v/>
      </c>
      <c r="AS27" s="337" t="str">
        <f t="shared" si="138"/>
        <v/>
      </c>
      <c r="AT27" s="338" t="str">
        <f t="shared" si="139"/>
        <v/>
      </c>
      <c r="AU27" s="52" t="str">
        <f>IF($C27="","",VLOOKUP($C27,AMABat!$A$10:$BV$140,AU$4,FALSE))</f>
        <v/>
      </c>
      <c r="AV27" s="33" t="str">
        <f>IF($C27="","",VLOOKUP($C27,AMABat!$A$10:$BV$140,AV$4,FALSE))</f>
        <v/>
      </c>
      <c r="AW27" s="33" t="str">
        <f>IF($C27="","",VLOOKUP($C27,AMABat!$A$10:$BV$140,AW$4,FALSE))</f>
        <v/>
      </c>
      <c r="AX27" s="33" t="str">
        <f>IF($C27="","",VLOOKUP($C27,AMABat!$A$10:$BV$140,AX$4,FALSE))</f>
        <v/>
      </c>
      <c r="AY27" s="35" t="str">
        <f>IF($C27="","",VLOOKUP($C27,AMABat!$A$10:$BV$140,AY$4,FALSE))</f>
        <v/>
      </c>
      <c r="AZ27" s="61" t="str">
        <f t="shared" si="140"/>
        <v/>
      </c>
    </row>
    <row r="28" spans="1:52" x14ac:dyDescent="0.25">
      <c r="A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</row>
    <row r="29" spans="1:52" ht="196.5" customHeight="1" x14ac:dyDescent="0.25">
      <c r="A29" s="1"/>
      <c r="B29" s="341" t="s">
        <v>347</v>
      </c>
      <c r="C29" s="37" t="s">
        <v>96</v>
      </c>
      <c r="D29" s="37" t="s">
        <v>97</v>
      </c>
      <c r="E29" s="43" t="s">
        <v>80</v>
      </c>
      <c r="F29" s="342" t="s">
        <v>133</v>
      </c>
      <c r="G29" s="342" t="s">
        <v>137</v>
      </c>
      <c r="H29" s="343" t="s">
        <v>135</v>
      </c>
      <c r="I29" s="81" t="s">
        <v>159</v>
      </c>
      <c r="J29" s="341" t="s">
        <v>71</v>
      </c>
      <c r="K29" s="342" t="s">
        <v>123</v>
      </c>
      <c r="L29" s="342" t="s">
        <v>124</v>
      </c>
      <c r="M29" s="342" t="s">
        <v>180</v>
      </c>
      <c r="N29" s="342" t="s">
        <v>72</v>
      </c>
      <c r="O29" s="341" t="s">
        <v>181</v>
      </c>
      <c r="P29" s="343" t="s">
        <v>182</v>
      </c>
      <c r="Q29" s="341" t="s">
        <v>190</v>
      </c>
      <c r="R29" s="80" t="s">
        <v>203</v>
      </c>
      <c r="S29" s="1"/>
      <c r="T29" s="341" t="s">
        <v>97</v>
      </c>
      <c r="U29" s="341" t="s">
        <v>191</v>
      </c>
      <c r="V29" s="343" t="s">
        <v>204</v>
      </c>
      <c r="W29" s="342" t="s">
        <v>190</v>
      </c>
      <c r="X29" s="343" t="s">
        <v>203</v>
      </c>
      <c r="Y29" s="1"/>
      <c r="Z29" s="1" t="s">
        <v>336</v>
      </c>
      <c r="AA29" s="1"/>
      <c r="AB29" s="1"/>
      <c r="AC29" s="1"/>
      <c r="AD29" s="1"/>
      <c r="AE29" s="1"/>
      <c r="AF29" s="1"/>
      <c r="AG29" s="400" t="s">
        <v>346</v>
      </c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2"/>
      <c r="AU29" s="1"/>
      <c r="AV29" s="1"/>
      <c r="AW29" s="1"/>
      <c r="AX29" s="1"/>
      <c r="AY29" s="1"/>
      <c r="AZ29" s="1"/>
    </row>
    <row r="30" spans="1:52" x14ac:dyDescent="0.25">
      <c r="A30" s="305"/>
      <c r="B30" s="29">
        <v>1</v>
      </c>
      <c r="C30" s="50"/>
      <c r="D30" s="26" t="s">
        <v>78</v>
      </c>
      <c r="E30" s="31" t="str">
        <f>IF($C30="","",VLOOKUP($C30,$C$3:$AK$24,3,FALSE))</f>
        <v/>
      </c>
      <c r="F30" s="339" t="str">
        <f t="shared" ref="F30:F38" si="141">IF($C30="","",VLOOKUP($C30,$C$3:$AK$24,18+$B30,FALSE))</f>
        <v/>
      </c>
      <c r="G30" s="339" t="str">
        <f>IF($C30="","",IF(VLOOKUP($C30,$C$3:$AK$24,18+3,FALSE)=1,3,IF(VLOOKUP($C30,$C$3:$AK$24,18+4,FALSE)=1,4,IF(VLOOKUP($C30,$C$3:$AK$24,18+1,FALSE)=1,1,IF(VLOOKUP($C30,$C$3:$AK$24,18+5,FALSE)=1,5,IF(VLOOKUP($C30,$C$3:$AK$24,18+2,FALSE)=1,2,IF(VLOOKUP($C30,$C$3:$AK$24,18+6,FALSE)=1,6,IF(VLOOKUP($C30,$C$3:$AK$24,18+7,FALSE)=1,7,IF(VLOOKUP($C30,$C$3:$AK$24,18+8,FALSE)=1,8,9)))))))))</f>
        <v/>
      </c>
      <c r="H30" s="8" t="str">
        <f>IF($C30="","",VLOOKUP($C30,$C$3:$AK$24,35,FALSE))</f>
        <v/>
      </c>
      <c r="I30" s="82">
        <v>3</v>
      </c>
      <c r="J30" s="345" t="str">
        <f>IF($C30="","",VLOOKUP($C30,AMABat!$A$10:$BV$140,AD$1,FALSE))</f>
        <v/>
      </c>
      <c r="K30" s="339" t="str">
        <f>IF($C30="","",VLOOKUP($C30,AMABat!$A$10:$BV$140,AE$1,FALSE))</f>
        <v/>
      </c>
      <c r="L30" s="339" t="str">
        <f>IF($C30="","",VLOOKUP($C30,AMABat!$A$10:$BV$140,AF$1,FALSE))</f>
        <v/>
      </c>
      <c r="M30" s="339" t="str">
        <f>IF($C30="","",VLOOKUP($C30,AMABat!$A$10:$BV$140,AG$1,FALSE))</f>
        <v/>
      </c>
      <c r="N30" s="339" t="str">
        <f>IF($C30="","",VLOOKUP($C30,AMABat!$A$10:$BV$140,AH$1,FALSE))</f>
        <v/>
      </c>
      <c r="O30" s="345" t="str">
        <f>IF($C30="","",VLOOKUP($C30,AMABat!$A$10:$BV$140,AI$1,FALSE))</f>
        <v/>
      </c>
      <c r="P30" s="340" t="str">
        <f>IF($C30="","",VLOOKUP($C30,AMABat!$A$10:$BV$140,AJ$1,FALSE))</f>
        <v/>
      </c>
      <c r="Q30" s="107" t="str">
        <f t="shared" ref="Q30:Q38" si="142">IF($C30="","",IF($D30="DH","-",VLOOKUP($C30,$C$2:$AZ$24,9+VLOOKUP($D30,$T$26:$U$34,2,FALSE),FALSE)))</f>
        <v/>
      </c>
      <c r="R30" s="94" t="str">
        <f t="shared" ref="R30:R38" si="143">IF($C30="","",IF($D30="DH","-",VLOOKUP($C30,$C$2:$AZ$24,VLOOKUP($D30,$T$26:$V$34,3,FALSE),FALSE)))</f>
        <v/>
      </c>
      <c r="S30" s="305"/>
      <c r="T30" s="345" t="s">
        <v>71</v>
      </c>
      <c r="U30" s="345">
        <v>2</v>
      </c>
      <c r="V30" s="340">
        <v>8</v>
      </c>
      <c r="W30" s="339" t="str">
        <f>VLOOKUP($T30,$D$26:$R$35,14,FALSE)</f>
        <v/>
      </c>
      <c r="X30" s="340" t="str">
        <f>VLOOKUP($T30,$D$26:$R$35,15,FALSE)</f>
        <v/>
      </c>
      <c r="Y30" s="305"/>
      <c r="Z30" s="305" t="s">
        <v>337</v>
      </c>
      <c r="AA30" s="305">
        <v>1</v>
      </c>
      <c r="AB30" s="305"/>
      <c r="AC30" s="305"/>
      <c r="AD30" s="305"/>
      <c r="AE30" s="305"/>
      <c r="AF30" s="305"/>
      <c r="AG30" s="192">
        <v>1</v>
      </c>
      <c r="AH30" s="406" t="s">
        <v>362</v>
      </c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7"/>
      <c r="AU30" s="305" t="s">
        <v>366</v>
      </c>
      <c r="AV30" s="305"/>
      <c r="AW30" s="305"/>
      <c r="AX30" s="305"/>
      <c r="AY30" s="305"/>
      <c r="AZ30" s="305"/>
    </row>
    <row r="31" spans="1:52" x14ac:dyDescent="0.25">
      <c r="A31" s="305"/>
      <c r="B31" s="29">
        <v>2</v>
      </c>
      <c r="C31" s="51"/>
      <c r="D31" s="30" t="s">
        <v>76</v>
      </c>
      <c r="E31" s="31" t="str">
        <f t="shared" ref="E31:E38" si="144">IF($C31="","",VLOOKUP($C31,$C$3:$AK$24,3,FALSE))</f>
        <v/>
      </c>
      <c r="F31" s="339" t="str">
        <f t="shared" si="141"/>
        <v/>
      </c>
      <c r="G31" s="339" t="str">
        <f t="shared" ref="G31:G38" si="145">IF($C31="","",IF(VLOOKUP($C31,$C$3:$AK$24,18+3,FALSE)=1,3,IF(VLOOKUP($C31,$C$3:$AK$24,18+4,FALSE)=1,4,IF(VLOOKUP($C31,$C$3:$AK$24,18+1,FALSE)=1,1,IF(VLOOKUP($C31,$C$3:$AK$24,18+5,FALSE)=1,5,IF(VLOOKUP($C31,$C$3:$AK$24,18+2,FALSE)=1,2,IF(VLOOKUP($C31,$C$3:$AK$24,18+6,FALSE)=1,6,IF(VLOOKUP($C31,$C$3:$AK$24,18+7,FALSE)=1,7,IF(VLOOKUP($C31,$C$3:$AK$24,18+8,FALSE)=1,8,9)))))))))</f>
        <v/>
      </c>
      <c r="H31" s="8" t="str">
        <f t="shared" ref="H31:H38" si="146">IF($C31="","",VLOOKUP($C31,$C$3:$AK$24,35,FALSE))</f>
        <v/>
      </c>
      <c r="I31" s="82">
        <v>5</v>
      </c>
      <c r="J31" s="345" t="str">
        <f>IF($C31="","",VLOOKUP($C31,AMABat!$A$10:$BV$140,AD$1,FALSE))</f>
        <v/>
      </c>
      <c r="K31" s="339" t="str">
        <f>IF($C31="","",VLOOKUP($C31,AMABat!$A$10:$BV$140,AE$1,FALSE))</f>
        <v/>
      </c>
      <c r="L31" s="339" t="str">
        <f>IF($C31="","",VLOOKUP($C31,AMABat!$A$10:$BV$140,AF$1,FALSE))</f>
        <v/>
      </c>
      <c r="M31" s="339" t="str">
        <f>IF($C31="","",VLOOKUP($C31,AMABat!$A$10:$BV$140,AG$1,FALSE))</f>
        <v/>
      </c>
      <c r="N31" s="339" t="str">
        <f>IF($C31="","",VLOOKUP($C31,AMABat!$A$10:$BV$140,AH$1,FALSE))</f>
        <v/>
      </c>
      <c r="O31" s="345" t="str">
        <f>IF($C31="","",VLOOKUP($C31,AMABat!$A$10:$BV$140,AI$1,FALSE))</f>
        <v/>
      </c>
      <c r="P31" s="340" t="str">
        <f>IF($C31="","",VLOOKUP($C31,AMABat!$A$10:$BV$140,AJ$1,FALSE))</f>
        <v/>
      </c>
      <c r="Q31" s="108" t="str">
        <f t="shared" si="142"/>
        <v/>
      </c>
      <c r="R31" s="94" t="str">
        <f t="shared" si="143"/>
        <v/>
      </c>
      <c r="S31" s="305"/>
      <c r="T31" s="345" t="s">
        <v>73</v>
      </c>
      <c r="U31" s="345">
        <v>3</v>
      </c>
      <c r="V31" s="340">
        <v>9</v>
      </c>
      <c r="W31" s="339" t="e">
        <f t="shared" ref="W31:W37" si="147">VLOOKUP($T31,$D$26:$R$35,14,FALSE)</f>
        <v>#N/A</v>
      </c>
      <c r="X31" s="340" t="e">
        <f t="shared" ref="X31:X37" si="148">VLOOKUP($T31,$D$26:$R$35,15,FALSE)</f>
        <v>#N/A</v>
      </c>
      <c r="Y31" s="305"/>
      <c r="Z31" s="305" t="s">
        <v>338</v>
      </c>
      <c r="AA31" s="305">
        <v>3</v>
      </c>
      <c r="AB31" s="305"/>
      <c r="AC31" s="305"/>
      <c r="AD31" s="305"/>
      <c r="AE31" s="305"/>
      <c r="AF31" s="305"/>
      <c r="AG31" s="70">
        <v>2</v>
      </c>
      <c r="AH31" s="396" t="s">
        <v>363</v>
      </c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7"/>
      <c r="AU31" s="305" t="s">
        <v>370</v>
      </c>
      <c r="AV31" s="305"/>
      <c r="AW31" s="305"/>
      <c r="AX31" s="305"/>
      <c r="AY31" s="305"/>
      <c r="AZ31" s="305"/>
    </row>
    <row r="32" spans="1:52" x14ac:dyDescent="0.25">
      <c r="A32" s="305"/>
      <c r="B32" s="29">
        <v>3</v>
      </c>
      <c r="C32" s="51"/>
      <c r="D32" s="58" t="s">
        <v>71</v>
      </c>
      <c r="E32" s="31" t="str">
        <f t="shared" si="144"/>
        <v/>
      </c>
      <c r="F32" s="339" t="str">
        <f t="shared" si="141"/>
        <v/>
      </c>
      <c r="G32" s="339" t="str">
        <f t="shared" si="145"/>
        <v/>
      </c>
      <c r="H32" s="8" t="str">
        <f t="shared" si="146"/>
        <v/>
      </c>
      <c r="I32" s="82">
        <v>1</v>
      </c>
      <c r="J32" s="345" t="str">
        <f>IF($C32="","",VLOOKUP($C32,AMABat!$A$10:$BV$140,AD$1,FALSE))</f>
        <v/>
      </c>
      <c r="K32" s="339" t="str">
        <f>IF($C32="","",VLOOKUP($C32,AMABat!$A$10:$BV$140,AE$1,FALSE))</f>
        <v/>
      </c>
      <c r="L32" s="339" t="str">
        <f>IF($C32="","",VLOOKUP($C32,AMABat!$A$10:$BV$140,AF$1,FALSE))</f>
        <v/>
      </c>
      <c r="M32" s="339" t="str">
        <f>IF($C32="","",VLOOKUP($C32,AMABat!$A$10:$BV$140,AG$1,FALSE))</f>
        <v/>
      </c>
      <c r="N32" s="339" t="str">
        <f>IF($C32="","",VLOOKUP($C32,AMABat!$A$10:$BV$140,AH$1,FALSE))</f>
        <v/>
      </c>
      <c r="O32" s="345" t="str">
        <f>IF($C32="","",VLOOKUP($C32,AMABat!$A$10:$BV$140,AI$1,FALSE))</f>
        <v/>
      </c>
      <c r="P32" s="340" t="str">
        <f>IF($C32="","",VLOOKUP($C32,AMABat!$A$10:$BV$140,AJ$1,FALSE))</f>
        <v/>
      </c>
      <c r="Q32" s="108" t="str">
        <f t="shared" si="142"/>
        <v/>
      </c>
      <c r="R32" s="94" t="str">
        <f t="shared" si="143"/>
        <v/>
      </c>
      <c r="S32" s="305"/>
      <c r="T32" s="345" t="s">
        <v>74</v>
      </c>
      <c r="U32" s="345">
        <v>4</v>
      </c>
      <c r="V32" s="340">
        <v>9</v>
      </c>
      <c r="W32" s="339" t="e">
        <f t="shared" si="147"/>
        <v>#N/A</v>
      </c>
      <c r="X32" s="340" t="e">
        <f t="shared" si="148"/>
        <v>#N/A</v>
      </c>
      <c r="Y32" s="305"/>
      <c r="Z32" s="305" t="s">
        <v>341</v>
      </c>
      <c r="AA32" s="305">
        <v>5</v>
      </c>
      <c r="AB32" s="305"/>
      <c r="AC32" s="305"/>
      <c r="AD32" s="305"/>
      <c r="AE32" s="305"/>
      <c r="AF32" s="305"/>
      <c r="AG32" s="70">
        <v>3</v>
      </c>
      <c r="AH32" s="406" t="s">
        <v>369</v>
      </c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7"/>
      <c r="AU32" s="305" t="s">
        <v>383</v>
      </c>
      <c r="AV32" s="305"/>
      <c r="AW32" s="305"/>
      <c r="AX32" s="305"/>
      <c r="AY32" s="305"/>
      <c r="AZ32" s="305"/>
    </row>
    <row r="33" spans="1:52" x14ac:dyDescent="0.25">
      <c r="A33" s="305"/>
      <c r="B33" s="29">
        <v>4</v>
      </c>
      <c r="C33" s="51"/>
      <c r="D33" s="58" t="s">
        <v>75</v>
      </c>
      <c r="E33" s="31" t="str">
        <f t="shared" si="144"/>
        <v/>
      </c>
      <c r="F33" s="339" t="str">
        <f t="shared" si="141"/>
        <v/>
      </c>
      <c r="G33" s="339" t="str">
        <f t="shared" si="145"/>
        <v/>
      </c>
      <c r="H33" s="8" t="str">
        <f t="shared" si="146"/>
        <v/>
      </c>
      <c r="I33" s="82">
        <v>2</v>
      </c>
      <c r="J33" s="345" t="str">
        <f>IF($C33="","",VLOOKUP($C33,AMABat!$A$10:$BV$140,AD$1,FALSE))</f>
        <v/>
      </c>
      <c r="K33" s="339" t="str">
        <f>IF($C33="","",VLOOKUP($C33,AMABat!$A$10:$BV$140,AE$1,FALSE))</f>
        <v/>
      </c>
      <c r="L33" s="339" t="str">
        <f>IF($C33="","",VLOOKUP($C33,AMABat!$A$10:$BV$140,AF$1,FALSE))</f>
        <v/>
      </c>
      <c r="M33" s="339" t="str">
        <f>IF($C33="","",VLOOKUP($C33,AMABat!$A$10:$BV$140,AG$1,FALSE))</f>
        <v/>
      </c>
      <c r="N33" s="339" t="str">
        <f>IF($C33="","",VLOOKUP($C33,AMABat!$A$10:$BV$140,AH$1,FALSE))</f>
        <v/>
      </c>
      <c r="O33" s="345" t="str">
        <f>IF($C33="","",VLOOKUP($C33,AMABat!$A$10:$BV$140,AI$1,FALSE))</f>
        <v/>
      </c>
      <c r="P33" s="340" t="str">
        <f>IF($C33="","",VLOOKUP($C33,AMABat!$A$10:$BV$140,AJ$1,FALSE))</f>
        <v/>
      </c>
      <c r="Q33" s="108" t="str">
        <f t="shared" si="142"/>
        <v/>
      </c>
      <c r="R33" s="94" t="str">
        <f t="shared" si="143"/>
        <v/>
      </c>
      <c r="S33" s="305"/>
      <c r="T33" s="345" t="s">
        <v>75</v>
      </c>
      <c r="U33" s="345">
        <v>5</v>
      </c>
      <c r="V33" s="340">
        <v>9</v>
      </c>
      <c r="W33" s="339" t="str">
        <f t="shared" si="147"/>
        <v/>
      </c>
      <c r="X33" s="340" t="str">
        <f t="shared" si="148"/>
        <v/>
      </c>
      <c r="Y33" s="305"/>
      <c r="Z33" s="305" t="s">
        <v>340</v>
      </c>
      <c r="AA33" s="305">
        <v>2</v>
      </c>
      <c r="AB33" s="305"/>
      <c r="AC33" s="305"/>
      <c r="AD33" s="305"/>
      <c r="AE33" s="305"/>
      <c r="AF33" s="305"/>
      <c r="AG33" s="70">
        <v>4</v>
      </c>
      <c r="AH33" s="406" t="s">
        <v>368</v>
      </c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7"/>
      <c r="AU33" s="305" t="s">
        <v>373</v>
      </c>
      <c r="AV33" s="305"/>
      <c r="AW33" s="305"/>
      <c r="AX33" s="305"/>
      <c r="AY33" s="305"/>
      <c r="AZ33" s="305"/>
    </row>
    <row r="34" spans="1:52" x14ac:dyDescent="0.25">
      <c r="A34" s="305"/>
      <c r="B34" s="29">
        <v>5</v>
      </c>
      <c r="C34" s="51"/>
      <c r="D34" s="58"/>
      <c r="E34" s="31" t="str">
        <f t="shared" si="144"/>
        <v/>
      </c>
      <c r="F34" s="339" t="str">
        <f t="shared" si="141"/>
        <v/>
      </c>
      <c r="G34" s="339" t="str">
        <f t="shared" si="145"/>
        <v/>
      </c>
      <c r="H34" s="8" t="str">
        <f t="shared" si="146"/>
        <v/>
      </c>
      <c r="I34" s="82">
        <v>4</v>
      </c>
      <c r="J34" s="345" t="str">
        <f>IF($C34="","",VLOOKUP($C34,AMABat!$A$10:$BV$140,AD$1,FALSE))</f>
        <v/>
      </c>
      <c r="K34" s="339" t="str">
        <f>IF($C34="","",VLOOKUP($C34,AMABat!$A$10:$BV$140,AE$1,FALSE))</f>
        <v/>
      </c>
      <c r="L34" s="339" t="str">
        <f>IF($C34="","",VLOOKUP($C34,AMABat!$A$10:$BV$140,AF$1,FALSE))</f>
        <v/>
      </c>
      <c r="M34" s="339" t="str">
        <f>IF($C34="","",VLOOKUP($C34,AMABat!$A$10:$BV$140,AG$1,FALSE))</f>
        <v/>
      </c>
      <c r="N34" s="339" t="str">
        <f>IF($C34="","",VLOOKUP($C34,AMABat!$A$10:$BV$140,AH$1,FALSE))</f>
        <v/>
      </c>
      <c r="O34" s="345" t="str">
        <f>IF($C34="","",VLOOKUP($C34,AMABat!$A$10:$BV$140,AI$1,FALSE))</f>
        <v/>
      </c>
      <c r="P34" s="340" t="str">
        <f>IF($C34="","",VLOOKUP($C34,AMABat!$A$10:$BV$140,AJ$1,FALSE))</f>
        <v/>
      </c>
      <c r="Q34" s="108" t="str">
        <f t="shared" si="142"/>
        <v/>
      </c>
      <c r="R34" s="94" t="str">
        <f t="shared" si="143"/>
        <v/>
      </c>
      <c r="S34" s="305"/>
      <c r="T34" s="345" t="s">
        <v>76</v>
      </c>
      <c r="U34" s="345">
        <v>6</v>
      </c>
      <c r="V34" s="340">
        <v>9</v>
      </c>
      <c r="W34" s="339" t="str">
        <f t="shared" si="147"/>
        <v/>
      </c>
      <c r="X34" s="340" t="str">
        <f t="shared" si="148"/>
        <v/>
      </c>
      <c r="Y34" s="305"/>
      <c r="Z34" s="305" t="s">
        <v>339</v>
      </c>
      <c r="AA34" s="305">
        <v>4</v>
      </c>
      <c r="AB34" s="305"/>
      <c r="AC34" s="305"/>
      <c r="AD34" s="305"/>
      <c r="AE34" s="305"/>
      <c r="AF34" s="305"/>
      <c r="AG34" s="70">
        <v>5</v>
      </c>
      <c r="AH34" s="408" t="s">
        <v>361</v>
      </c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10"/>
      <c r="AU34" s="305"/>
      <c r="AV34" s="305"/>
      <c r="AW34" s="305"/>
      <c r="AX34" s="305"/>
      <c r="AY34" s="305"/>
      <c r="AZ34" s="305"/>
    </row>
    <row r="35" spans="1:52" s="1" customFormat="1" x14ac:dyDescent="0.25">
      <c r="A35" s="305"/>
      <c r="B35" s="29">
        <v>6</v>
      </c>
      <c r="C35" s="51"/>
      <c r="D35" s="58"/>
      <c r="E35" s="31" t="str">
        <f t="shared" si="144"/>
        <v/>
      </c>
      <c r="F35" s="339" t="str">
        <f t="shared" si="141"/>
        <v/>
      </c>
      <c r="G35" s="339" t="str">
        <f t="shared" si="145"/>
        <v/>
      </c>
      <c r="H35" s="8" t="str">
        <f t="shared" si="146"/>
        <v/>
      </c>
      <c r="I35" s="82">
        <v>6</v>
      </c>
      <c r="J35" s="345" t="str">
        <f>IF($C35="","",VLOOKUP($C35,AMABat!$A$10:$BV$140,AD$1,FALSE))</f>
        <v/>
      </c>
      <c r="K35" s="339" t="str">
        <f>IF($C35="","",VLOOKUP($C35,AMABat!$A$10:$BV$140,AE$1,FALSE))</f>
        <v/>
      </c>
      <c r="L35" s="339" t="str">
        <f>IF($C35="","",VLOOKUP($C35,AMABat!$A$10:$BV$140,AF$1,FALSE))</f>
        <v/>
      </c>
      <c r="M35" s="339" t="str">
        <f>IF($C35="","",VLOOKUP($C35,AMABat!$A$10:$BV$140,AG$1,FALSE))</f>
        <v/>
      </c>
      <c r="N35" s="339" t="str">
        <f>IF($C35="","",VLOOKUP($C35,AMABat!$A$10:$BV$140,AH$1,FALSE))</f>
        <v/>
      </c>
      <c r="O35" s="345" t="str">
        <f>IF($C35="","",VLOOKUP($C35,AMABat!$A$10:$BV$140,AI$1,FALSE))</f>
        <v/>
      </c>
      <c r="P35" s="340" t="str">
        <f>IF($C35="","",VLOOKUP($C35,AMABat!$A$10:$BV$140,AJ$1,FALSE))</f>
        <v/>
      </c>
      <c r="Q35" s="108" t="str">
        <f t="shared" si="142"/>
        <v/>
      </c>
      <c r="R35" s="94" t="str">
        <f t="shared" si="143"/>
        <v/>
      </c>
      <c r="S35" s="305"/>
      <c r="T35" s="345" t="s">
        <v>77</v>
      </c>
      <c r="U35" s="345">
        <v>7</v>
      </c>
      <c r="V35" s="340">
        <v>10</v>
      </c>
      <c r="W35" s="339" t="e">
        <f t="shared" si="147"/>
        <v>#N/A</v>
      </c>
      <c r="X35" s="340" t="e">
        <f t="shared" si="148"/>
        <v>#N/A</v>
      </c>
      <c r="Y35" s="305"/>
      <c r="Z35" s="305" t="s">
        <v>343</v>
      </c>
      <c r="AA35" s="305">
        <v>6</v>
      </c>
      <c r="AB35" s="305"/>
      <c r="AC35" s="305"/>
      <c r="AD35" s="305"/>
      <c r="AE35" s="305"/>
      <c r="AF35" s="305"/>
      <c r="AG35" s="70">
        <v>6</v>
      </c>
      <c r="AH35" s="411" t="s">
        <v>364</v>
      </c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7"/>
      <c r="AU35" s="305" t="s">
        <v>376</v>
      </c>
      <c r="AV35" s="305"/>
      <c r="AW35" s="305"/>
      <c r="AX35" s="305"/>
      <c r="AY35" s="305"/>
      <c r="AZ35" s="305"/>
    </row>
    <row r="36" spans="1:52" x14ac:dyDescent="0.25">
      <c r="A36" s="305"/>
      <c r="B36" s="29">
        <v>7</v>
      </c>
      <c r="C36" s="51"/>
      <c r="D36" s="58"/>
      <c r="E36" s="31" t="str">
        <f t="shared" si="144"/>
        <v/>
      </c>
      <c r="F36" s="339" t="str">
        <f t="shared" si="141"/>
        <v/>
      </c>
      <c r="G36" s="339" t="str">
        <f t="shared" si="145"/>
        <v/>
      </c>
      <c r="H36" s="8" t="str">
        <f t="shared" si="146"/>
        <v/>
      </c>
      <c r="I36" s="82">
        <v>7</v>
      </c>
      <c r="J36" s="345" t="str">
        <f>IF($C36="","",VLOOKUP($C36,AMABat!$A$10:$BV$140,AD$1,FALSE))</f>
        <v/>
      </c>
      <c r="K36" s="339" t="str">
        <f>IF($C36="","",VLOOKUP($C36,AMABat!$A$10:$BV$140,AE$1,FALSE))</f>
        <v/>
      </c>
      <c r="L36" s="339" t="str">
        <f>IF($C36="","",VLOOKUP($C36,AMABat!$A$10:$BV$140,AF$1,FALSE))</f>
        <v/>
      </c>
      <c r="M36" s="339" t="str">
        <f>IF($C36="","",VLOOKUP($C36,AMABat!$A$10:$BV$140,AG$1,FALSE))</f>
        <v/>
      </c>
      <c r="N36" s="339" t="str">
        <f>IF($C36="","",VLOOKUP($C36,AMABat!$A$10:$BV$140,AH$1,FALSE))</f>
        <v/>
      </c>
      <c r="O36" s="345" t="str">
        <f>IF($C36="","",VLOOKUP($C36,AMABat!$A$10:$BV$140,AI$1,FALSE))</f>
        <v/>
      </c>
      <c r="P36" s="340" t="str">
        <f>IF($C36="","",VLOOKUP($C36,AMABat!$A$10:$BV$140,AJ$1,FALSE))</f>
        <v/>
      </c>
      <c r="Q36" s="108" t="str">
        <f t="shared" si="142"/>
        <v/>
      </c>
      <c r="R36" s="94" t="str">
        <f t="shared" si="143"/>
        <v/>
      </c>
      <c r="S36" s="305"/>
      <c r="T36" s="345" t="s">
        <v>78</v>
      </c>
      <c r="U36" s="345">
        <v>8</v>
      </c>
      <c r="V36" s="340">
        <v>10</v>
      </c>
      <c r="W36" s="339" t="str">
        <f t="shared" si="147"/>
        <v/>
      </c>
      <c r="X36" s="340" t="str">
        <f t="shared" si="148"/>
        <v/>
      </c>
      <c r="Y36" s="305"/>
      <c r="Z36" s="305" t="s">
        <v>344</v>
      </c>
      <c r="AA36" s="305">
        <v>7</v>
      </c>
      <c r="AB36" s="305"/>
      <c r="AC36" s="305"/>
      <c r="AD36" s="305"/>
      <c r="AE36" s="305"/>
      <c r="AF36" s="305"/>
      <c r="AG36" s="70">
        <v>7</v>
      </c>
      <c r="AH36" s="411" t="s">
        <v>365</v>
      </c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7"/>
      <c r="AU36" s="305" t="s">
        <v>367</v>
      </c>
      <c r="AV36" s="305"/>
      <c r="AW36" s="305"/>
      <c r="AX36" s="305"/>
      <c r="AY36" s="305"/>
      <c r="AZ36" s="305"/>
    </row>
    <row r="37" spans="1:52" x14ac:dyDescent="0.25">
      <c r="A37" s="305"/>
      <c r="B37" s="29">
        <v>8</v>
      </c>
      <c r="C37" s="51"/>
      <c r="D37" s="58"/>
      <c r="E37" s="31" t="str">
        <f t="shared" si="144"/>
        <v/>
      </c>
      <c r="F37" s="339" t="str">
        <f t="shared" si="141"/>
        <v/>
      </c>
      <c r="G37" s="339" t="str">
        <f t="shared" si="145"/>
        <v/>
      </c>
      <c r="H37" s="8" t="str">
        <f t="shared" si="146"/>
        <v/>
      </c>
      <c r="I37" s="82">
        <v>8</v>
      </c>
      <c r="J37" s="345" t="str">
        <f>IF($C37="","",VLOOKUP($C37,AMABat!$A$10:$BV$140,AD$1,FALSE))</f>
        <v/>
      </c>
      <c r="K37" s="339" t="str">
        <f>IF($C37="","",VLOOKUP($C37,AMABat!$A$10:$BV$140,AE$1,FALSE))</f>
        <v/>
      </c>
      <c r="L37" s="339" t="str">
        <f>IF($C37="","",VLOOKUP($C37,AMABat!$A$10:$BV$140,AF$1,FALSE))</f>
        <v/>
      </c>
      <c r="M37" s="339" t="str">
        <f>IF($C37="","",VLOOKUP($C37,AMABat!$A$10:$BV$140,AG$1,FALSE))</f>
        <v/>
      </c>
      <c r="N37" s="339" t="str">
        <f>IF($C37="","",VLOOKUP($C37,AMABat!$A$10:$BV$140,AH$1,FALSE))</f>
        <v/>
      </c>
      <c r="O37" s="345" t="str">
        <f>IF($C37="","",VLOOKUP($C37,AMABat!$A$10:$BV$140,AI$1,FALSE))</f>
        <v/>
      </c>
      <c r="P37" s="340" t="str">
        <f>IF($C37="","",VLOOKUP($C37,AMABat!$A$10:$BV$140,AJ$1,FALSE))</f>
        <v/>
      </c>
      <c r="Q37" s="108" t="str">
        <f t="shared" si="142"/>
        <v/>
      </c>
      <c r="R37" s="94" t="str">
        <f t="shared" si="143"/>
        <v/>
      </c>
      <c r="S37" s="305"/>
      <c r="T37" s="47" t="s">
        <v>79</v>
      </c>
      <c r="U37" s="47">
        <v>9</v>
      </c>
      <c r="V37" s="338">
        <v>10</v>
      </c>
      <c r="W37" s="337" t="e">
        <f t="shared" si="147"/>
        <v>#N/A</v>
      </c>
      <c r="X37" s="338" t="e">
        <f t="shared" si="148"/>
        <v>#N/A</v>
      </c>
      <c r="Y37" s="305"/>
      <c r="Z37" s="305" t="s">
        <v>345</v>
      </c>
      <c r="AA37" s="305">
        <v>8</v>
      </c>
      <c r="AB37" s="305"/>
      <c r="AC37" s="305"/>
      <c r="AD37" s="305"/>
      <c r="AE37" s="305"/>
      <c r="AF37" s="305"/>
      <c r="AG37" s="70">
        <v>8</v>
      </c>
      <c r="AH37" s="412" t="s">
        <v>374</v>
      </c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305" t="s">
        <v>375</v>
      </c>
      <c r="AV37" s="305"/>
      <c r="AW37" s="305"/>
      <c r="AX37" s="305"/>
      <c r="AY37" s="305"/>
      <c r="AZ37" s="305"/>
    </row>
    <row r="38" spans="1:52" x14ac:dyDescent="0.25">
      <c r="A38" s="305"/>
      <c r="B38" s="32">
        <v>9</v>
      </c>
      <c r="C38" s="52"/>
      <c r="D38" s="33"/>
      <c r="E38" s="35" t="str">
        <f t="shared" si="144"/>
        <v/>
      </c>
      <c r="F38" s="337" t="str">
        <f t="shared" si="141"/>
        <v/>
      </c>
      <c r="G38" s="337" t="str">
        <f t="shared" si="145"/>
        <v/>
      </c>
      <c r="H38" s="62" t="str">
        <f t="shared" si="146"/>
        <v/>
      </c>
      <c r="I38" s="83">
        <v>9</v>
      </c>
      <c r="J38" s="47" t="str">
        <f>IF($C38="","",VLOOKUP($C38,AMABat!$A$10:$BV$140,AD$1,FALSE))</f>
        <v/>
      </c>
      <c r="K38" s="337" t="str">
        <f>IF($C38="","",VLOOKUP($C38,AMABat!$A$10:$BV$140,AE$1,FALSE))</f>
        <v/>
      </c>
      <c r="L38" s="337" t="str">
        <f>IF($C38="","",VLOOKUP($C38,AMABat!$A$10:$BV$140,AF$1,FALSE))</f>
        <v/>
      </c>
      <c r="M38" s="337" t="str">
        <f>IF($C38="","",VLOOKUP($C38,AMABat!$A$10:$BV$140,AG$1,FALSE))</f>
        <v/>
      </c>
      <c r="N38" s="337" t="str">
        <f>IF($C38="","",VLOOKUP($C38,AMABat!$A$10:$BV$140,AH$1,FALSE))</f>
        <v/>
      </c>
      <c r="O38" s="47" t="str">
        <f>IF($C38="","",VLOOKUP($C38,AMABat!$A$10:$BV$140,AI$1,FALSE))</f>
        <v/>
      </c>
      <c r="P38" s="338" t="str">
        <f>IF($C38="","",VLOOKUP($C38,AMABat!$A$10:$BV$140,AJ$1,FALSE))</f>
        <v/>
      </c>
      <c r="Q38" s="109" t="str">
        <f t="shared" si="142"/>
        <v/>
      </c>
      <c r="R38" s="95" t="str">
        <f t="shared" si="143"/>
        <v/>
      </c>
      <c r="S38" s="305"/>
      <c r="T38" s="305"/>
      <c r="U38" s="305"/>
      <c r="V38" s="305"/>
      <c r="W38" s="305"/>
      <c r="X38" s="305"/>
      <c r="Y38" s="305"/>
      <c r="Z38" s="305" t="s">
        <v>342</v>
      </c>
      <c r="AA38" s="305">
        <v>9</v>
      </c>
      <c r="AB38" s="305"/>
      <c r="AC38" s="305"/>
      <c r="AD38" s="305"/>
      <c r="AE38" s="305"/>
      <c r="AF38" s="305"/>
      <c r="AG38" s="70">
        <v>9</v>
      </c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7"/>
      <c r="AU38" s="305"/>
      <c r="AV38" s="305"/>
      <c r="AW38" s="305"/>
      <c r="AX38" s="305"/>
      <c r="AY38" s="305"/>
      <c r="AZ38" s="305"/>
    </row>
    <row r="39" spans="1:52" x14ac:dyDescent="0.25">
      <c r="A39" s="305"/>
      <c r="B39" s="4"/>
      <c r="C39" s="30"/>
      <c r="D39" s="30"/>
      <c r="E39" s="30"/>
      <c r="F39" s="339"/>
      <c r="G39" s="339"/>
      <c r="H39" s="9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71">
        <v>10</v>
      </c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9"/>
      <c r="AU39" s="305"/>
      <c r="AV39" s="305"/>
      <c r="AW39" s="305"/>
      <c r="AX39" s="305"/>
      <c r="AY39" s="305"/>
      <c r="AZ39" s="305"/>
    </row>
    <row r="40" spans="1:52" x14ac:dyDescent="0.25">
      <c r="A40" s="1"/>
      <c r="B40" s="341" t="s">
        <v>348</v>
      </c>
      <c r="C40" s="37" t="s">
        <v>96</v>
      </c>
      <c r="D40" s="37" t="s">
        <v>97</v>
      </c>
      <c r="E40" s="43" t="s">
        <v>80</v>
      </c>
      <c r="F40" s="342" t="s">
        <v>133</v>
      </c>
      <c r="G40" s="342" t="s">
        <v>137</v>
      </c>
      <c r="H40" s="343" t="s">
        <v>135</v>
      </c>
      <c r="I40" s="81" t="s">
        <v>159</v>
      </c>
      <c r="J40" s="341" t="s">
        <v>71</v>
      </c>
      <c r="K40" s="342" t="s">
        <v>123</v>
      </c>
      <c r="L40" s="342" t="s">
        <v>124</v>
      </c>
      <c r="M40" s="342" t="s">
        <v>180</v>
      </c>
      <c r="N40" s="342" t="s">
        <v>72</v>
      </c>
      <c r="O40" s="341" t="s">
        <v>181</v>
      </c>
      <c r="P40" s="343" t="s">
        <v>182</v>
      </c>
      <c r="Q40" s="341" t="s">
        <v>190</v>
      </c>
      <c r="R40" s="80" t="s">
        <v>203</v>
      </c>
      <c r="S40" s="1"/>
      <c r="T40" s="341" t="s">
        <v>97</v>
      </c>
      <c r="U40" s="341" t="s">
        <v>191</v>
      </c>
      <c r="V40" s="343" t="s">
        <v>204</v>
      </c>
      <c r="W40" s="342" t="s">
        <v>190</v>
      </c>
      <c r="X40" s="343" t="s">
        <v>203</v>
      </c>
      <c r="Y40" s="1"/>
      <c r="Z40" s="1" t="s">
        <v>336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5">
      <c r="A41" s="305"/>
      <c r="B41" s="29">
        <v>1</v>
      </c>
      <c r="C41" s="50"/>
      <c r="D41" s="26" t="s">
        <v>79</v>
      </c>
      <c r="E41" s="31" t="str">
        <f t="shared" ref="E41" si="149">IF($C41="","",VLOOKUP($C41,$C$3:$AK$24,$E$1-2,FALSE))</f>
        <v/>
      </c>
      <c r="F41" s="339" t="str">
        <f t="shared" ref="F41:F49" si="150">IF($C41="","",VLOOKUP($C41,$C$3:$AK$24,18+$B41,FALSE))</f>
        <v/>
      </c>
      <c r="G41" s="339" t="str">
        <f>IF($C41="","",IF(VLOOKUP($C41,$C$3:$AK$24,18+3,FALSE)=1,3,IF(VLOOKUP($C41,$C$3:$AK$24,18+4,FALSE)=1,4,IF(VLOOKUP($C41,$C$3:$AK$24,18+1,FALSE)=1,1,IF(VLOOKUP($C41,$C$3:$AK$24,18+5,FALSE)=1,5,IF(VLOOKUP($C41,$C$3:$AK$24,18+2,FALSE)=1,2,IF(VLOOKUP($C41,$C$3:$AK$24,18+6,FALSE)=1,6,IF(VLOOKUP($C41,$C$3:$AK$24,18+7,FALSE)=1,7,IF(VLOOKUP($C41,$C$3:$AK$24,18+8,FALSE)=1,8,9)))))))))</f>
        <v/>
      </c>
      <c r="H41" s="8" t="str">
        <f>IF($C41="","",VLOOKUP($C41,$C$3:$AK$24,35,FALSE))</f>
        <v/>
      </c>
      <c r="I41" s="82">
        <v>3</v>
      </c>
      <c r="J41" s="345" t="str">
        <f>IF($C41="","",VLOOKUP($C41,$C$3:$AZ$24,17+AD$1,FALSE))</f>
        <v/>
      </c>
      <c r="K41" s="339" t="str">
        <f t="shared" ref="K41:N49" si="151">IF($C41="","",VLOOKUP($C41,$C$3:$AZ$24,17+AE$1,FALSE))</f>
        <v/>
      </c>
      <c r="L41" s="339" t="str">
        <f t="shared" si="151"/>
        <v/>
      </c>
      <c r="M41" s="339" t="str">
        <f t="shared" si="151"/>
        <v/>
      </c>
      <c r="N41" s="339" t="str">
        <f t="shared" si="151"/>
        <v/>
      </c>
      <c r="O41" s="345" t="str">
        <f t="shared" ref="O41:P49" si="152">IF($C41="","",VLOOKUP($C41,$C$3:$AZ$24,1+AI$1,FALSE))</f>
        <v/>
      </c>
      <c r="P41" s="340" t="str">
        <f t="shared" si="152"/>
        <v/>
      </c>
      <c r="Q41" s="107" t="str">
        <f t="shared" ref="Q41:Q49" si="153">IF($C41="","",IF($D41="DH","-",VLOOKUP($C41,$C$2:$AZ$24,9+VLOOKUP($D41,$T$26:$U$34,2,FALSE),FALSE)))</f>
        <v/>
      </c>
      <c r="R41" s="94" t="str">
        <f t="shared" ref="R41:R49" si="154">IF($C41="","",IF($D41="DH","-",VLOOKUP($C41,$C$2:$AZ$24,VLOOKUP($D41,$T$26:$V$34,3,FALSE),FALSE)))</f>
        <v/>
      </c>
      <c r="S41" s="305"/>
      <c r="T41" s="345" t="s">
        <v>71</v>
      </c>
      <c r="U41" s="345">
        <v>2</v>
      </c>
      <c r="V41" s="340">
        <v>8</v>
      </c>
      <c r="W41" s="339" t="str">
        <f>VLOOKUP($T41,$D$37:$R$46,14,FALSE)</f>
        <v/>
      </c>
      <c r="X41" s="340" t="str">
        <f>VLOOKUP($T41,$D$37:$R$46,15,FALSE)</f>
        <v/>
      </c>
      <c r="Y41" s="305"/>
      <c r="Z41" s="305" t="s">
        <v>337</v>
      </c>
      <c r="AA41" s="305">
        <v>1</v>
      </c>
      <c r="AB41" s="305"/>
      <c r="AC41" s="305"/>
      <c r="AD41" s="305"/>
      <c r="AE41" s="305"/>
      <c r="AF41" s="305"/>
      <c r="AG41" s="400" t="s">
        <v>384</v>
      </c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2"/>
      <c r="AU41" s="305"/>
      <c r="AV41" s="305"/>
      <c r="AW41" s="305"/>
      <c r="AX41" s="305"/>
      <c r="AY41" s="305"/>
      <c r="AZ41" s="305"/>
    </row>
    <row r="42" spans="1:52" x14ac:dyDescent="0.25">
      <c r="A42" s="305"/>
      <c r="B42" s="29">
        <v>2</v>
      </c>
      <c r="C42" s="51"/>
      <c r="D42" s="30" t="s">
        <v>78</v>
      </c>
      <c r="E42" s="31" t="str">
        <f>IF($C42="","",VLOOKUP($C42,$C$3:$AK$24,$E$1-2,FALSE))</f>
        <v/>
      </c>
      <c r="F42" s="339" t="str">
        <f t="shared" si="150"/>
        <v/>
      </c>
      <c r="G42" s="339" t="str">
        <f t="shared" ref="G42:G49" si="155">IF($C42="","",IF(VLOOKUP($C42,$C$3:$AK$24,18+3,FALSE)=1,3,IF(VLOOKUP($C42,$C$3:$AK$24,18+4,FALSE)=1,4,IF(VLOOKUP($C42,$C$3:$AK$24,18+1,FALSE)=1,1,IF(VLOOKUP($C42,$C$3:$AK$24,18+5,FALSE)=1,5,IF(VLOOKUP($C42,$C$3:$AK$24,18+2,FALSE)=1,2,IF(VLOOKUP($C42,$C$3:$AK$24,18+6,FALSE)=1,6,IF(VLOOKUP($C42,$C$3:$AK$24,18+7,FALSE)=1,7,IF(VLOOKUP($C42,$C$3:$AK$24,18+8,FALSE)=1,8,9)))))))))</f>
        <v/>
      </c>
      <c r="H42" s="8" t="str">
        <f t="shared" ref="H42:H49" si="156">IF($C42="","",VLOOKUP($C42,$C$3:$AK$24,35,FALSE))</f>
        <v/>
      </c>
      <c r="I42" s="82">
        <v>5</v>
      </c>
      <c r="J42" s="345" t="str">
        <f t="shared" ref="J42:J49" si="157">IF($C42="","",VLOOKUP($C42,$C$3:$AZ$24,17+AD$1,FALSE))</f>
        <v/>
      </c>
      <c r="K42" s="339" t="str">
        <f t="shared" si="151"/>
        <v/>
      </c>
      <c r="L42" s="339" t="str">
        <f t="shared" si="151"/>
        <v/>
      </c>
      <c r="M42" s="339" t="str">
        <f t="shared" si="151"/>
        <v/>
      </c>
      <c r="N42" s="339" t="str">
        <f t="shared" si="151"/>
        <v/>
      </c>
      <c r="O42" s="345" t="str">
        <f t="shared" si="152"/>
        <v/>
      </c>
      <c r="P42" s="340" t="str">
        <f t="shared" si="152"/>
        <v/>
      </c>
      <c r="Q42" s="108" t="str">
        <f t="shared" si="153"/>
        <v/>
      </c>
      <c r="R42" s="94" t="str">
        <f t="shared" si="154"/>
        <v/>
      </c>
      <c r="S42" s="305"/>
      <c r="T42" s="345" t="s">
        <v>73</v>
      </c>
      <c r="U42" s="345">
        <v>3</v>
      </c>
      <c r="V42" s="340">
        <v>9</v>
      </c>
      <c r="W42" s="339" t="str">
        <f t="shared" ref="W42:W48" si="158">VLOOKUP($T42,$D$37:$R$46,14,FALSE)</f>
        <v/>
      </c>
      <c r="X42" s="340" t="str">
        <f t="shared" ref="X42:X48" si="159">VLOOKUP($T42,$D$37:$R$46,15,FALSE)</f>
        <v/>
      </c>
      <c r="Y42" s="305"/>
      <c r="Z42" s="305" t="s">
        <v>338</v>
      </c>
      <c r="AA42" s="305">
        <v>3</v>
      </c>
      <c r="AB42" s="305"/>
      <c r="AC42" s="305"/>
      <c r="AD42" s="305"/>
      <c r="AE42" s="305"/>
      <c r="AF42" s="305"/>
      <c r="AG42" s="192">
        <v>1</v>
      </c>
      <c r="AH42" s="396" t="s">
        <v>368</v>
      </c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4"/>
      <c r="AU42" s="305"/>
      <c r="AV42" s="305"/>
      <c r="AW42" s="305"/>
      <c r="AX42" s="305"/>
      <c r="AY42" s="305"/>
      <c r="AZ42" s="305"/>
    </row>
    <row r="43" spans="1:52" x14ac:dyDescent="0.25">
      <c r="A43" s="305"/>
      <c r="B43" s="29">
        <v>3</v>
      </c>
      <c r="C43" s="51"/>
      <c r="D43" s="58" t="s">
        <v>73</v>
      </c>
      <c r="E43" s="31" t="str">
        <f t="shared" ref="E43:E49" si="160">IF($C43="","",VLOOKUP($C43,$C$3:$AK$24,$E$1-2,FALSE))</f>
        <v/>
      </c>
      <c r="F43" s="339" t="str">
        <f t="shared" si="150"/>
        <v/>
      </c>
      <c r="G43" s="339" t="str">
        <f t="shared" si="155"/>
        <v/>
      </c>
      <c r="H43" s="8" t="str">
        <f t="shared" si="156"/>
        <v/>
      </c>
      <c r="I43" s="82">
        <v>1</v>
      </c>
      <c r="J43" s="345" t="str">
        <f t="shared" si="157"/>
        <v/>
      </c>
      <c r="K43" s="339" t="str">
        <f t="shared" si="151"/>
        <v/>
      </c>
      <c r="L43" s="339" t="str">
        <f t="shared" si="151"/>
        <v/>
      </c>
      <c r="M43" s="339" t="str">
        <f t="shared" si="151"/>
        <v/>
      </c>
      <c r="N43" s="339" t="str">
        <f t="shared" si="151"/>
        <v/>
      </c>
      <c r="O43" s="345" t="str">
        <f t="shared" si="152"/>
        <v/>
      </c>
      <c r="P43" s="340" t="str">
        <f t="shared" si="152"/>
        <v/>
      </c>
      <c r="Q43" s="108" t="str">
        <f t="shared" si="153"/>
        <v/>
      </c>
      <c r="R43" s="94" t="str">
        <f t="shared" si="154"/>
        <v/>
      </c>
      <c r="S43" s="305"/>
      <c r="T43" s="345" t="s">
        <v>74</v>
      </c>
      <c r="U43" s="345">
        <v>4</v>
      </c>
      <c r="V43" s="340">
        <v>9</v>
      </c>
      <c r="W43" s="339" t="e">
        <f t="shared" si="158"/>
        <v>#N/A</v>
      </c>
      <c r="X43" s="340" t="e">
        <f t="shared" si="159"/>
        <v>#N/A</v>
      </c>
      <c r="Y43" s="305"/>
      <c r="Z43" s="305" t="s">
        <v>341</v>
      </c>
      <c r="AA43" s="305">
        <v>5</v>
      </c>
      <c r="AB43" s="305"/>
      <c r="AC43" s="305"/>
      <c r="AD43" s="305"/>
      <c r="AE43" s="305"/>
      <c r="AF43" s="305"/>
      <c r="AG43" s="70">
        <v>2</v>
      </c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4"/>
      <c r="AU43" s="305"/>
      <c r="AV43" s="305"/>
      <c r="AW43" s="305"/>
      <c r="AX43" s="305"/>
      <c r="AY43" s="305"/>
      <c r="AZ43" s="305"/>
    </row>
    <row r="44" spans="1:52" x14ac:dyDescent="0.25">
      <c r="A44" s="305"/>
      <c r="B44" s="29">
        <v>4</v>
      </c>
      <c r="C44" s="51"/>
      <c r="D44" s="58" t="s">
        <v>76</v>
      </c>
      <c r="E44" s="31" t="str">
        <f t="shared" si="160"/>
        <v/>
      </c>
      <c r="F44" s="339" t="str">
        <f t="shared" si="150"/>
        <v/>
      </c>
      <c r="G44" s="339" t="str">
        <f t="shared" si="155"/>
        <v/>
      </c>
      <c r="H44" s="8" t="str">
        <f t="shared" si="156"/>
        <v/>
      </c>
      <c r="I44" s="82">
        <v>2</v>
      </c>
      <c r="J44" s="345" t="str">
        <f t="shared" si="157"/>
        <v/>
      </c>
      <c r="K44" s="339" t="str">
        <f t="shared" si="151"/>
        <v/>
      </c>
      <c r="L44" s="339" t="str">
        <f t="shared" si="151"/>
        <v/>
      </c>
      <c r="M44" s="339" t="str">
        <f t="shared" si="151"/>
        <v/>
      </c>
      <c r="N44" s="339" t="str">
        <f t="shared" si="151"/>
        <v/>
      </c>
      <c r="O44" s="345" t="str">
        <f t="shared" si="152"/>
        <v/>
      </c>
      <c r="P44" s="340" t="str">
        <f t="shared" si="152"/>
        <v/>
      </c>
      <c r="Q44" s="108" t="str">
        <f t="shared" si="153"/>
        <v/>
      </c>
      <c r="R44" s="94" t="str">
        <f t="shared" si="154"/>
        <v/>
      </c>
      <c r="S44" s="305"/>
      <c r="T44" s="345" t="s">
        <v>75</v>
      </c>
      <c r="U44" s="345">
        <v>5</v>
      </c>
      <c r="V44" s="340">
        <v>9</v>
      </c>
      <c r="W44" s="339" t="e">
        <f t="shared" si="158"/>
        <v>#N/A</v>
      </c>
      <c r="X44" s="340" t="e">
        <f t="shared" si="159"/>
        <v>#N/A</v>
      </c>
      <c r="Y44" s="305"/>
      <c r="Z44" s="305" t="s">
        <v>340</v>
      </c>
      <c r="AA44" s="305">
        <v>2</v>
      </c>
      <c r="AB44" s="305"/>
      <c r="AC44" s="305"/>
      <c r="AD44" s="305"/>
      <c r="AE44" s="305"/>
      <c r="AF44" s="305"/>
      <c r="AG44" s="70">
        <v>3</v>
      </c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4"/>
      <c r="AU44" s="305"/>
      <c r="AV44" s="305"/>
      <c r="AW44" s="305"/>
      <c r="AX44" s="305"/>
      <c r="AY44" s="305"/>
      <c r="AZ44" s="305"/>
    </row>
    <row r="45" spans="1:52" x14ac:dyDescent="0.25">
      <c r="A45" s="305"/>
      <c r="B45" s="29">
        <v>5</v>
      </c>
      <c r="C45" s="51"/>
      <c r="D45" s="58" t="s">
        <v>71</v>
      </c>
      <c r="E45" s="31" t="str">
        <f t="shared" si="160"/>
        <v/>
      </c>
      <c r="F45" s="339" t="str">
        <f t="shared" si="150"/>
        <v/>
      </c>
      <c r="G45" s="339" t="str">
        <f t="shared" si="155"/>
        <v/>
      </c>
      <c r="H45" s="8" t="str">
        <f t="shared" si="156"/>
        <v/>
      </c>
      <c r="I45" s="82">
        <v>4</v>
      </c>
      <c r="J45" s="345" t="str">
        <f t="shared" si="157"/>
        <v/>
      </c>
      <c r="K45" s="339" t="str">
        <f t="shared" si="151"/>
        <v/>
      </c>
      <c r="L45" s="339" t="str">
        <f t="shared" si="151"/>
        <v/>
      </c>
      <c r="M45" s="339" t="str">
        <f t="shared" si="151"/>
        <v/>
      </c>
      <c r="N45" s="339" t="str">
        <f t="shared" si="151"/>
        <v/>
      </c>
      <c r="O45" s="345" t="str">
        <f t="shared" si="152"/>
        <v/>
      </c>
      <c r="P45" s="340" t="str">
        <f t="shared" si="152"/>
        <v/>
      </c>
      <c r="Q45" s="108" t="str">
        <f t="shared" si="153"/>
        <v/>
      </c>
      <c r="R45" s="94" t="str">
        <f t="shared" si="154"/>
        <v/>
      </c>
      <c r="S45" s="305"/>
      <c r="T45" s="345" t="s">
        <v>76</v>
      </c>
      <c r="U45" s="345">
        <v>6</v>
      </c>
      <c r="V45" s="340">
        <v>9</v>
      </c>
      <c r="W45" s="339" t="str">
        <f t="shared" si="158"/>
        <v/>
      </c>
      <c r="X45" s="340" t="str">
        <f t="shared" si="159"/>
        <v/>
      </c>
      <c r="Y45" s="305"/>
      <c r="Z45" s="305" t="s">
        <v>339</v>
      </c>
      <c r="AA45" s="305">
        <v>4</v>
      </c>
      <c r="AB45" s="305"/>
      <c r="AC45" s="305"/>
      <c r="AD45" s="305"/>
      <c r="AE45" s="305"/>
      <c r="AF45" s="305"/>
      <c r="AG45" s="70">
        <v>4</v>
      </c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4"/>
      <c r="AU45" s="305"/>
      <c r="AV45" s="305"/>
      <c r="AW45" s="305"/>
      <c r="AX45" s="305"/>
      <c r="AY45" s="305"/>
      <c r="AZ45" s="305"/>
    </row>
    <row r="46" spans="1:52" x14ac:dyDescent="0.25">
      <c r="A46" s="305"/>
      <c r="B46" s="29">
        <v>6</v>
      </c>
      <c r="C46" s="51"/>
      <c r="D46" s="58" t="s">
        <v>77</v>
      </c>
      <c r="E46" s="31" t="str">
        <f t="shared" si="160"/>
        <v/>
      </c>
      <c r="F46" s="339" t="str">
        <f t="shared" si="150"/>
        <v/>
      </c>
      <c r="G46" s="339" t="str">
        <f t="shared" si="155"/>
        <v/>
      </c>
      <c r="H46" s="8" t="str">
        <f t="shared" si="156"/>
        <v/>
      </c>
      <c r="I46" s="82">
        <v>6</v>
      </c>
      <c r="J46" s="345" t="str">
        <f t="shared" si="157"/>
        <v/>
      </c>
      <c r="K46" s="339" t="str">
        <f t="shared" si="151"/>
        <v/>
      </c>
      <c r="L46" s="339" t="str">
        <f t="shared" si="151"/>
        <v/>
      </c>
      <c r="M46" s="339" t="str">
        <f t="shared" si="151"/>
        <v/>
      </c>
      <c r="N46" s="339" t="str">
        <f t="shared" si="151"/>
        <v/>
      </c>
      <c r="O46" s="345" t="str">
        <f t="shared" si="152"/>
        <v/>
      </c>
      <c r="P46" s="340" t="str">
        <f t="shared" si="152"/>
        <v/>
      </c>
      <c r="Q46" s="108" t="str">
        <f t="shared" si="153"/>
        <v/>
      </c>
      <c r="R46" s="94" t="str">
        <f t="shared" si="154"/>
        <v/>
      </c>
      <c r="S46" s="305"/>
      <c r="T46" s="345" t="s">
        <v>77</v>
      </c>
      <c r="U46" s="345">
        <v>7</v>
      </c>
      <c r="V46" s="340">
        <v>10</v>
      </c>
      <c r="W46" s="339" t="str">
        <f t="shared" si="158"/>
        <v/>
      </c>
      <c r="X46" s="340" t="str">
        <f t="shared" si="159"/>
        <v/>
      </c>
      <c r="Y46" s="305"/>
      <c r="Z46" s="305" t="s">
        <v>343</v>
      </c>
      <c r="AA46" s="305">
        <v>6</v>
      </c>
      <c r="AB46" s="305"/>
      <c r="AC46" s="305"/>
      <c r="AD46" s="305"/>
      <c r="AE46" s="305"/>
      <c r="AF46" s="305"/>
      <c r="AG46" s="70">
        <v>5</v>
      </c>
      <c r="AH46" s="403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5"/>
      <c r="AU46" s="305"/>
      <c r="AV46" s="305"/>
      <c r="AW46" s="305"/>
      <c r="AX46" s="305"/>
      <c r="AY46" s="305"/>
      <c r="AZ46" s="305"/>
    </row>
    <row r="47" spans="1:52" x14ac:dyDescent="0.25">
      <c r="A47" s="305"/>
      <c r="B47" s="29">
        <v>7</v>
      </c>
      <c r="C47" s="51"/>
      <c r="D47" s="58" t="s">
        <v>10</v>
      </c>
      <c r="E47" s="31" t="str">
        <f t="shared" si="160"/>
        <v/>
      </c>
      <c r="F47" s="339" t="str">
        <f t="shared" si="150"/>
        <v/>
      </c>
      <c r="G47" s="339" t="str">
        <f t="shared" si="155"/>
        <v/>
      </c>
      <c r="H47" s="8" t="str">
        <f t="shared" si="156"/>
        <v/>
      </c>
      <c r="I47" s="82">
        <v>7</v>
      </c>
      <c r="J47" s="345" t="str">
        <f t="shared" si="157"/>
        <v/>
      </c>
      <c r="K47" s="339" t="str">
        <f t="shared" si="151"/>
        <v/>
      </c>
      <c r="L47" s="339" t="str">
        <f t="shared" si="151"/>
        <v/>
      </c>
      <c r="M47" s="339" t="str">
        <f t="shared" si="151"/>
        <v/>
      </c>
      <c r="N47" s="339" t="str">
        <f t="shared" si="151"/>
        <v/>
      </c>
      <c r="O47" s="345" t="str">
        <f t="shared" si="152"/>
        <v/>
      </c>
      <c r="P47" s="340" t="str">
        <f t="shared" si="152"/>
        <v/>
      </c>
      <c r="Q47" s="108" t="str">
        <f t="shared" si="153"/>
        <v/>
      </c>
      <c r="R47" s="94" t="str">
        <f t="shared" si="154"/>
        <v/>
      </c>
      <c r="S47" s="305"/>
      <c r="T47" s="345" t="s">
        <v>78</v>
      </c>
      <c r="U47" s="345">
        <v>8</v>
      </c>
      <c r="V47" s="340">
        <v>10</v>
      </c>
      <c r="W47" s="339" t="str">
        <f t="shared" si="158"/>
        <v/>
      </c>
      <c r="X47" s="340" t="str">
        <f t="shared" si="159"/>
        <v/>
      </c>
      <c r="Y47" s="305"/>
      <c r="Z47" s="305" t="s">
        <v>344</v>
      </c>
      <c r="AA47" s="305">
        <v>7</v>
      </c>
      <c r="AB47" s="305"/>
      <c r="AC47" s="305"/>
      <c r="AD47" s="305"/>
      <c r="AE47" s="305"/>
      <c r="AF47" s="305"/>
      <c r="AG47" s="70">
        <v>6</v>
      </c>
      <c r="AH47" s="392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4"/>
      <c r="AU47" s="305"/>
      <c r="AV47" s="305"/>
      <c r="AW47" s="305"/>
      <c r="AX47" s="305"/>
      <c r="AY47" s="305"/>
      <c r="AZ47" s="305"/>
    </row>
    <row r="48" spans="1:52" x14ac:dyDescent="0.25">
      <c r="A48" s="305"/>
      <c r="B48" s="29">
        <v>8</v>
      </c>
      <c r="C48" s="51"/>
      <c r="D48" s="58" t="s">
        <v>74</v>
      </c>
      <c r="E48" s="31" t="str">
        <f t="shared" si="160"/>
        <v/>
      </c>
      <c r="F48" s="339" t="str">
        <f t="shared" si="150"/>
        <v/>
      </c>
      <c r="G48" s="339" t="str">
        <f t="shared" si="155"/>
        <v/>
      </c>
      <c r="H48" s="8" t="str">
        <f t="shared" si="156"/>
        <v/>
      </c>
      <c r="I48" s="82">
        <v>8</v>
      </c>
      <c r="J48" s="345" t="str">
        <f t="shared" si="157"/>
        <v/>
      </c>
      <c r="K48" s="339" t="str">
        <f t="shared" si="151"/>
        <v/>
      </c>
      <c r="L48" s="339" t="str">
        <f t="shared" si="151"/>
        <v/>
      </c>
      <c r="M48" s="339" t="str">
        <f t="shared" si="151"/>
        <v/>
      </c>
      <c r="N48" s="339" t="str">
        <f t="shared" si="151"/>
        <v/>
      </c>
      <c r="O48" s="345" t="str">
        <f t="shared" si="152"/>
        <v/>
      </c>
      <c r="P48" s="340" t="str">
        <f t="shared" si="152"/>
        <v/>
      </c>
      <c r="Q48" s="108" t="str">
        <f t="shared" si="153"/>
        <v/>
      </c>
      <c r="R48" s="94" t="str">
        <f t="shared" si="154"/>
        <v/>
      </c>
      <c r="S48" s="305"/>
      <c r="T48" s="47" t="s">
        <v>79</v>
      </c>
      <c r="U48" s="47">
        <v>9</v>
      </c>
      <c r="V48" s="338">
        <v>10</v>
      </c>
      <c r="W48" s="337" t="str">
        <f t="shared" si="158"/>
        <v/>
      </c>
      <c r="X48" s="338" t="str">
        <f t="shared" si="159"/>
        <v/>
      </c>
      <c r="Y48" s="305"/>
      <c r="Z48" s="305" t="s">
        <v>345</v>
      </c>
      <c r="AA48" s="305">
        <v>8</v>
      </c>
      <c r="AB48" s="305"/>
      <c r="AC48" s="305"/>
      <c r="AD48" s="305"/>
      <c r="AE48" s="305"/>
      <c r="AF48" s="305"/>
      <c r="AG48" s="70">
        <v>7</v>
      </c>
      <c r="AH48" s="392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4"/>
      <c r="AU48" s="305"/>
      <c r="AV48" s="305"/>
      <c r="AW48" s="305"/>
      <c r="AX48" s="305"/>
      <c r="AY48" s="305"/>
      <c r="AZ48" s="305"/>
    </row>
    <row r="49" spans="1:52" x14ac:dyDescent="0.25">
      <c r="A49" s="305"/>
      <c r="B49" s="32">
        <v>9</v>
      </c>
      <c r="C49" s="52"/>
      <c r="D49" s="33" t="s">
        <v>75</v>
      </c>
      <c r="E49" s="35" t="str">
        <f t="shared" si="160"/>
        <v/>
      </c>
      <c r="F49" s="337" t="str">
        <f t="shared" si="150"/>
        <v/>
      </c>
      <c r="G49" s="337" t="str">
        <f t="shared" si="155"/>
        <v/>
      </c>
      <c r="H49" s="62" t="str">
        <f t="shared" si="156"/>
        <v/>
      </c>
      <c r="I49" s="83">
        <v>9</v>
      </c>
      <c r="J49" s="47" t="str">
        <f t="shared" si="157"/>
        <v/>
      </c>
      <c r="K49" s="337" t="str">
        <f t="shared" si="151"/>
        <v/>
      </c>
      <c r="L49" s="337" t="str">
        <f t="shared" si="151"/>
        <v/>
      </c>
      <c r="M49" s="337" t="str">
        <f t="shared" si="151"/>
        <v/>
      </c>
      <c r="N49" s="337" t="str">
        <f t="shared" si="151"/>
        <v/>
      </c>
      <c r="O49" s="47" t="str">
        <f t="shared" si="152"/>
        <v/>
      </c>
      <c r="P49" s="338" t="str">
        <f t="shared" si="152"/>
        <v/>
      </c>
      <c r="Q49" s="109" t="str">
        <f t="shared" si="153"/>
        <v/>
      </c>
      <c r="R49" s="95" t="str">
        <f t="shared" si="154"/>
        <v/>
      </c>
      <c r="S49" s="305"/>
      <c r="T49" s="305"/>
      <c r="U49" s="305"/>
      <c r="V49" s="305"/>
      <c r="W49" s="305"/>
      <c r="X49" s="305"/>
      <c r="Y49" s="305"/>
      <c r="Z49" s="305" t="s">
        <v>342</v>
      </c>
      <c r="AA49" s="305">
        <v>9</v>
      </c>
      <c r="AB49" s="305"/>
      <c r="AC49" s="305"/>
      <c r="AD49" s="305"/>
      <c r="AE49" s="305"/>
      <c r="AF49" s="305"/>
      <c r="AG49" s="70">
        <v>8</v>
      </c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05"/>
      <c r="AV49" s="305"/>
      <c r="AW49" s="305"/>
      <c r="AX49" s="305"/>
      <c r="AY49" s="305"/>
      <c r="AZ49" s="305"/>
    </row>
    <row r="50" spans="1:52" s="238" customFormat="1" x14ac:dyDescent="0.25">
      <c r="A50" s="305"/>
      <c r="B50" s="4"/>
      <c r="C50" s="30"/>
      <c r="D50" s="30"/>
      <c r="E50" s="30"/>
      <c r="F50" s="339"/>
      <c r="G50" s="339"/>
      <c r="H50" s="9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70">
        <v>9</v>
      </c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7"/>
      <c r="AU50" s="305"/>
      <c r="AV50" s="305"/>
      <c r="AW50" s="305"/>
      <c r="AX50" s="305"/>
      <c r="AY50" s="305"/>
      <c r="AZ50" s="305"/>
    </row>
    <row r="51" spans="1:52" x14ac:dyDescent="0.25">
      <c r="A51" s="305"/>
      <c r="B51" s="25" t="s">
        <v>171</v>
      </c>
      <c r="C51" s="28">
        <f>COUNTA(C6:C14,C17:C22,C25:C27)</f>
        <v>14</v>
      </c>
      <c r="D51" s="250" t="e">
        <f>C51/$C$50</f>
        <v>#DIV/0!</v>
      </c>
      <c r="E51" s="30"/>
      <c r="F51" s="339"/>
      <c r="G51" s="339"/>
      <c r="H51" s="9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71">
        <v>10</v>
      </c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9"/>
      <c r="AU51" s="305"/>
      <c r="AV51" s="305"/>
      <c r="AW51" s="305"/>
      <c r="AX51" s="305"/>
      <c r="AY51" s="305"/>
      <c r="AZ51" s="305"/>
    </row>
    <row r="52" spans="1:52" x14ac:dyDescent="0.25">
      <c r="A52" s="305"/>
      <c r="B52" s="29" t="s">
        <v>172</v>
      </c>
      <c r="C52" s="31">
        <f>COUNTA(C56:C61,C64:C65,C68:C77)</f>
        <v>13</v>
      </c>
      <c r="D52" s="250" t="e">
        <f>C52/$C$50</f>
        <v>#DIV/0!</v>
      </c>
      <c r="E52" s="30"/>
      <c r="F52" s="339"/>
      <c r="G52" s="339"/>
      <c r="H52" s="9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</row>
    <row r="53" spans="1:52" x14ac:dyDescent="0.25">
      <c r="A53" s="305"/>
      <c r="B53" s="32" t="s">
        <v>173</v>
      </c>
      <c r="C53" s="35">
        <f>C51+C52</f>
        <v>27</v>
      </c>
      <c r="D53" s="30"/>
      <c r="E53" s="30"/>
      <c r="F53" s="339"/>
      <c r="G53" s="339"/>
      <c r="H53" s="9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</row>
    <row r="54" spans="1:52" x14ac:dyDescent="0.25">
      <c r="A54" s="305"/>
      <c r="F54" s="305"/>
      <c r="G54" s="305"/>
      <c r="H54" s="305"/>
      <c r="I54" s="305">
        <v>12</v>
      </c>
      <c r="J54" s="305"/>
      <c r="K54" s="305">
        <v>17</v>
      </c>
      <c r="L54" s="305">
        <v>18</v>
      </c>
      <c r="M54" s="305">
        <v>19</v>
      </c>
      <c r="N54" s="305">
        <v>23</v>
      </c>
      <c r="O54" s="305">
        <v>25</v>
      </c>
      <c r="P54" s="305">
        <v>27</v>
      </c>
      <c r="Q54" s="305">
        <v>29</v>
      </c>
      <c r="R54" s="305">
        <v>31</v>
      </c>
      <c r="S54" s="305">
        <v>33</v>
      </c>
      <c r="T54" s="305">
        <v>35</v>
      </c>
      <c r="U54" s="305">
        <v>37</v>
      </c>
      <c r="V54" s="305">
        <v>39</v>
      </c>
      <c r="W54" s="305">
        <v>41</v>
      </c>
      <c r="X54" s="305">
        <v>43</v>
      </c>
      <c r="Y54" s="305">
        <v>45</v>
      </c>
      <c r="Z54" s="305">
        <v>47</v>
      </c>
      <c r="AA54" s="305">
        <v>48</v>
      </c>
      <c r="AB54" s="305">
        <v>49</v>
      </c>
      <c r="AC54" s="305">
        <v>52</v>
      </c>
      <c r="AD54" s="305">
        <v>20</v>
      </c>
      <c r="AE54" s="305">
        <v>21</v>
      </c>
      <c r="AF54" s="305">
        <v>22</v>
      </c>
      <c r="AG54" s="305">
        <v>54</v>
      </c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</row>
    <row r="55" spans="1:52" ht="74.25" x14ac:dyDescent="0.25">
      <c r="A55" s="66" t="s">
        <v>170</v>
      </c>
      <c r="B55" s="341" t="s">
        <v>104</v>
      </c>
      <c r="C55" s="37" t="s">
        <v>96</v>
      </c>
      <c r="D55" s="37" t="s">
        <v>70</v>
      </c>
      <c r="E55" s="43" t="s">
        <v>81</v>
      </c>
      <c r="F55" s="39" t="s">
        <v>160</v>
      </c>
      <c r="G55" s="39" t="s">
        <v>161</v>
      </c>
      <c r="H55" s="39" t="s">
        <v>162</v>
      </c>
      <c r="I55" s="69" t="s">
        <v>189</v>
      </c>
      <c r="J55" s="69" t="s">
        <v>166</v>
      </c>
      <c r="K55" s="67" t="s">
        <v>163</v>
      </c>
      <c r="L55" s="67" t="s">
        <v>164</v>
      </c>
      <c r="M55" s="68" t="s">
        <v>165</v>
      </c>
      <c r="N55" s="67" t="s">
        <v>40</v>
      </c>
      <c r="O55" s="67" t="s">
        <v>42</v>
      </c>
      <c r="P55" s="67" t="s">
        <v>44</v>
      </c>
      <c r="Q55" s="67" t="s">
        <v>46</v>
      </c>
      <c r="R55" s="67" t="s">
        <v>48</v>
      </c>
      <c r="S55" s="67" t="s">
        <v>87</v>
      </c>
      <c r="T55" s="67" t="s">
        <v>51</v>
      </c>
      <c r="U55" s="67" t="s">
        <v>53</v>
      </c>
      <c r="V55" s="67" t="s">
        <v>55</v>
      </c>
      <c r="W55" s="67" t="s">
        <v>57</v>
      </c>
      <c r="X55" s="67" t="s">
        <v>59</v>
      </c>
      <c r="Y55" s="68" t="s">
        <v>61</v>
      </c>
      <c r="Z55" s="72" t="s">
        <v>176</v>
      </c>
      <c r="AA55" s="67" t="s">
        <v>175</v>
      </c>
      <c r="AB55" s="68" t="s">
        <v>177</v>
      </c>
      <c r="AC55" s="251" t="s">
        <v>354</v>
      </c>
      <c r="AD55" s="67" t="s">
        <v>163</v>
      </c>
      <c r="AE55" s="67" t="s">
        <v>164</v>
      </c>
      <c r="AF55" s="68" t="s">
        <v>165</v>
      </c>
      <c r="AG55" s="251" t="s">
        <v>174</v>
      </c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  <c r="AT55" s="339"/>
      <c r="AU55" s="339"/>
      <c r="AV55" s="339"/>
      <c r="AW55" s="339"/>
      <c r="AX55" s="339"/>
      <c r="AY55" s="339"/>
      <c r="AZ55" s="339"/>
    </row>
    <row r="56" spans="1:52" x14ac:dyDescent="0.25">
      <c r="A56" s="339">
        <v>1</v>
      </c>
      <c r="B56" s="29" t="s">
        <v>87</v>
      </c>
      <c r="C56" s="344" t="s">
        <v>512</v>
      </c>
      <c r="D56" s="30" t="e">
        <f>IF($C56="","",VLOOKUP($C56,AMAPit!$A$10:$BJ$122,D$4-2,FALSE))</f>
        <v>#N/A</v>
      </c>
      <c r="E56" s="31" t="e">
        <f>IF($C56="","",VLOOKUP($C56,AMAPit!$A$10:$BJ$122,E$4-1,FALSE))</f>
        <v>#N/A</v>
      </c>
      <c r="F56" s="339" t="e">
        <f t="shared" ref="F56" si="161">IF($C56="","",IF(AVERAGE(K56:M56)&gt;7,1,0))</f>
        <v>#N/A</v>
      </c>
      <c r="G56" s="339" t="e">
        <f t="shared" ref="G56" si="162">IF($C56="","",IF(AVERAGE(K56:M56)&gt;6.5,1,0))</f>
        <v>#N/A</v>
      </c>
      <c r="H56" s="339" t="e">
        <f t="shared" ref="H56" si="163">IF($C56="","",IF(AVERAGE(K56:M56)&gt;6,1,0))</f>
        <v>#N/A</v>
      </c>
      <c r="I56" s="91" t="e">
        <f>IF($C56="","",VLOOKUP($C56,AMAPit!$A$10:$BJ$122,I$54,FALSE))</f>
        <v>#N/A</v>
      </c>
      <c r="J56" s="70">
        <f t="shared" ref="J56" si="164">IF($C56="","",COUNT(N56:Y56))</f>
        <v>0</v>
      </c>
      <c r="K56" s="339" t="e">
        <f>IF($C56="","",VLOOKUP($C56,AMAPit!$A$10:$BJ$122,K$54,FALSE))</f>
        <v>#N/A</v>
      </c>
      <c r="L56" s="339" t="e">
        <f>IF($C56="","",VLOOKUP($C56,AMAPit!$A$10:$BJ$122,L$54,FALSE))</f>
        <v>#N/A</v>
      </c>
      <c r="M56" s="340" t="e">
        <f>IF($C56="","",VLOOKUP($C56,AMAPit!$A$10:$BJ$122,M$54,FALSE))</f>
        <v>#N/A</v>
      </c>
      <c r="N56" s="339" t="e">
        <f>IF($C56="","",VLOOKUP($C56,AMAPit!$A$10:$BJ$122,N$54,FALSE))</f>
        <v>#N/A</v>
      </c>
      <c r="O56" s="339" t="e">
        <f>IF($C56="","",VLOOKUP($C56,AMAPit!$A$10:$BJ$122,O$54,FALSE))</f>
        <v>#N/A</v>
      </c>
      <c r="P56" s="339" t="e">
        <f>IF($C56="","",VLOOKUP($C56,AMAPit!$A$10:$BJ$122,P$54,FALSE))</f>
        <v>#N/A</v>
      </c>
      <c r="Q56" s="339" t="e">
        <f>IF($C56="","",VLOOKUP($C56,AMAPit!$A$10:$BJ$122,Q$54,FALSE))</f>
        <v>#N/A</v>
      </c>
      <c r="R56" s="339" t="e">
        <f>IF($C56="","",VLOOKUP($C56,AMAPit!$A$10:$BJ$122,R$54,FALSE))</f>
        <v>#N/A</v>
      </c>
      <c r="S56" s="339" t="e">
        <f>IF($C56="","",VLOOKUP($C56,AMAPit!$A$10:$BJ$122,S$54,FALSE))</f>
        <v>#N/A</v>
      </c>
      <c r="T56" s="339" t="e">
        <f>IF($C56="","",VLOOKUP($C56,AMAPit!$A$10:$BJ$122,T$54,FALSE))</f>
        <v>#N/A</v>
      </c>
      <c r="U56" s="339" t="e">
        <f>IF($C56="","",VLOOKUP($C56,AMAPit!$A$10:$BJ$122,U$54,FALSE))</f>
        <v>#N/A</v>
      </c>
      <c r="V56" s="339" t="e">
        <f>IF($C56="","",VLOOKUP($C56,AMAPit!$A$10:$BJ$122,V$54,FALSE))</f>
        <v>#N/A</v>
      </c>
      <c r="W56" s="339" t="e">
        <f>IF($C56="","",VLOOKUP($C56,AMAPit!$A$10:$BJ$122,W$54,FALSE))</f>
        <v>#N/A</v>
      </c>
      <c r="X56" s="339" t="e">
        <f>IF($C56="","",VLOOKUP($C56,AMAPit!$A$10:$BJ$122,X$54,FALSE))</f>
        <v>#N/A</v>
      </c>
      <c r="Y56" s="340" t="e">
        <f>IF($C56="","",VLOOKUP($C56,AMAPit!$A$10:$BJ$122,Y$54,FALSE))</f>
        <v>#N/A</v>
      </c>
      <c r="Z56" s="345" t="e">
        <f>IF($C56="","",VLOOKUP($C56,AMAPit!$A$10:$BJ$122,Z$54,FALSE))</f>
        <v>#N/A</v>
      </c>
      <c r="AA56" s="339" t="e">
        <f>IF($C56="","",VLOOKUP($C56,AMAPit!$A$10:$BJ$122,AA$54,FALSE))</f>
        <v>#N/A</v>
      </c>
      <c r="AB56" s="73" t="e">
        <f>IF($C56="","",VLOOKUP($C56,AMAPit!$A$10:$BJ$122,AB$54,FALSE))</f>
        <v>#N/A</v>
      </c>
      <c r="AC56" s="252" t="e">
        <f>IF($C56="","",VLOOKUP($C56,AMAPit!$A$10:$BJ$122,AC$54,FALSE))</f>
        <v>#N/A</v>
      </c>
      <c r="AD56" s="339" t="e">
        <f>IF($C56="","",VLOOKUP($C56,AMAPit!$A$10:$BJ$122,AD$54,FALSE))</f>
        <v>#N/A</v>
      </c>
      <c r="AE56" s="339" t="e">
        <f>IF($C56="","",VLOOKUP($C56,AMAPit!$A$10:$BJ$122,AE$54,FALSE))</f>
        <v>#N/A</v>
      </c>
      <c r="AF56" s="340" t="e">
        <f>IF($C56="","",VLOOKUP($C56,AMAPit!$A$10:$BJ$122,AF$54,FALSE))</f>
        <v>#N/A</v>
      </c>
      <c r="AG56" s="252" t="e">
        <f>IF($C56="","",VLOOKUP($C56,AMAPit!$A$10:$BJ$122,AG$54,FALSE))</f>
        <v>#N/A</v>
      </c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</row>
    <row r="57" spans="1:52" x14ac:dyDescent="0.25">
      <c r="A57" s="339">
        <v>2</v>
      </c>
      <c r="B57" s="29" t="s">
        <v>87</v>
      </c>
      <c r="C57" s="344" t="s">
        <v>510</v>
      </c>
      <c r="D57" s="30" t="e">
        <f>IF($C57="","",VLOOKUP($C57,AMAPit!$A$10:$BJ$122,D$4-2,FALSE))</f>
        <v>#N/A</v>
      </c>
      <c r="E57" s="31" t="e">
        <f>IF($C57="","",VLOOKUP($C57,AMAPit!$A$10:$BJ$122,E$4-1,FALSE))</f>
        <v>#N/A</v>
      </c>
      <c r="F57" s="339" t="e">
        <f t="shared" ref="F57:F61" si="165">IF($C57="","",IF(AVERAGE(K57:M57)&gt;7,1,0))</f>
        <v>#N/A</v>
      </c>
      <c r="G57" s="339" t="e">
        <f t="shared" ref="G57:G61" si="166">IF($C57="","",IF(AVERAGE(K57:M57)&gt;6.5,1,0))</f>
        <v>#N/A</v>
      </c>
      <c r="H57" s="339" t="e">
        <f t="shared" ref="H57:H61" si="167">IF($C57="","",IF(AVERAGE(K57:M57)&gt;6,1,0))</f>
        <v>#N/A</v>
      </c>
      <c r="I57" s="92" t="e">
        <f>IF($C57="","",VLOOKUP($C57,AMAPit!$A$10:$BJ$122,I$54,FALSE))</f>
        <v>#N/A</v>
      </c>
      <c r="J57" s="70">
        <f t="shared" ref="J57:J61" si="168">IF($C57="","",COUNT(N57:Y57))</f>
        <v>0</v>
      </c>
      <c r="K57" s="339" t="e">
        <f>IF($C57="","",VLOOKUP($C57,AMAPit!$A$10:$BJ$122,K$54,FALSE))</f>
        <v>#N/A</v>
      </c>
      <c r="L57" s="339" t="e">
        <f>IF($C57="","",VLOOKUP($C57,AMAPit!$A$10:$BJ$122,L$54,FALSE))</f>
        <v>#N/A</v>
      </c>
      <c r="M57" s="340" t="e">
        <f>IF($C57="","",VLOOKUP($C57,AMAPit!$A$10:$BJ$122,M$54,FALSE))</f>
        <v>#N/A</v>
      </c>
      <c r="N57" s="339" t="e">
        <f>IF($C57="","",VLOOKUP($C57,AMAPit!$A$10:$BJ$122,N$54,FALSE))</f>
        <v>#N/A</v>
      </c>
      <c r="O57" s="339" t="e">
        <f>IF($C57="","",VLOOKUP($C57,AMAPit!$A$10:$BJ$122,O$54,FALSE))</f>
        <v>#N/A</v>
      </c>
      <c r="P57" s="339" t="e">
        <f>IF($C57="","",VLOOKUP($C57,AMAPit!$A$10:$BJ$122,P$54,FALSE))</f>
        <v>#N/A</v>
      </c>
      <c r="Q57" s="339" t="e">
        <f>IF($C57="","",VLOOKUP($C57,AMAPit!$A$10:$BJ$122,Q$54,FALSE))</f>
        <v>#N/A</v>
      </c>
      <c r="R57" s="339" t="e">
        <f>IF($C57="","",VLOOKUP($C57,AMAPit!$A$10:$BJ$122,R$54,FALSE))</f>
        <v>#N/A</v>
      </c>
      <c r="S57" s="339" t="e">
        <f>IF($C57="","",VLOOKUP($C57,AMAPit!$A$10:$BJ$122,S$54,FALSE))</f>
        <v>#N/A</v>
      </c>
      <c r="T57" s="339" t="e">
        <f>IF($C57="","",VLOOKUP($C57,AMAPit!$A$10:$BJ$122,T$54,FALSE))</f>
        <v>#N/A</v>
      </c>
      <c r="U57" s="339" t="e">
        <f>IF($C57="","",VLOOKUP($C57,AMAPit!$A$10:$BJ$122,U$54,FALSE))</f>
        <v>#N/A</v>
      </c>
      <c r="V57" s="339" t="e">
        <f>IF($C57="","",VLOOKUP($C57,AMAPit!$A$10:$BJ$122,V$54,FALSE))</f>
        <v>#N/A</v>
      </c>
      <c r="W57" s="339" t="e">
        <f>IF($C57="","",VLOOKUP($C57,AMAPit!$A$10:$BJ$122,W$54,FALSE))</f>
        <v>#N/A</v>
      </c>
      <c r="X57" s="339" t="e">
        <f>IF($C57="","",VLOOKUP($C57,AMAPit!$A$10:$BJ$122,X$54,FALSE))</f>
        <v>#N/A</v>
      </c>
      <c r="Y57" s="340" t="e">
        <f>IF($C57="","",VLOOKUP($C57,AMAPit!$A$10:$BJ$122,Y$54,FALSE))</f>
        <v>#N/A</v>
      </c>
      <c r="Z57" s="345" t="e">
        <f>IF($C57="","",VLOOKUP($C57,AMAPit!$A$10:$BJ$122,Z$54,FALSE))</f>
        <v>#N/A</v>
      </c>
      <c r="AA57" s="339" t="e">
        <f>IF($C57="","",VLOOKUP($C57,AMAPit!$A$10:$BJ$122,AA$54,FALSE))</f>
        <v>#N/A</v>
      </c>
      <c r="AB57" s="73" t="e">
        <f>IF($C57="","",VLOOKUP($C57,AMAPit!$A$10:$BJ$122,AB$54,FALSE))</f>
        <v>#N/A</v>
      </c>
      <c r="AC57" s="60" t="e">
        <f>IF($C57="","",VLOOKUP($C57,AMAPit!$A$10:$BJ$122,AC$54,FALSE))</f>
        <v>#N/A</v>
      </c>
      <c r="AD57" s="339" t="e">
        <f>IF($C57="","",VLOOKUP($C57,AMAPit!$A$10:$BJ$122,AD$54,FALSE))</f>
        <v>#N/A</v>
      </c>
      <c r="AE57" s="339" t="e">
        <f>IF($C57="","",VLOOKUP($C57,AMAPit!$A$10:$BJ$122,AE$54,FALSE))</f>
        <v>#N/A</v>
      </c>
      <c r="AF57" s="340" t="e">
        <f>IF($C57="","",VLOOKUP($C57,AMAPit!$A$10:$BJ$122,AF$54,FALSE))</f>
        <v>#N/A</v>
      </c>
      <c r="AG57" s="60" t="e">
        <f>IF($C57="","",VLOOKUP($C57,AMAPit!$A$10:$BJ$122,AG$54,FALSE))</f>
        <v>#N/A</v>
      </c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</row>
    <row r="58" spans="1:52" x14ac:dyDescent="0.25">
      <c r="A58" s="339">
        <v>3</v>
      </c>
      <c r="B58" s="29" t="s">
        <v>87</v>
      </c>
      <c r="C58" s="358" t="s">
        <v>739</v>
      </c>
      <c r="D58" s="30" t="e">
        <f>IF($C58="","",VLOOKUP($C58,AMAPit!$A$10:$BJ$122,D$4-2,FALSE))</f>
        <v>#N/A</v>
      </c>
      <c r="E58" s="31" t="e">
        <f>IF($C58="","",VLOOKUP($C58,AMAPit!$A$10:$BJ$122,E$4-1,FALSE))</f>
        <v>#N/A</v>
      </c>
      <c r="F58" s="339" t="e">
        <f t="shared" si="165"/>
        <v>#N/A</v>
      </c>
      <c r="G58" s="339" t="e">
        <f t="shared" si="166"/>
        <v>#N/A</v>
      </c>
      <c r="H58" s="339" t="e">
        <f t="shared" si="167"/>
        <v>#N/A</v>
      </c>
      <c r="I58" s="92" t="e">
        <f>IF($C58="","",VLOOKUP($C58,AMAPit!$A$10:$BJ$122,I$54,FALSE))</f>
        <v>#N/A</v>
      </c>
      <c r="J58" s="70">
        <f t="shared" si="168"/>
        <v>0</v>
      </c>
      <c r="K58" s="339" t="e">
        <f>IF($C58="","",VLOOKUP($C58,AMAPit!$A$10:$BJ$122,K$54,FALSE))</f>
        <v>#N/A</v>
      </c>
      <c r="L58" s="339" t="e">
        <f>IF($C58="","",VLOOKUP($C58,AMAPit!$A$10:$BJ$122,L$54,FALSE))</f>
        <v>#N/A</v>
      </c>
      <c r="M58" s="340" t="e">
        <f>IF($C58="","",VLOOKUP($C58,AMAPit!$A$10:$BJ$122,M$54,FALSE))</f>
        <v>#N/A</v>
      </c>
      <c r="N58" s="339" t="e">
        <f>IF($C58="","",VLOOKUP($C58,AMAPit!$A$10:$BJ$122,N$54,FALSE))</f>
        <v>#N/A</v>
      </c>
      <c r="O58" s="339" t="e">
        <f>IF($C58="","",VLOOKUP($C58,AMAPit!$A$10:$BJ$122,O$54,FALSE))</f>
        <v>#N/A</v>
      </c>
      <c r="P58" s="339" t="e">
        <f>IF($C58="","",VLOOKUP($C58,AMAPit!$A$10:$BJ$122,P$54,FALSE))</f>
        <v>#N/A</v>
      </c>
      <c r="Q58" s="339" t="e">
        <f>IF($C58="","",VLOOKUP($C58,AMAPit!$A$10:$BJ$122,Q$54,FALSE))</f>
        <v>#N/A</v>
      </c>
      <c r="R58" s="339" t="e">
        <f>IF($C58="","",VLOOKUP($C58,AMAPit!$A$10:$BJ$122,R$54,FALSE))</f>
        <v>#N/A</v>
      </c>
      <c r="S58" s="339" t="e">
        <f>IF($C58="","",VLOOKUP($C58,AMAPit!$A$10:$BJ$122,S$54,FALSE))</f>
        <v>#N/A</v>
      </c>
      <c r="T58" s="339" t="e">
        <f>IF($C58="","",VLOOKUP($C58,AMAPit!$A$10:$BJ$122,T$54,FALSE))</f>
        <v>#N/A</v>
      </c>
      <c r="U58" s="339" t="e">
        <f>IF($C58="","",VLOOKUP($C58,AMAPit!$A$10:$BJ$122,U$54,FALSE))</f>
        <v>#N/A</v>
      </c>
      <c r="V58" s="339" t="e">
        <f>IF($C58="","",VLOOKUP($C58,AMAPit!$A$10:$BJ$122,V$54,FALSE))</f>
        <v>#N/A</v>
      </c>
      <c r="W58" s="339" t="e">
        <f>IF($C58="","",VLOOKUP($C58,AMAPit!$A$10:$BJ$122,W$54,FALSE))</f>
        <v>#N/A</v>
      </c>
      <c r="X58" s="339" t="e">
        <f>IF($C58="","",VLOOKUP($C58,AMAPit!$A$10:$BJ$122,X$54,FALSE))</f>
        <v>#N/A</v>
      </c>
      <c r="Y58" s="340" t="e">
        <f>IF($C58="","",VLOOKUP($C58,AMAPit!$A$10:$BJ$122,Y$54,FALSE))</f>
        <v>#N/A</v>
      </c>
      <c r="Z58" s="345" t="e">
        <f>IF($C58="","",VLOOKUP($C58,AMAPit!$A$10:$BJ$122,Z$54,FALSE))</f>
        <v>#N/A</v>
      </c>
      <c r="AA58" s="339" t="e">
        <f>IF($C58="","",VLOOKUP($C58,AMAPit!$A$10:$BJ$122,AA$54,FALSE))</f>
        <v>#N/A</v>
      </c>
      <c r="AB58" s="73" t="e">
        <f>IF($C58="","",VLOOKUP($C58,AMAPit!$A$10:$BJ$122,AB$54,FALSE))</f>
        <v>#N/A</v>
      </c>
      <c r="AC58" s="60" t="e">
        <f>IF($C58="","",VLOOKUP($C58,AMAPit!$A$10:$BJ$122,AC$54,FALSE))</f>
        <v>#N/A</v>
      </c>
      <c r="AD58" s="339" t="e">
        <f>IF($C58="","",VLOOKUP($C58,AMAPit!$A$10:$BJ$122,AD$54,FALSE))</f>
        <v>#N/A</v>
      </c>
      <c r="AE58" s="339" t="e">
        <f>IF($C58="","",VLOOKUP($C58,AMAPit!$A$10:$BJ$122,AE$54,FALSE))</f>
        <v>#N/A</v>
      </c>
      <c r="AF58" s="340" t="e">
        <f>IF($C58="","",VLOOKUP($C58,AMAPit!$A$10:$BJ$122,AF$54,FALSE))</f>
        <v>#N/A</v>
      </c>
      <c r="AG58" s="60" t="e">
        <f>IF($C58="","",VLOOKUP($C58,AMAPit!$A$10:$BJ$122,AG$54,FALSE))</f>
        <v>#N/A</v>
      </c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</row>
    <row r="59" spans="1:52" x14ac:dyDescent="0.25">
      <c r="A59" s="339">
        <v>4</v>
      </c>
      <c r="B59" s="29" t="s">
        <v>87</v>
      </c>
      <c r="C59" s="58" t="s">
        <v>735</v>
      </c>
      <c r="D59" s="30" t="e">
        <f>IF($C59="","",VLOOKUP($C59,AMAPit!$A$10:$BJ$122,D$4-2,FALSE))</f>
        <v>#N/A</v>
      </c>
      <c r="E59" s="31" t="e">
        <f>IF($C59="","",VLOOKUP($C59,AMAPit!$A$10:$BJ$122,E$4-1,FALSE))</f>
        <v>#N/A</v>
      </c>
      <c r="F59" s="339" t="e">
        <f t="shared" si="165"/>
        <v>#N/A</v>
      </c>
      <c r="G59" s="339" t="e">
        <f t="shared" si="166"/>
        <v>#N/A</v>
      </c>
      <c r="H59" s="339" t="e">
        <f t="shared" si="167"/>
        <v>#N/A</v>
      </c>
      <c r="I59" s="92" t="e">
        <f>IF($C59="","",VLOOKUP($C59,AMAPit!$A$10:$BJ$122,I$54,FALSE))</f>
        <v>#N/A</v>
      </c>
      <c r="J59" s="70">
        <f t="shared" si="168"/>
        <v>0</v>
      </c>
      <c r="K59" s="339" t="e">
        <f>IF($C59="","",VLOOKUP($C59,AMAPit!$A$10:$BJ$122,K$54,FALSE))</f>
        <v>#N/A</v>
      </c>
      <c r="L59" s="339" t="e">
        <f>IF($C59="","",VLOOKUP($C59,AMAPit!$A$10:$BJ$122,L$54,FALSE))</f>
        <v>#N/A</v>
      </c>
      <c r="M59" s="340" t="e">
        <f>IF($C59="","",VLOOKUP($C59,AMAPit!$A$10:$BJ$122,M$54,FALSE))</f>
        <v>#N/A</v>
      </c>
      <c r="N59" s="339" t="e">
        <f>IF($C59="","",VLOOKUP($C59,AMAPit!$A$10:$BJ$122,N$54,FALSE))</f>
        <v>#N/A</v>
      </c>
      <c r="O59" s="339" t="e">
        <f>IF($C59="","",VLOOKUP($C59,AMAPit!$A$10:$BJ$122,O$54,FALSE))</f>
        <v>#N/A</v>
      </c>
      <c r="P59" s="339" t="e">
        <f>IF($C59="","",VLOOKUP($C59,AMAPit!$A$10:$BJ$122,P$54,FALSE))</f>
        <v>#N/A</v>
      </c>
      <c r="Q59" s="339" t="e">
        <f>IF($C59="","",VLOOKUP($C59,AMAPit!$A$10:$BJ$122,Q$54,FALSE))</f>
        <v>#N/A</v>
      </c>
      <c r="R59" s="339" t="e">
        <f>IF($C59="","",VLOOKUP($C59,AMAPit!$A$10:$BJ$122,R$54,FALSE))</f>
        <v>#N/A</v>
      </c>
      <c r="S59" s="339" t="e">
        <f>IF($C59="","",VLOOKUP($C59,AMAPit!$A$10:$BJ$122,S$54,FALSE))</f>
        <v>#N/A</v>
      </c>
      <c r="T59" s="339" t="e">
        <f>IF($C59="","",VLOOKUP($C59,AMAPit!$A$10:$BJ$122,T$54,FALSE))</f>
        <v>#N/A</v>
      </c>
      <c r="U59" s="339" t="e">
        <f>IF($C59="","",VLOOKUP($C59,AMAPit!$A$10:$BJ$122,U$54,FALSE))</f>
        <v>#N/A</v>
      </c>
      <c r="V59" s="339" t="e">
        <f>IF($C59="","",VLOOKUP($C59,AMAPit!$A$10:$BJ$122,V$54,FALSE))</f>
        <v>#N/A</v>
      </c>
      <c r="W59" s="339" t="e">
        <f>IF($C59="","",VLOOKUP($C59,AMAPit!$A$10:$BJ$122,W$54,FALSE))</f>
        <v>#N/A</v>
      </c>
      <c r="X59" s="339" t="e">
        <f>IF($C59="","",VLOOKUP($C59,AMAPit!$A$10:$BJ$122,X$54,FALSE))</f>
        <v>#N/A</v>
      </c>
      <c r="Y59" s="340" t="e">
        <f>IF($C59="","",VLOOKUP($C59,AMAPit!$A$10:$BJ$122,Y$54,FALSE))</f>
        <v>#N/A</v>
      </c>
      <c r="Z59" s="345" t="e">
        <f>IF($C59="","",VLOOKUP($C59,AMAPit!$A$10:$BJ$122,Z$54,FALSE))</f>
        <v>#N/A</v>
      </c>
      <c r="AA59" s="339" t="e">
        <f>IF($C59="","",VLOOKUP($C59,AMAPit!$A$10:$BJ$122,AA$54,FALSE))</f>
        <v>#N/A</v>
      </c>
      <c r="AB59" s="73" t="e">
        <f>IF($C59="","",VLOOKUP($C59,AMAPit!$A$10:$BJ$122,AB$54,FALSE))</f>
        <v>#N/A</v>
      </c>
      <c r="AC59" s="60" t="e">
        <f>IF($C59="","",VLOOKUP($C59,AMAPit!$A$10:$BJ$122,AC$54,FALSE))</f>
        <v>#N/A</v>
      </c>
      <c r="AD59" s="339" t="e">
        <f>IF($C59="","",VLOOKUP($C59,AMAPit!$A$10:$BJ$122,AD$54,FALSE))</f>
        <v>#N/A</v>
      </c>
      <c r="AE59" s="339" t="e">
        <f>IF($C59="","",VLOOKUP($C59,AMAPit!$A$10:$BJ$122,AE$54,FALSE))</f>
        <v>#N/A</v>
      </c>
      <c r="AF59" s="340" t="e">
        <f>IF($C59="","",VLOOKUP($C59,AMAPit!$A$10:$BJ$122,AF$54,FALSE))</f>
        <v>#N/A</v>
      </c>
      <c r="AG59" s="60" t="e">
        <f>IF($C59="","",VLOOKUP($C59,AMAPit!$A$10:$BJ$122,AG$54,FALSE))</f>
        <v>#N/A</v>
      </c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</row>
    <row r="60" spans="1:52" x14ac:dyDescent="0.25">
      <c r="A60" s="339">
        <v>5</v>
      </c>
      <c r="B60" s="29" t="s">
        <v>87</v>
      </c>
      <c r="C60" s="58" t="s">
        <v>516</v>
      </c>
      <c r="D60" s="30" t="e">
        <f>IF($C60="","",VLOOKUP($C60,AMAPit!$A$10:$BJ$122,D$4-2,FALSE))</f>
        <v>#N/A</v>
      </c>
      <c r="E60" s="31" t="e">
        <f>IF($C60="","",VLOOKUP($C60,AMAPit!$A$10:$BJ$122,E$4-1,FALSE))</f>
        <v>#N/A</v>
      </c>
      <c r="F60" s="339" t="e">
        <f t="shared" si="165"/>
        <v>#N/A</v>
      </c>
      <c r="G60" s="339" t="e">
        <f t="shared" si="166"/>
        <v>#N/A</v>
      </c>
      <c r="H60" s="339" t="e">
        <f t="shared" si="167"/>
        <v>#N/A</v>
      </c>
      <c r="I60" s="92" t="e">
        <f>IF($C60="","",VLOOKUP($C60,AMAPit!$A$10:$BJ$122,I$54,FALSE))</f>
        <v>#N/A</v>
      </c>
      <c r="J60" s="70">
        <f t="shared" si="168"/>
        <v>0</v>
      </c>
      <c r="K60" s="339" t="e">
        <f>IF($C60="","",VLOOKUP($C60,AMAPit!$A$10:$BJ$122,K$54,FALSE))</f>
        <v>#N/A</v>
      </c>
      <c r="L60" s="339" t="e">
        <f>IF($C60="","",VLOOKUP($C60,AMAPit!$A$10:$BJ$122,L$54,FALSE))</f>
        <v>#N/A</v>
      </c>
      <c r="M60" s="340" t="e">
        <f>IF($C60="","",VLOOKUP($C60,AMAPit!$A$10:$BJ$122,M$54,FALSE))</f>
        <v>#N/A</v>
      </c>
      <c r="N60" s="339" t="e">
        <f>IF($C60="","",VLOOKUP($C60,AMAPit!$A$10:$BJ$122,N$54,FALSE))</f>
        <v>#N/A</v>
      </c>
      <c r="O60" s="339" t="e">
        <f>IF($C60="","",VLOOKUP($C60,AMAPit!$A$10:$BJ$122,O$54,FALSE))</f>
        <v>#N/A</v>
      </c>
      <c r="P60" s="339" t="e">
        <f>IF($C60="","",VLOOKUP($C60,AMAPit!$A$10:$BJ$122,P$54,FALSE))</f>
        <v>#N/A</v>
      </c>
      <c r="Q60" s="339" t="e">
        <f>IF($C60="","",VLOOKUP($C60,AMAPit!$A$10:$BJ$122,Q$54,FALSE))</f>
        <v>#N/A</v>
      </c>
      <c r="R60" s="339" t="e">
        <f>IF($C60="","",VLOOKUP($C60,AMAPit!$A$10:$BJ$122,R$54,FALSE))</f>
        <v>#N/A</v>
      </c>
      <c r="S60" s="339" t="e">
        <f>IF($C60="","",VLOOKUP($C60,AMAPit!$A$10:$BJ$122,S$54,FALSE))</f>
        <v>#N/A</v>
      </c>
      <c r="T60" s="339" t="e">
        <f>IF($C60="","",VLOOKUP($C60,AMAPit!$A$10:$BJ$122,T$54,FALSE))</f>
        <v>#N/A</v>
      </c>
      <c r="U60" s="339" t="e">
        <f>IF($C60="","",VLOOKUP($C60,AMAPit!$A$10:$BJ$122,U$54,FALSE))</f>
        <v>#N/A</v>
      </c>
      <c r="V60" s="339" t="e">
        <f>IF($C60="","",VLOOKUP($C60,AMAPit!$A$10:$BJ$122,V$54,FALSE))</f>
        <v>#N/A</v>
      </c>
      <c r="W60" s="339" t="e">
        <f>IF($C60="","",VLOOKUP($C60,AMAPit!$A$10:$BJ$122,W$54,FALSE))</f>
        <v>#N/A</v>
      </c>
      <c r="X60" s="339" t="e">
        <f>IF($C60="","",VLOOKUP($C60,AMAPit!$A$10:$BJ$122,X$54,FALSE))</f>
        <v>#N/A</v>
      </c>
      <c r="Y60" s="340" t="e">
        <f>IF($C60="","",VLOOKUP($C60,AMAPit!$A$10:$BJ$122,Y$54,FALSE))</f>
        <v>#N/A</v>
      </c>
      <c r="Z60" s="345" t="e">
        <f>IF($C60="","",VLOOKUP($C60,AMAPit!$A$10:$BJ$122,Z$54,FALSE))</f>
        <v>#N/A</v>
      </c>
      <c r="AA60" s="339" t="e">
        <f>IF($C60="","",VLOOKUP($C60,AMAPit!$A$10:$BJ$122,AA$54,FALSE))</f>
        <v>#N/A</v>
      </c>
      <c r="AB60" s="73" t="e">
        <f>IF($C60="","",VLOOKUP($C60,AMAPit!$A$10:$BJ$122,AB$54,FALSE))</f>
        <v>#N/A</v>
      </c>
      <c r="AC60" s="60" t="e">
        <f>IF($C60="","",VLOOKUP($C60,AMAPit!$A$10:$BJ$122,AC$54,FALSE))</f>
        <v>#N/A</v>
      </c>
      <c r="AD60" s="339" t="e">
        <f>IF($C60="","",VLOOKUP($C60,AMAPit!$A$10:$BJ$122,AD$54,FALSE))</f>
        <v>#N/A</v>
      </c>
      <c r="AE60" s="339" t="e">
        <f>IF($C60="","",VLOOKUP($C60,AMAPit!$A$10:$BJ$122,AE$54,FALSE))</f>
        <v>#N/A</v>
      </c>
      <c r="AF60" s="340" t="e">
        <f>IF($C60="","",VLOOKUP($C60,AMAPit!$A$10:$BJ$122,AF$54,FALSE))</f>
        <v>#N/A</v>
      </c>
      <c r="AG60" s="60" t="e">
        <f>IF($C60="","",VLOOKUP($C60,AMAPit!$A$10:$BJ$122,AG$54,FALSE))</f>
        <v>#N/A</v>
      </c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</row>
    <row r="61" spans="1:52" x14ac:dyDescent="0.25">
      <c r="A61" s="339">
        <v>6</v>
      </c>
      <c r="B61" s="32" t="s">
        <v>105</v>
      </c>
      <c r="C61" s="279"/>
      <c r="D61" s="33" t="str">
        <f>IF($C61="","",VLOOKUP($C61,AMAPit!$A$10:$BJ$122,D$4-2,FALSE))</f>
        <v/>
      </c>
      <c r="E61" s="35" t="str">
        <f>IF($C61="","",VLOOKUP($C61,AMAPit!$A$10:$BJ$125,E$4-1,FALSE))</f>
        <v/>
      </c>
      <c r="F61" s="337" t="str">
        <f t="shared" si="165"/>
        <v/>
      </c>
      <c r="G61" s="337" t="str">
        <f t="shared" si="166"/>
        <v/>
      </c>
      <c r="H61" s="337" t="str">
        <f t="shared" si="167"/>
        <v/>
      </c>
      <c r="I61" s="93" t="str">
        <f>IF($C61="","",VLOOKUP($C61,AMAPit!$A$10:$BJ$122,I$54,FALSE))</f>
        <v/>
      </c>
      <c r="J61" s="71" t="str">
        <f t="shared" si="168"/>
        <v/>
      </c>
      <c r="K61" s="337" t="str">
        <f>IF($C61="","",VLOOKUP($C61,AMAPit!$A$10:$BJ$122,K$54,FALSE))</f>
        <v/>
      </c>
      <c r="L61" s="337" t="str">
        <f>IF($C61="","",VLOOKUP($C61,AMAPit!$A$10:$BJ$122,L$54,FALSE))</f>
        <v/>
      </c>
      <c r="M61" s="338" t="str">
        <f>IF($C61="","",VLOOKUP($C61,AMAPit!$A$10:$BJ$122,M$54,FALSE))</f>
        <v/>
      </c>
      <c r="N61" s="337" t="str">
        <f>IF($C61="","",VLOOKUP($C61,AMAPit!$A$10:$BJ$122,N$54,FALSE))</f>
        <v/>
      </c>
      <c r="O61" s="337" t="str">
        <f>IF($C61="","",VLOOKUP($C61,AMAPit!$A$10:$BJ$122,O$54,FALSE))</f>
        <v/>
      </c>
      <c r="P61" s="337" t="str">
        <f>IF($C61="","",VLOOKUP($C61,AMAPit!$A$10:$BJ$122,P$54,FALSE))</f>
        <v/>
      </c>
      <c r="Q61" s="337" t="str">
        <f>IF($C61="","",VLOOKUP($C61,AMAPit!$A$10:$BJ$122,Q$54,FALSE))</f>
        <v/>
      </c>
      <c r="R61" s="337" t="str">
        <f>IF($C61="","",VLOOKUP($C61,AMAPit!$A$10:$BJ$122,R$54,FALSE))</f>
        <v/>
      </c>
      <c r="S61" s="337" t="str">
        <f>IF($C61="","",VLOOKUP($C61,AMAPit!$A$10:$BJ$122,S$54,FALSE))</f>
        <v/>
      </c>
      <c r="T61" s="337" t="str">
        <f>IF($C61="","",VLOOKUP($C61,AMAPit!$A$10:$BJ$122,T$54,FALSE))</f>
        <v/>
      </c>
      <c r="U61" s="337" t="str">
        <f>IF($C61="","",VLOOKUP($C61,AMAPit!$A$10:$BJ$122,U$54,FALSE))</f>
        <v/>
      </c>
      <c r="V61" s="337" t="str">
        <f>IF($C61="","",VLOOKUP($C61,AMAPit!$A$10:$BJ$122,V$54,FALSE))</f>
        <v/>
      </c>
      <c r="W61" s="337" t="str">
        <f>IF($C61="","",VLOOKUP($C61,AMAPit!$A$10:$BJ$122,W$54,FALSE))</f>
        <v/>
      </c>
      <c r="X61" s="337" t="str">
        <f>IF($C61="","",VLOOKUP($C61,AMAPit!$A$10:$BJ$122,X$54,FALSE))</f>
        <v/>
      </c>
      <c r="Y61" s="338" t="str">
        <f>IF($C61="","",VLOOKUP($C61,AMAPit!$A$10:$BJ$122,Y$54,FALSE))</f>
        <v/>
      </c>
      <c r="Z61" s="47" t="str">
        <f>IF($C61="","",VLOOKUP($C61,AMAPit!$A$10:$BJ$122,Z$54,FALSE))</f>
        <v/>
      </c>
      <c r="AA61" s="337" t="str">
        <f>IF($C61="","",VLOOKUP($C61,AMAPit!$A$10:$BJ$122,AA$54,FALSE))</f>
        <v/>
      </c>
      <c r="AB61" s="74" t="str">
        <f>IF($C61="","",VLOOKUP($C61,AMAPit!$A$10:$BJ$122,AB$54,FALSE))</f>
        <v/>
      </c>
      <c r="AC61" s="61" t="str">
        <f>IF($C61="","",VLOOKUP($C61,AMAPit!$A$10:$BJ$122,AC$54,FALSE))</f>
        <v/>
      </c>
      <c r="AD61" s="337" t="str">
        <f>IF($C61="","",VLOOKUP($C61,AMAPit!$A$10:$BJ$122,AD$54,FALSE))</f>
        <v/>
      </c>
      <c r="AE61" s="337" t="str">
        <f>IF($C61="","",VLOOKUP($C61,AMAPit!$A$10:$BJ$122,AE$54,FALSE))</f>
        <v/>
      </c>
      <c r="AF61" s="338" t="str">
        <f>IF($C61="","",VLOOKUP($C61,AMAPit!$A$10:$BJ$122,AF$54,FALSE))</f>
        <v/>
      </c>
      <c r="AG61" s="61" t="str">
        <f>IF($C61="","",VLOOKUP($C61,AMAPit!$A$10:$BJ$122,AG$54,FALSE))</f>
        <v/>
      </c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</row>
    <row r="62" spans="1:52" x14ac:dyDescent="0.25">
      <c r="A62" s="305"/>
      <c r="C62" s="280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39"/>
      <c r="AA62" s="339"/>
      <c r="AB62" s="339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</row>
    <row r="63" spans="1:52" ht="57" x14ac:dyDescent="0.25">
      <c r="A63" s="18" t="s">
        <v>170</v>
      </c>
      <c r="B63" s="341" t="s">
        <v>106</v>
      </c>
      <c r="C63" s="281" t="s">
        <v>96</v>
      </c>
      <c r="D63" s="37" t="s">
        <v>70</v>
      </c>
      <c r="E63" s="37" t="s">
        <v>81</v>
      </c>
      <c r="F63" s="48" t="s">
        <v>167</v>
      </c>
      <c r="G63" s="40" t="s">
        <v>168</v>
      </c>
      <c r="H63" s="49" t="s">
        <v>169</v>
      </c>
      <c r="I63" s="69" t="s">
        <v>189</v>
      </c>
      <c r="J63" s="40" t="s">
        <v>166</v>
      </c>
      <c r="K63" s="72" t="s">
        <v>163</v>
      </c>
      <c r="L63" s="67" t="s">
        <v>164</v>
      </c>
      <c r="M63" s="68" t="s">
        <v>165</v>
      </c>
      <c r="N63" s="67" t="s">
        <v>40</v>
      </c>
      <c r="O63" s="67" t="s">
        <v>42</v>
      </c>
      <c r="P63" s="67" t="s">
        <v>44</v>
      </c>
      <c r="Q63" s="67" t="s">
        <v>46</v>
      </c>
      <c r="R63" s="67" t="s">
        <v>48</v>
      </c>
      <c r="S63" s="67" t="s">
        <v>87</v>
      </c>
      <c r="T63" s="67" t="s">
        <v>51</v>
      </c>
      <c r="U63" s="67" t="s">
        <v>53</v>
      </c>
      <c r="V63" s="67" t="s">
        <v>55</v>
      </c>
      <c r="W63" s="67" t="s">
        <v>57</v>
      </c>
      <c r="X63" s="67" t="s">
        <v>59</v>
      </c>
      <c r="Y63" s="68" t="s">
        <v>61</v>
      </c>
      <c r="Z63" s="72" t="s">
        <v>176</v>
      </c>
      <c r="AA63" s="67" t="s">
        <v>175</v>
      </c>
      <c r="AB63" s="68" t="s">
        <v>177</v>
      </c>
      <c r="AC63" s="251" t="s">
        <v>354</v>
      </c>
      <c r="AD63" s="67" t="s">
        <v>163</v>
      </c>
      <c r="AE63" s="67" t="s">
        <v>164</v>
      </c>
      <c r="AF63" s="68" t="s">
        <v>165</v>
      </c>
      <c r="AG63" s="251" t="s">
        <v>174</v>
      </c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</row>
    <row r="64" spans="1:52" x14ac:dyDescent="0.25">
      <c r="A64" s="305">
        <v>1</v>
      </c>
      <c r="B64" s="29" t="s">
        <v>88</v>
      </c>
      <c r="C64" s="58" t="s">
        <v>561</v>
      </c>
      <c r="D64" s="30" t="e">
        <f>IF($C64="","",VLOOKUP($C64,AMAPit!$A$10:$BJ$122,D$4-2,FALSE))</f>
        <v>#N/A</v>
      </c>
      <c r="E64" s="30" t="e">
        <f>IF($C64="","",VLOOKUP($C64,AMAPit!$A$10:$BJ$122,E$4-1,FALSE))</f>
        <v>#N/A</v>
      </c>
      <c r="F64" s="345" t="e">
        <f t="shared" ref="F64:F65" si="169">IF($C64="","",IF(AVERAGE(K64:M64)&gt;7,1,0))</f>
        <v>#N/A</v>
      </c>
      <c r="G64" s="339" t="e">
        <f t="shared" ref="G64:G65" si="170">IF($C64="","",IF(AVERAGE(K64:M64)&gt;6.5,1,0))</f>
        <v>#N/A</v>
      </c>
      <c r="H64" s="340" t="e">
        <f t="shared" ref="H64:H65" si="171">IF($C64="","",IF(AVERAGE(K64:M64)&gt;6,1,0))</f>
        <v>#N/A</v>
      </c>
      <c r="I64" s="91" t="e">
        <f>IF($C64="","",VLOOKUP($C64,AMAPit!$A$10:$BJ$122,I$54,FALSE))</f>
        <v>#N/A</v>
      </c>
      <c r="J64" s="339">
        <f t="shared" ref="J64:J65" si="172">IF($C64="","",COUNT(N64:Y64))</f>
        <v>0</v>
      </c>
      <c r="K64" s="345" t="e">
        <f>IF($C64="","",VLOOKUP($C64,AMAPit!$A$10:$BJ$122,K$54,FALSE))</f>
        <v>#N/A</v>
      </c>
      <c r="L64" s="339" t="e">
        <f>IF($C64="","",VLOOKUP($C64,AMAPit!$A$10:$BJ$122,L$54,FALSE))</f>
        <v>#N/A</v>
      </c>
      <c r="M64" s="340" t="e">
        <f>IF($C64="","",VLOOKUP($C64,AMAPit!$A$10:$BJ$122,M$54,FALSE))</f>
        <v>#N/A</v>
      </c>
      <c r="N64" s="339" t="e">
        <f>IF($C64="","",VLOOKUP($C64,AMAPit!$A$10:$BJ$122,N$54,FALSE))</f>
        <v>#N/A</v>
      </c>
      <c r="O64" s="339" t="e">
        <f>IF($C64="","",VLOOKUP($C64,AMAPit!$A$10:$BJ$122,O$54,FALSE))</f>
        <v>#N/A</v>
      </c>
      <c r="P64" s="339" t="e">
        <f>IF($C64="","",VLOOKUP($C64,AMAPit!$A$10:$BJ$122,P$54,FALSE))</f>
        <v>#N/A</v>
      </c>
      <c r="Q64" s="339" t="e">
        <f>IF($C64="","",VLOOKUP($C64,AMAPit!$A$10:$BJ$122,Q$54,FALSE))</f>
        <v>#N/A</v>
      </c>
      <c r="R64" s="339" t="e">
        <f>IF($C64="","",VLOOKUP($C64,AMAPit!$A$10:$BJ$122,R$54,FALSE))</f>
        <v>#N/A</v>
      </c>
      <c r="S64" s="339" t="e">
        <f>IF($C64="","",VLOOKUP($C64,AMAPit!$A$10:$BJ$122,S$54,FALSE))</f>
        <v>#N/A</v>
      </c>
      <c r="T64" s="339" t="e">
        <f>IF($C64="","",VLOOKUP($C64,AMAPit!$A$10:$BJ$122,T$54,FALSE))</f>
        <v>#N/A</v>
      </c>
      <c r="U64" s="339" t="e">
        <f>IF($C64="","",VLOOKUP($C64,AMAPit!$A$10:$BJ$122,U$54,FALSE))</f>
        <v>#N/A</v>
      </c>
      <c r="V64" s="339" t="e">
        <f>IF($C64="","",VLOOKUP($C64,AMAPit!$A$10:$BJ$122,V$54,FALSE))</f>
        <v>#N/A</v>
      </c>
      <c r="W64" s="339" t="e">
        <f>IF($C64="","",VLOOKUP($C64,AMAPit!$A$10:$BJ$122,W$54,FALSE))</f>
        <v>#N/A</v>
      </c>
      <c r="X64" s="339" t="e">
        <f>IF($C64="","",VLOOKUP($C64,AMAPit!$A$10:$BJ$122,X$54,FALSE))</f>
        <v>#N/A</v>
      </c>
      <c r="Y64" s="340" t="e">
        <f>IF($C64="","",VLOOKUP($C64,AMAPit!$A$10:$BJ$122,Y$54,FALSE))</f>
        <v>#N/A</v>
      </c>
      <c r="Z64" s="345" t="e">
        <f>IF($C64="","",VLOOKUP($C64,AMAPit!$A$10:$BJ$122,Z$54,FALSE))</f>
        <v>#N/A</v>
      </c>
      <c r="AA64" s="339" t="e">
        <f>IF($C64="","",VLOOKUP($C64,AMAPit!$A$10:$BJ$122,AA$54,FALSE))</f>
        <v>#N/A</v>
      </c>
      <c r="AB64" s="73" t="e">
        <f>IF($C64="","",VLOOKUP($C64,AMAPit!$A$10:$BJ$122,AB$54,FALSE))</f>
        <v>#N/A</v>
      </c>
      <c r="AC64" s="252" t="e">
        <f>IF($C64="","",VLOOKUP($C64,AMAPit!$A$10:$BJ$122,AC$54,FALSE))</f>
        <v>#N/A</v>
      </c>
      <c r="AD64" s="339" t="e">
        <f>IF($C64="","",VLOOKUP($C64,AMAPit!$A$10:$BJ$122,AD$54,FALSE))</f>
        <v>#N/A</v>
      </c>
      <c r="AE64" s="339" t="e">
        <f>IF($C64="","",VLOOKUP($C64,AMAPit!$A$10:$BJ$122,AE$54,FALSE))</f>
        <v>#N/A</v>
      </c>
      <c r="AF64" s="340" t="e">
        <f>IF($C64="","",VLOOKUP($C64,AMAPit!$A$10:$BJ$122,AF$54,FALSE))</f>
        <v>#N/A</v>
      </c>
      <c r="AG64" s="252" t="e">
        <f>IF($C64="","",VLOOKUP($C64,AMAPit!$A$10:$BJ$122,AG$54,FALSE))</f>
        <v>#N/A</v>
      </c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</row>
    <row r="65" spans="1:52" x14ac:dyDescent="0.25">
      <c r="A65" s="305">
        <v>2</v>
      </c>
      <c r="B65" s="32" t="s">
        <v>107</v>
      </c>
      <c r="C65" s="282"/>
      <c r="D65" s="33" t="str">
        <f>IF($C65="","",VLOOKUP($C65,AMAPit!$A$10:$BJ$122,D$4-2,FALSE))</f>
        <v/>
      </c>
      <c r="E65" s="33" t="str">
        <f>IF($C65="","",VLOOKUP($C65,AMAPit!$A$10:$BJ$125,E$4-1,FALSE))</f>
        <v/>
      </c>
      <c r="F65" s="47" t="str">
        <f t="shared" si="169"/>
        <v/>
      </c>
      <c r="G65" s="337" t="str">
        <f t="shared" si="170"/>
        <v/>
      </c>
      <c r="H65" s="338" t="str">
        <f t="shared" si="171"/>
        <v/>
      </c>
      <c r="I65" s="93" t="str">
        <f>IF($C65="","",VLOOKUP($C65,AMAPit!$A$10:$BJ$122,I$54,FALSE))</f>
        <v/>
      </c>
      <c r="J65" s="337" t="str">
        <f t="shared" si="172"/>
        <v/>
      </c>
      <c r="K65" s="47" t="str">
        <f>IF($C65="","",VLOOKUP($C65,AMAPit!$A$10:$BJ$122,K$54,FALSE))</f>
        <v/>
      </c>
      <c r="L65" s="337" t="str">
        <f>IF($C65="","",VLOOKUP($C65,AMAPit!$A$10:$BJ$122,L$54,FALSE))</f>
        <v/>
      </c>
      <c r="M65" s="338" t="str">
        <f>IF($C65="","",VLOOKUP($C65,AMAPit!$A$10:$BJ$122,M$54,FALSE))</f>
        <v/>
      </c>
      <c r="N65" s="337" t="str">
        <f>IF($C65="","",VLOOKUP($C65,AMAPit!$A$10:$BJ$122,N$54,FALSE))</f>
        <v/>
      </c>
      <c r="O65" s="337" t="str">
        <f>IF($C65="","",VLOOKUP($C65,AMAPit!$A$10:$BJ$122,O$54,FALSE))</f>
        <v/>
      </c>
      <c r="P65" s="337" t="str">
        <f>IF($C65="","",VLOOKUP($C65,AMAPit!$A$10:$BJ$122,P$54,FALSE))</f>
        <v/>
      </c>
      <c r="Q65" s="337" t="str">
        <f>IF($C65="","",VLOOKUP($C65,AMAPit!$A$10:$BJ$122,Q$54,FALSE))</f>
        <v/>
      </c>
      <c r="R65" s="337" t="str">
        <f>IF($C65="","",VLOOKUP($C65,AMAPit!$A$10:$BJ$122,R$54,FALSE))</f>
        <v/>
      </c>
      <c r="S65" s="337" t="str">
        <f>IF($C65="","",VLOOKUP($C65,AMAPit!$A$10:$BJ$122,S$54,FALSE))</f>
        <v/>
      </c>
      <c r="T65" s="337" t="str">
        <f>IF($C65="","",VLOOKUP($C65,AMAPit!$A$10:$BJ$122,T$54,FALSE))</f>
        <v/>
      </c>
      <c r="U65" s="337" t="str">
        <f>IF($C65="","",VLOOKUP($C65,AMAPit!$A$10:$BJ$122,U$54,FALSE))</f>
        <v/>
      </c>
      <c r="V65" s="337" t="str">
        <f>IF($C65="","",VLOOKUP($C65,AMAPit!$A$10:$BJ$122,V$54,FALSE))</f>
        <v/>
      </c>
      <c r="W65" s="337" t="str">
        <f>IF($C65="","",VLOOKUP($C65,AMAPit!$A$10:$BJ$122,W$54,FALSE))</f>
        <v/>
      </c>
      <c r="X65" s="337" t="str">
        <f>IF($C65="","",VLOOKUP($C65,AMAPit!$A$10:$BJ$122,X$54,FALSE))</f>
        <v/>
      </c>
      <c r="Y65" s="338" t="str">
        <f>IF($C65="","",VLOOKUP($C65,AMAPit!$A$10:$BJ$122,Y$54,FALSE))</f>
        <v/>
      </c>
      <c r="Z65" s="47" t="str">
        <f>IF($C65="","",VLOOKUP($C65,AMAPit!$A$10:$BJ$122,Z$54,FALSE))</f>
        <v/>
      </c>
      <c r="AA65" s="337" t="str">
        <f>IF($C65="","",VLOOKUP($C65,AMAPit!$A$10:$BJ$122,AA$54,FALSE))</f>
        <v/>
      </c>
      <c r="AB65" s="74" t="str">
        <f>IF($C65="","",VLOOKUP($C65,AMAPit!$A$10:$BJ$122,AB$54,FALSE))</f>
        <v/>
      </c>
      <c r="AC65" s="61" t="str">
        <f>IF($C65="","",VLOOKUP($C65,AMAPit!$A$10:$BJ$122,AC$54,FALSE))</f>
        <v/>
      </c>
      <c r="AD65" s="337" t="str">
        <f>IF($C65="","",VLOOKUP($C65,AMAPit!$A$10:$BJ$122,AD$54,FALSE))</f>
        <v/>
      </c>
      <c r="AE65" s="337" t="str">
        <f>IF($C65="","",VLOOKUP($C65,AMAPit!$A$10:$BJ$122,AE$54,FALSE))</f>
        <v/>
      </c>
      <c r="AF65" s="338" t="str">
        <f>IF($C65="","",VLOOKUP($C65,AMAPit!$A$10:$BJ$122,AF$54,FALSE))</f>
        <v/>
      </c>
      <c r="AG65" s="61" t="str">
        <f>IF($C65="","",VLOOKUP($C65,AMAPit!$A$10:$BJ$122,AG$54,FALSE))</f>
        <v/>
      </c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</row>
    <row r="66" spans="1:52" x14ac:dyDescent="0.25">
      <c r="A66" s="305"/>
      <c r="C66" s="280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39"/>
      <c r="AA66" s="339"/>
      <c r="AB66" s="339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</row>
    <row r="67" spans="1:52" ht="57" x14ac:dyDescent="0.25">
      <c r="A67" s="18" t="s">
        <v>170</v>
      </c>
      <c r="B67" s="341" t="s">
        <v>108</v>
      </c>
      <c r="C67" s="281" t="s">
        <v>96</v>
      </c>
      <c r="D67" s="37" t="s">
        <v>70</v>
      </c>
      <c r="E67" s="37" t="s">
        <v>81</v>
      </c>
      <c r="F67" s="48" t="s">
        <v>167</v>
      </c>
      <c r="G67" s="40" t="s">
        <v>168</v>
      </c>
      <c r="H67" s="49" t="s">
        <v>169</v>
      </c>
      <c r="I67" s="69" t="s">
        <v>189</v>
      </c>
      <c r="J67" s="40" t="s">
        <v>166</v>
      </c>
      <c r="K67" s="72" t="s">
        <v>163</v>
      </c>
      <c r="L67" s="67" t="s">
        <v>164</v>
      </c>
      <c r="M67" s="68" t="s">
        <v>165</v>
      </c>
      <c r="N67" s="67" t="s">
        <v>40</v>
      </c>
      <c r="O67" s="67" t="s">
        <v>42</v>
      </c>
      <c r="P67" s="67" t="s">
        <v>44</v>
      </c>
      <c r="Q67" s="67" t="s">
        <v>46</v>
      </c>
      <c r="R67" s="67" t="s">
        <v>48</v>
      </c>
      <c r="S67" s="67" t="s">
        <v>87</v>
      </c>
      <c r="T67" s="67" t="s">
        <v>51</v>
      </c>
      <c r="U67" s="67" t="s">
        <v>53</v>
      </c>
      <c r="V67" s="67" t="s">
        <v>55</v>
      </c>
      <c r="W67" s="67" t="s">
        <v>57</v>
      </c>
      <c r="X67" s="67" t="s">
        <v>59</v>
      </c>
      <c r="Y67" s="68" t="s">
        <v>61</v>
      </c>
      <c r="Z67" s="72" t="s">
        <v>176</v>
      </c>
      <c r="AA67" s="67" t="s">
        <v>175</v>
      </c>
      <c r="AB67" s="68" t="s">
        <v>177</v>
      </c>
      <c r="AC67" s="251" t="s">
        <v>354</v>
      </c>
      <c r="AD67" s="67" t="s">
        <v>163</v>
      </c>
      <c r="AE67" s="67" t="s">
        <v>164</v>
      </c>
      <c r="AF67" s="68" t="s">
        <v>165</v>
      </c>
      <c r="AG67" s="251" t="s">
        <v>174</v>
      </c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</row>
    <row r="68" spans="1:52" x14ac:dyDescent="0.25">
      <c r="A68" s="305">
        <v>1</v>
      </c>
      <c r="B68" s="29" t="s">
        <v>109</v>
      </c>
      <c r="C68" s="58"/>
      <c r="D68" s="30" t="str">
        <f>IF($C68="","",VLOOKUP($C68,AMAPit!$A$10:$BJ$122,D$4-2,FALSE))</f>
        <v/>
      </c>
      <c r="E68" s="30" t="str">
        <f>IF($C68="","",VLOOKUP($C68,AMAPit!$A$10:$BJ$125,E$4-1,FALSE))</f>
        <v/>
      </c>
      <c r="F68" s="345" t="str">
        <f t="shared" ref="F68:F77" si="173">IF($C68="","",IF(AVERAGE(K68:M68)&gt;7,1,0))</f>
        <v/>
      </c>
      <c r="G68" s="339" t="str">
        <f t="shared" ref="G68:G77" si="174">IF($C68="","",IF(AVERAGE(K68:M68)&gt;6.5,1,0))</f>
        <v/>
      </c>
      <c r="H68" s="340" t="str">
        <f t="shared" ref="H68:H77" si="175">IF($C68="","",IF(AVERAGE(K68:M68)&gt;6,1,0))</f>
        <v/>
      </c>
      <c r="I68" s="92" t="str">
        <f>IF($C68="","",VLOOKUP($C68,AMAPit!$A$10:$BJ$122,I$54,FALSE))</f>
        <v/>
      </c>
      <c r="J68" s="339" t="str">
        <f t="shared" ref="J68:J77" si="176">IF($C68="","",COUNT(N68:Y68))</f>
        <v/>
      </c>
      <c r="K68" s="345" t="str">
        <f>IF($C68="","",VLOOKUP($C68,AMAPit!$A$10:$BJ$122,K$54,FALSE))</f>
        <v/>
      </c>
      <c r="L68" s="339" t="str">
        <f>IF($C68="","",VLOOKUP($C68,AMAPit!$A$10:$BJ$122,L$54,FALSE))</f>
        <v/>
      </c>
      <c r="M68" s="340" t="str">
        <f>IF($C68="","",VLOOKUP($C68,AMAPit!$A$10:$BJ$122,M$54,FALSE))</f>
        <v/>
      </c>
      <c r="N68" s="339" t="str">
        <f>IF($C68="","",VLOOKUP($C68,AMAPit!$A$10:$BJ$122,N$54,FALSE))</f>
        <v/>
      </c>
      <c r="O68" s="339" t="str">
        <f>IF($C68="","",VLOOKUP($C68,AMAPit!$A$10:$BJ$122,O$54,FALSE))</f>
        <v/>
      </c>
      <c r="P68" s="339" t="str">
        <f>IF($C68="","",VLOOKUP($C68,AMAPit!$A$10:$BJ$122,P$54,FALSE))</f>
        <v/>
      </c>
      <c r="Q68" s="339" t="str">
        <f>IF($C68="","",VLOOKUP($C68,AMAPit!$A$10:$BJ$122,Q$54,FALSE))</f>
        <v/>
      </c>
      <c r="R68" s="339" t="str">
        <f>IF($C68="","",VLOOKUP($C68,AMAPit!$A$10:$BJ$122,R$54,FALSE))</f>
        <v/>
      </c>
      <c r="S68" s="339" t="str">
        <f>IF($C68="","",VLOOKUP($C68,AMAPit!$A$10:$BJ$122,S$54,FALSE))</f>
        <v/>
      </c>
      <c r="T68" s="339" t="str">
        <f>IF($C68="","",VLOOKUP($C68,AMAPit!$A$10:$BJ$122,T$54,FALSE))</f>
        <v/>
      </c>
      <c r="U68" s="339" t="str">
        <f>IF($C68="","",VLOOKUP($C68,AMAPit!$A$10:$BJ$122,U$54,FALSE))</f>
        <v/>
      </c>
      <c r="V68" s="339" t="str">
        <f>IF($C68="","",VLOOKUP($C68,AMAPit!$A$10:$BJ$122,V$54,FALSE))</f>
        <v/>
      </c>
      <c r="W68" s="339" t="str">
        <f>IF($C68="","",VLOOKUP($C68,AMAPit!$A$10:$BJ$122,W$54,FALSE))</f>
        <v/>
      </c>
      <c r="X68" s="339" t="str">
        <f>IF($C68="","",VLOOKUP($C68,AMAPit!$A$10:$BJ$122,X$54,FALSE))</f>
        <v/>
      </c>
      <c r="Y68" s="340" t="str">
        <f>IF($C68="","",VLOOKUP($C68,AMAPit!$A$10:$BJ$122,Y$54,FALSE))</f>
        <v/>
      </c>
      <c r="Z68" s="345" t="str">
        <f>IF($C68="","",VLOOKUP($C68,AMAPit!$A$10:$BJ$122,Z$54,FALSE))</f>
        <v/>
      </c>
      <c r="AA68" s="339" t="str">
        <f>IF($C68="","",VLOOKUP($C68,AMAPit!$A$10:$BJ$122,AA$54,FALSE))</f>
        <v/>
      </c>
      <c r="AB68" s="73" t="str">
        <f>IF($C68="","",VLOOKUP($C68,AMAPit!$A$10:$BJ$122,AB$54,FALSE))</f>
        <v/>
      </c>
      <c r="AC68" s="252" t="str">
        <f>IF($C68="","",VLOOKUP($C68,AMAPit!$A$10:$BJ$122,AC$54,FALSE))</f>
        <v/>
      </c>
      <c r="AD68" s="339" t="str">
        <f>IF($C68="","",VLOOKUP($C68,AMAPit!$A$10:$BJ$122,AD$54,FALSE))</f>
        <v/>
      </c>
      <c r="AE68" s="339" t="str">
        <f>IF($C68="","",VLOOKUP($C68,AMAPit!$A$10:$BJ$122,AE$54,FALSE))</f>
        <v/>
      </c>
      <c r="AF68" s="340" t="str">
        <f>IF($C68="","",VLOOKUP($C68,AMAPit!$A$10:$BJ$122,AF$54,FALSE))</f>
        <v/>
      </c>
      <c r="AG68" s="252" t="str">
        <f>IF($C68="","",VLOOKUP($C68,AMAPit!$A$10:$BJ$122,AG$54,FALSE))</f>
        <v/>
      </c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</row>
    <row r="69" spans="1:52" x14ac:dyDescent="0.25">
      <c r="A69" s="305">
        <v>2</v>
      </c>
      <c r="B69" s="29" t="s">
        <v>110</v>
      </c>
      <c r="C69" s="58" t="s">
        <v>563</v>
      </c>
      <c r="D69" s="30" t="e">
        <f>IF($C69="","",VLOOKUP($C69,AMAPit!$A$10:$BJ$122,D$4-2,FALSE))</f>
        <v>#N/A</v>
      </c>
      <c r="E69" s="30" t="e">
        <f>IF($C69="","",VLOOKUP($C69,AMAPit!$A$10:$BJ$122,E$4-1,FALSE))</f>
        <v>#N/A</v>
      </c>
      <c r="F69" s="345" t="e">
        <f t="shared" si="173"/>
        <v>#N/A</v>
      </c>
      <c r="G69" s="339" t="e">
        <f t="shared" si="174"/>
        <v>#N/A</v>
      </c>
      <c r="H69" s="340" t="e">
        <f t="shared" si="175"/>
        <v>#N/A</v>
      </c>
      <c r="I69" s="92" t="e">
        <f>IF($C69="","",VLOOKUP($C69,AMAPit!$A$10:$BJ$122,I$54,FALSE))</f>
        <v>#N/A</v>
      </c>
      <c r="J69" s="339">
        <f t="shared" si="176"/>
        <v>0</v>
      </c>
      <c r="K69" s="345" t="e">
        <f>IF($C69="","",VLOOKUP($C69,AMAPit!$A$10:$BJ$122,K$54,FALSE))</f>
        <v>#N/A</v>
      </c>
      <c r="L69" s="339" t="e">
        <f>IF($C69="","",VLOOKUP($C69,AMAPit!$A$10:$BJ$122,L$54,FALSE))</f>
        <v>#N/A</v>
      </c>
      <c r="M69" s="340" t="e">
        <f>IF($C69="","",VLOOKUP($C69,AMAPit!$A$10:$BJ$122,M$54,FALSE))</f>
        <v>#N/A</v>
      </c>
      <c r="N69" s="339" t="e">
        <f>IF($C69="","",VLOOKUP($C69,AMAPit!$A$10:$BJ$122,N$54,FALSE))</f>
        <v>#N/A</v>
      </c>
      <c r="O69" s="339" t="e">
        <f>IF($C69="","",VLOOKUP($C69,AMAPit!$A$10:$BJ$122,O$54,FALSE))</f>
        <v>#N/A</v>
      </c>
      <c r="P69" s="339" t="e">
        <f>IF($C69="","",VLOOKUP($C69,AMAPit!$A$10:$BJ$122,P$54,FALSE))</f>
        <v>#N/A</v>
      </c>
      <c r="Q69" s="339" t="e">
        <f>IF($C69="","",VLOOKUP($C69,AMAPit!$A$10:$BJ$122,Q$54,FALSE))</f>
        <v>#N/A</v>
      </c>
      <c r="R69" s="339" t="e">
        <f>IF($C69="","",VLOOKUP($C69,AMAPit!$A$10:$BJ$122,R$54,FALSE))</f>
        <v>#N/A</v>
      </c>
      <c r="S69" s="339" t="e">
        <f>IF($C69="","",VLOOKUP($C69,AMAPit!$A$10:$BJ$122,S$54,FALSE))</f>
        <v>#N/A</v>
      </c>
      <c r="T69" s="339" t="e">
        <f>IF($C69="","",VLOOKUP($C69,AMAPit!$A$10:$BJ$122,T$54,FALSE))</f>
        <v>#N/A</v>
      </c>
      <c r="U69" s="339" t="e">
        <f>IF($C69="","",VLOOKUP($C69,AMAPit!$A$10:$BJ$122,U$54,FALSE))</f>
        <v>#N/A</v>
      </c>
      <c r="V69" s="339" t="e">
        <f>IF($C69="","",VLOOKUP($C69,AMAPit!$A$10:$BJ$122,V$54,FALSE))</f>
        <v>#N/A</v>
      </c>
      <c r="W69" s="339" t="e">
        <f>IF($C69="","",VLOOKUP($C69,AMAPit!$A$10:$BJ$122,W$54,FALSE))</f>
        <v>#N/A</v>
      </c>
      <c r="X69" s="339" t="e">
        <f>IF($C69="","",VLOOKUP($C69,AMAPit!$A$10:$BJ$122,X$54,FALSE))</f>
        <v>#N/A</v>
      </c>
      <c r="Y69" s="340" t="e">
        <f>IF($C69="","",VLOOKUP($C69,AMAPit!$A$10:$BJ$122,Y$54,FALSE))</f>
        <v>#N/A</v>
      </c>
      <c r="Z69" s="345" t="e">
        <f>IF($C69="","",VLOOKUP($C69,AMAPit!$A$10:$BJ$122,Z$54,FALSE))</f>
        <v>#N/A</v>
      </c>
      <c r="AA69" s="339" t="e">
        <f>IF($C69="","",VLOOKUP($C69,AMAPit!$A$10:$BJ$122,AA$54,FALSE))</f>
        <v>#N/A</v>
      </c>
      <c r="AB69" s="73" t="e">
        <f>IF($C69="","",VLOOKUP($C69,AMAPit!$A$10:$BJ$122,AB$54,FALSE))</f>
        <v>#N/A</v>
      </c>
      <c r="AC69" s="60" t="e">
        <f>IF($C69="","",VLOOKUP($C69,AMAPit!$A$10:$BJ$122,AC$54,FALSE))</f>
        <v>#N/A</v>
      </c>
      <c r="AD69" s="339" t="e">
        <f>IF($C69="","",VLOOKUP($C69,AMAPit!$A$10:$BJ$122,AD$54,FALSE))</f>
        <v>#N/A</v>
      </c>
      <c r="AE69" s="339" t="e">
        <f>IF($C69="","",VLOOKUP($C69,AMAPit!$A$10:$BJ$122,AE$54,FALSE))</f>
        <v>#N/A</v>
      </c>
      <c r="AF69" s="340" t="e">
        <f>IF($C69="","",VLOOKUP($C69,AMAPit!$A$10:$BJ$122,AF$54,FALSE))</f>
        <v>#N/A</v>
      </c>
      <c r="AG69" s="60" t="e">
        <f>IF($C69="","",VLOOKUP($C69,AMAPit!$A$10:$BJ$122,AG$54,FALSE))</f>
        <v>#N/A</v>
      </c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</row>
    <row r="70" spans="1:52" x14ac:dyDescent="0.25">
      <c r="A70" s="305">
        <v>3</v>
      </c>
      <c r="B70" s="29" t="s">
        <v>11</v>
      </c>
      <c r="C70" s="58" t="s">
        <v>736</v>
      </c>
      <c r="D70" s="30" t="e">
        <f>IF($C70="","",VLOOKUP($C70,AMAPit!$A$10:$BJ$122,D$4-2,FALSE))</f>
        <v>#N/A</v>
      </c>
      <c r="E70" s="30" t="e">
        <f>IF($C70="","",VLOOKUP($C70,AMAPit!$A$10:$BJ$122,E$4-1,FALSE))</f>
        <v>#N/A</v>
      </c>
      <c r="F70" s="345" t="e">
        <f t="shared" si="173"/>
        <v>#N/A</v>
      </c>
      <c r="G70" s="339" t="e">
        <f t="shared" si="174"/>
        <v>#N/A</v>
      </c>
      <c r="H70" s="340" t="e">
        <f t="shared" si="175"/>
        <v>#N/A</v>
      </c>
      <c r="I70" s="92" t="e">
        <f>IF($C70="","",VLOOKUP($C70,AMAPit!$A$10:$BJ$122,I$54,FALSE))</f>
        <v>#N/A</v>
      </c>
      <c r="J70" s="339">
        <f t="shared" si="176"/>
        <v>0</v>
      </c>
      <c r="K70" s="345" t="e">
        <f>IF($C70="","",VLOOKUP($C70,AMAPit!$A$10:$BJ$122,K$54,FALSE))</f>
        <v>#N/A</v>
      </c>
      <c r="L70" s="339" t="e">
        <f>IF($C70="","",VLOOKUP($C70,AMAPit!$A$10:$BJ$122,L$54,FALSE))</f>
        <v>#N/A</v>
      </c>
      <c r="M70" s="340" t="e">
        <f>IF($C70="","",VLOOKUP($C70,AMAPit!$A$10:$BJ$122,M$54,FALSE))</f>
        <v>#N/A</v>
      </c>
      <c r="N70" s="339" t="e">
        <f>IF($C70="","",VLOOKUP($C70,AMAPit!$A$10:$BJ$122,N$54,FALSE))</f>
        <v>#N/A</v>
      </c>
      <c r="O70" s="339" t="e">
        <f>IF($C70="","",VLOOKUP($C70,AMAPit!$A$10:$BJ$122,O$54,FALSE))</f>
        <v>#N/A</v>
      </c>
      <c r="P70" s="339" t="e">
        <f>IF($C70="","",VLOOKUP($C70,AMAPit!$A$10:$BJ$122,P$54,FALSE))</f>
        <v>#N/A</v>
      </c>
      <c r="Q70" s="339" t="e">
        <f>IF($C70="","",VLOOKUP($C70,AMAPit!$A$10:$BJ$122,Q$54,FALSE))</f>
        <v>#N/A</v>
      </c>
      <c r="R70" s="339" t="e">
        <f>IF($C70="","",VLOOKUP($C70,AMAPit!$A$10:$BJ$122,R$54,FALSE))</f>
        <v>#N/A</v>
      </c>
      <c r="S70" s="339" t="e">
        <f>IF($C70="","",VLOOKUP($C70,AMAPit!$A$10:$BJ$122,S$54,FALSE))</f>
        <v>#N/A</v>
      </c>
      <c r="T70" s="339" t="e">
        <f>IF($C70="","",VLOOKUP($C70,AMAPit!$A$10:$BJ$122,T$54,FALSE))</f>
        <v>#N/A</v>
      </c>
      <c r="U70" s="339" t="e">
        <f>IF($C70="","",VLOOKUP($C70,AMAPit!$A$10:$BJ$122,U$54,FALSE))</f>
        <v>#N/A</v>
      </c>
      <c r="V70" s="339" t="e">
        <f>IF($C70="","",VLOOKUP($C70,AMAPit!$A$10:$BJ$122,V$54,FALSE))</f>
        <v>#N/A</v>
      </c>
      <c r="W70" s="339" t="e">
        <f>IF($C70="","",VLOOKUP($C70,AMAPit!$A$10:$BJ$122,W$54,FALSE))</f>
        <v>#N/A</v>
      </c>
      <c r="X70" s="339" t="e">
        <f>IF($C70="","",VLOOKUP($C70,AMAPit!$A$10:$BJ$122,X$54,FALSE))</f>
        <v>#N/A</v>
      </c>
      <c r="Y70" s="340" t="e">
        <f>IF($C70="","",VLOOKUP($C70,AMAPit!$A$10:$BJ$122,Y$54,FALSE))</f>
        <v>#N/A</v>
      </c>
      <c r="Z70" s="345" t="e">
        <f>IF($C70="","",VLOOKUP($C70,AMAPit!$A$10:$BJ$122,Z$54,FALSE))</f>
        <v>#N/A</v>
      </c>
      <c r="AA70" s="339" t="e">
        <f>IF($C70="","",VLOOKUP($C70,AMAPit!$A$10:$BJ$122,AA$54,FALSE))</f>
        <v>#N/A</v>
      </c>
      <c r="AB70" s="73" t="e">
        <f>IF($C70="","",VLOOKUP($C70,AMAPit!$A$10:$BJ$122,AB$54,FALSE))</f>
        <v>#N/A</v>
      </c>
      <c r="AC70" s="60" t="e">
        <f>IF($C70="","",VLOOKUP($C70,AMAPit!$A$10:$BJ$122,AC$54,FALSE))</f>
        <v>#N/A</v>
      </c>
      <c r="AD70" s="339" t="e">
        <f>IF($C70="","",VLOOKUP($C70,AMAPit!$A$10:$BJ$122,AD$54,FALSE))</f>
        <v>#N/A</v>
      </c>
      <c r="AE70" s="339" t="e">
        <f>IF($C70="","",VLOOKUP($C70,AMAPit!$A$10:$BJ$122,AE$54,FALSE))</f>
        <v>#N/A</v>
      </c>
      <c r="AF70" s="340" t="e">
        <f>IF($C70="","",VLOOKUP($C70,AMAPit!$A$10:$BJ$122,AF$54,FALSE))</f>
        <v>#N/A</v>
      </c>
      <c r="AG70" s="60" t="e">
        <f>IF($C70="","",VLOOKUP($C70,AMAPit!$A$10:$BJ$122,AG$54,FALSE))</f>
        <v>#N/A</v>
      </c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</row>
    <row r="71" spans="1:52" x14ac:dyDescent="0.25">
      <c r="A71" s="305">
        <v>4</v>
      </c>
      <c r="B71" s="29" t="s">
        <v>11</v>
      </c>
      <c r="C71" s="58" t="s">
        <v>737</v>
      </c>
      <c r="D71" s="30" t="e">
        <f>IF($C71="","",VLOOKUP($C71,AMAPit!$A$10:$BJ$122,D$4-2,FALSE))</f>
        <v>#N/A</v>
      </c>
      <c r="E71" s="30" t="e">
        <f>IF($C71="","",VLOOKUP($C71,AMAPit!$A$10:$BJ$122,E$4-1,FALSE))</f>
        <v>#N/A</v>
      </c>
      <c r="F71" s="345" t="e">
        <f t="shared" si="173"/>
        <v>#N/A</v>
      </c>
      <c r="G71" s="339" t="e">
        <f t="shared" si="174"/>
        <v>#N/A</v>
      </c>
      <c r="H71" s="340" t="e">
        <f t="shared" si="175"/>
        <v>#N/A</v>
      </c>
      <c r="I71" s="92" t="e">
        <f>IF($C71="","",VLOOKUP($C71,AMAPit!$A$10:$BJ$122,I$54,FALSE))</f>
        <v>#N/A</v>
      </c>
      <c r="J71" s="339">
        <f t="shared" si="176"/>
        <v>0</v>
      </c>
      <c r="K71" s="345" t="e">
        <f>IF($C71="","",VLOOKUP($C71,AMAPit!$A$10:$BJ$122,K$54,FALSE))</f>
        <v>#N/A</v>
      </c>
      <c r="L71" s="339" t="e">
        <f>IF($C71="","",VLOOKUP($C71,AMAPit!$A$10:$BJ$122,L$54,FALSE))</f>
        <v>#N/A</v>
      </c>
      <c r="M71" s="340" t="e">
        <f>IF($C71="","",VLOOKUP($C71,AMAPit!$A$10:$BJ$122,M$54,FALSE))</f>
        <v>#N/A</v>
      </c>
      <c r="N71" s="339" t="e">
        <f>IF($C71="","",VLOOKUP($C71,AMAPit!$A$10:$BJ$122,N$54,FALSE))</f>
        <v>#N/A</v>
      </c>
      <c r="O71" s="339" t="e">
        <f>IF($C71="","",VLOOKUP($C71,AMAPit!$A$10:$BJ$122,O$54,FALSE))</f>
        <v>#N/A</v>
      </c>
      <c r="P71" s="339" t="e">
        <f>IF($C71="","",VLOOKUP($C71,AMAPit!$A$10:$BJ$122,P$54,FALSE))</f>
        <v>#N/A</v>
      </c>
      <c r="Q71" s="339" t="e">
        <f>IF($C71="","",VLOOKUP($C71,AMAPit!$A$10:$BJ$122,Q$54,FALSE))</f>
        <v>#N/A</v>
      </c>
      <c r="R71" s="339" t="e">
        <f>IF($C71="","",VLOOKUP($C71,AMAPit!$A$10:$BJ$122,R$54,FALSE))</f>
        <v>#N/A</v>
      </c>
      <c r="S71" s="339" t="e">
        <f>IF($C71="","",VLOOKUP($C71,AMAPit!$A$10:$BJ$122,S$54,FALSE))</f>
        <v>#N/A</v>
      </c>
      <c r="T71" s="339" t="e">
        <f>IF($C71="","",VLOOKUP($C71,AMAPit!$A$10:$BJ$122,T$54,FALSE))</f>
        <v>#N/A</v>
      </c>
      <c r="U71" s="339" t="e">
        <f>IF($C71="","",VLOOKUP($C71,AMAPit!$A$10:$BJ$122,U$54,FALSE))</f>
        <v>#N/A</v>
      </c>
      <c r="V71" s="339" t="e">
        <f>IF($C71="","",VLOOKUP($C71,AMAPit!$A$10:$BJ$122,V$54,FALSE))</f>
        <v>#N/A</v>
      </c>
      <c r="W71" s="339" t="e">
        <f>IF($C71="","",VLOOKUP($C71,AMAPit!$A$10:$BJ$122,W$54,FALSE))</f>
        <v>#N/A</v>
      </c>
      <c r="X71" s="339" t="e">
        <f>IF($C71="","",VLOOKUP($C71,AMAPit!$A$10:$BJ$122,X$54,FALSE))</f>
        <v>#N/A</v>
      </c>
      <c r="Y71" s="340" t="e">
        <f>IF($C71="","",VLOOKUP($C71,AMAPit!$A$10:$BJ$122,Y$54,FALSE))</f>
        <v>#N/A</v>
      </c>
      <c r="Z71" s="345" t="e">
        <f>IF($C71="","",VLOOKUP($C71,AMAPit!$A$10:$BJ$122,Z$54,FALSE))</f>
        <v>#N/A</v>
      </c>
      <c r="AA71" s="339" t="e">
        <f>IF($C71="","",VLOOKUP($C71,AMAPit!$A$10:$BJ$122,AA$54,FALSE))</f>
        <v>#N/A</v>
      </c>
      <c r="AB71" s="73" t="e">
        <f>IF($C71="","",VLOOKUP($C71,AMAPit!$A$10:$BJ$122,AB$54,FALSE))</f>
        <v>#N/A</v>
      </c>
      <c r="AC71" s="60" t="e">
        <f>IF($C71="","",VLOOKUP($C71,AMAPit!$A$10:$BJ$122,AC$54,FALSE))</f>
        <v>#N/A</v>
      </c>
      <c r="AD71" s="339" t="e">
        <f>IF($C71="","",VLOOKUP($C71,AMAPit!$A$10:$BJ$122,AD$54,FALSE))</f>
        <v>#N/A</v>
      </c>
      <c r="AE71" s="339" t="e">
        <f>IF($C71="","",VLOOKUP($C71,AMAPit!$A$10:$BJ$122,AE$54,FALSE))</f>
        <v>#N/A</v>
      </c>
      <c r="AF71" s="340" t="e">
        <f>IF($C71="","",VLOOKUP($C71,AMAPit!$A$10:$BJ$122,AF$54,FALSE))</f>
        <v>#N/A</v>
      </c>
      <c r="AG71" s="60" t="e">
        <f>IF($C71="","",VLOOKUP($C71,AMAPit!$A$10:$BJ$122,AG$54,FALSE))</f>
        <v>#N/A</v>
      </c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</row>
    <row r="72" spans="1:52" x14ac:dyDescent="0.25">
      <c r="A72" s="305">
        <v>5</v>
      </c>
      <c r="B72" s="29" t="s">
        <v>11</v>
      </c>
      <c r="C72" s="58" t="s">
        <v>738</v>
      </c>
      <c r="D72" s="30" t="e">
        <f>IF($C72="","",VLOOKUP($C72,AMAPit!$A$10:$BJ$122,D$4-2,FALSE))</f>
        <v>#N/A</v>
      </c>
      <c r="E72" s="30" t="e">
        <f>IF($C72="","",VLOOKUP($C72,AMAPit!$A$10:$BJ$122,E$4-1,FALSE))</f>
        <v>#N/A</v>
      </c>
      <c r="F72" s="345" t="e">
        <f t="shared" si="173"/>
        <v>#N/A</v>
      </c>
      <c r="G72" s="339" t="e">
        <f t="shared" si="174"/>
        <v>#N/A</v>
      </c>
      <c r="H72" s="340" t="e">
        <f t="shared" si="175"/>
        <v>#N/A</v>
      </c>
      <c r="I72" s="92" t="e">
        <f>IF($C72="","",VLOOKUP($C72,AMAPit!$A$10:$BJ$122,I$54,FALSE))</f>
        <v>#N/A</v>
      </c>
      <c r="J72" s="339">
        <f t="shared" si="176"/>
        <v>0</v>
      </c>
      <c r="K72" s="345" t="e">
        <f>IF($C72="","",VLOOKUP($C72,AMAPit!$A$10:$BJ$122,K$54,FALSE))</f>
        <v>#N/A</v>
      </c>
      <c r="L72" s="339" t="e">
        <f>IF($C72="","",VLOOKUP($C72,AMAPit!$A$10:$BJ$122,L$54,FALSE))</f>
        <v>#N/A</v>
      </c>
      <c r="M72" s="340" t="e">
        <f>IF($C72="","",VLOOKUP($C72,AMAPit!$A$10:$BJ$122,M$54,FALSE))</f>
        <v>#N/A</v>
      </c>
      <c r="N72" s="339" t="e">
        <f>IF($C72="","",VLOOKUP($C72,AMAPit!$A$10:$BJ$122,N$54,FALSE))</f>
        <v>#N/A</v>
      </c>
      <c r="O72" s="339" t="e">
        <f>IF($C72="","",VLOOKUP($C72,AMAPit!$A$10:$BJ$122,O$54,FALSE))</f>
        <v>#N/A</v>
      </c>
      <c r="P72" s="339" t="e">
        <f>IF($C72="","",VLOOKUP($C72,AMAPit!$A$10:$BJ$122,P$54,FALSE))</f>
        <v>#N/A</v>
      </c>
      <c r="Q72" s="339" t="e">
        <f>IF($C72="","",VLOOKUP($C72,AMAPit!$A$10:$BJ$122,Q$54,FALSE))</f>
        <v>#N/A</v>
      </c>
      <c r="R72" s="339" t="e">
        <f>IF($C72="","",VLOOKUP($C72,AMAPit!$A$10:$BJ$122,R$54,FALSE))</f>
        <v>#N/A</v>
      </c>
      <c r="S72" s="339" t="e">
        <f>IF($C72="","",VLOOKUP($C72,AMAPit!$A$10:$BJ$122,S$54,FALSE))</f>
        <v>#N/A</v>
      </c>
      <c r="T72" s="339" t="e">
        <f>IF($C72="","",VLOOKUP($C72,AMAPit!$A$10:$BJ$122,T$54,FALSE))</f>
        <v>#N/A</v>
      </c>
      <c r="U72" s="339" t="e">
        <f>IF($C72="","",VLOOKUP($C72,AMAPit!$A$10:$BJ$122,U$54,FALSE))</f>
        <v>#N/A</v>
      </c>
      <c r="V72" s="339" t="e">
        <f>IF($C72="","",VLOOKUP($C72,AMAPit!$A$10:$BJ$122,V$54,FALSE))</f>
        <v>#N/A</v>
      </c>
      <c r="W72" s="339" t="e">
        <f>IF($C72="","",VLOOKUP($C72,AMAPit!$A$10:$BJ$122,W$54,FALSE))</f>
        <v>#N/A</v>
      </c>
      <c r="X72" s="339" t="e">
        <f>IF($C72="","",VLOOKUP($C72,AMAPit!$A$10:$BJ$122,X$54,FALSE))</f>
        <v>#N/A</v>
      </c>
      <c r="Y72" s="340" t="e">
        <f>IF($C72="","",VLOOKUP($C72,AMAPit!$A$10:$BJ$122,Y$54,FALSE))</f>
        <v>#N/A</v>
      </c>
      <c r="Z72" s="345" t="e">
        <f>IF($C72="","",VLOOKUP($C72,AMAPit!$A$10:$BJ$122,Z$54,FALSE))</f>
        <v>#N/A</v>
      </c>
      <c r="AA72" s="339" t="e">
        <f>IF($C72="","",VLOOKUP($C72,AMAPit!$A$10:$BJ$122,AA$54,FALSE))</f>
        <v>#N/A</v>
      </c>
      <c r="AB72" s="73" t="e">
        <f>IF($C72="","",VLOOKUP($C72,AMAPit!$A$10:$BJ$122,AB$54,FALSE))</f>
        <v>#N/A</v>
      </c>
      <c r="AC72" s="60" t="e">
        <f>IF($C72="","",VLOOKUP($C72,AMAPit!$A$10:$BJ$122,AC$54,FALSE))</f>
        <v>#N/A</v>
      </c>
      <c r="AD72" s="339" t="e">
        <f>IF($C72="","",VLOOKUP($C72,AMAPit!$A$10:$BJ$122,AD$54,FALSE))</f>
        <v>#N/A</v>
      </c>
      <c r="AE72" s="339" t="e">
        <f>IF($C72="","",VLOOKUP($C72,AMAPit!$A$10:$BJ$122,AE$54,FALSE))</f>
        <v>#N/A</v>
      </c>
      <c r="AF72" s="340" t="e">
        <f>IF($C72="","",VLOOKUP($C72,AMAPit!$A$10:$BJ$122,AF$54,FALSE))</f>
        <v>#N/A</v>
      </c>
      <c r="AG72" s="60" t="e">
        <f>IF($C72="","",VLOOKUP($C72,AMAPit!$A$10:$BJ$122,AG$54,FALSE))</f>
        <v>#N/A</v>
      </c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</row>
    <row r="73" spans="1:52" x14ac:dyDescent="0.25">
      <c r="A73" s="305">
        <v>6</v>
      </c>
      <c r="B73" s="29" t="s">
        <v>11</v>
      </c>
      <c r="C73" s="58" t="s">
        <v>565</v>
      </c>
      <c r="D73" s="30" t="e">
        <f>IF($C73="","",VLOOKUP($C73,AMAPit!$A$10:$BJ$122,D$4-2,FALSE))</f>
        <v>#N/A</v>
      </c>
      <c r="E73" s="30" t="e">
        <f>IF($C73="","",VLOOKUP($C73,AMAPit!$A$10:$BJ$122,E$4-1,FALSE))</f>
        <v>#N/A</v>
      </c>
      <c r="F73" s="345" t="e">
        <f t="shared" si="173"/>
        <v>#N/A</v>
      </c>
      <c r="G73" s="339" t="e">
        <f t="shared" si="174"/>
        <v>#N/A</v>
      </c>
      <c r="H73" s="340" t="e">
        <f t="shared" si="175"/>
        <v>#N/A</v>
      </c>
      <c r="I73" s="92" t="e">
        <f>IF($C73="","",VLOOKUP($C73,AMAPit!$A$10:$BJ$122,I$54,FALSE))</f>
        <v>#N/A</v>
      </c>
      <c r="J73" s="339">
        <f t="shared" si="176"/>
        <v>0</v>
      </c>
      <c r="K73" s="345" t="e">
        <f>IF($C73="","",VLOOKUP($C73,AMAPit!$A$10:$BJ$122,K$54,FALSE))</f>
        <v>#N/A</v>
      </c>
      <c r="L73" s="339" t="e">
        <f>IF($C73="","",VLOOKUP($C73,AMAPit!$A$10:$BJ$122,L$54,FALSE))</f>
        <v>#N/A</v>
      </c>
      <c r="M73" s="340" t="e">
        <f>IF($C73="","",VLOOKUP($C73,AMAPit!$A$10:$BJ$122,M$54,FALSE))</f>
        <v>#N/A</v>
      </c>
      <c r="N73" s="339" t="e">
        <f>IF($C73="","",VLOOKUP($C73,AMAPit!$A$10:$BJ$122,N$54,FALSE))</f>
        <v>#N/A</v>
      </c>
      <c r="O73" s="339" t="e">
        <f>IF($C73="","",VLOOKUP($C73,AMAPit!$A$10:$BJ$122,O$54,FALSE))</f>
        <v>#N/A</v>
      </c>
      <c r="P73" s="339" t="e">
        <f>IF($C73="","",VLOOKUP($C73,AMAPit!$A$10:$BJ$122,P$54,FALSE))</f>
        <v>#N/A</v>
      </c>
      <c r="Q73" s="339" t="e">
        <f>IF($C73="","",VLOOKUP($C73,AMAPit!$A$10:$BJ$122,Q$54,FALSE))</f>
        <v>#N/A</v>
      </c>
      <c r="R73" s="339" t="e">
        <f>IF($C73="","",VLOOKUP($C73,AMAPit!$A$10:$BJ$122,R$54,FALSE))</f>
        <v>#N/A</v>
      </c>
      <c r="S73" s="339" t="e">
        <f>IF($C73="","",VLOOKUP($C73,AMAPit!$A$10:$BJ$122,S$54,FALSE))</f>
        <v>#N/A</v>
      </c>
      <c r="T73" s="339" t="e">
        <f>IF($C73="","",VLOOKUP($C73,AMAPit!$A$10:$BJ$122,T$54,FALSE))</f>
        <v>#N/A</v>
      </c>
      <c r="U73" s="339" t="e">
        <f>IF($C73="","",VLOOKUP($C73,AMAPit!$A$10:$BJ$122,U$54,FALSE))</f>
        <v>#N/A</v>
      </c>
      <c r="V73" s="339" t="e">
        <f>IF($C73="","",VLOOKUP($C73,AMAPit!$A$10:$BJ$122,V$54,FALSE))</f>
        <v>#N/A</v>
      </c>
      <c r="W73" s="339" t="e">
        <f>IF($C73="","",VLOOKUP($C73,AMAPit!$A$10:$BJ$122,W$54,FALSE))</f>
        <v>#N/A</v>
      </c>
      <c r="X73" s="339" t="e">
        <f>IF($C73="","",VLOOKUP($C73,AMAPit!$A$10:$BJ$122,X$54,FALSE))</f>
        <v>#N/A</v>
      </c>
      <c r="Y73" s="340" t="e">
        <f>IF($C73="","",VLOOKUP($C73,AMAPit!$A$10:$BJ$122,Y$54,FALSE))</f>
        <v>#N/A</v>
      </c>
      <c r="Z73" s="345" t="e">
        <f>IF($C73="","",VLOOKUP($C73,AMAPit!$A$10:$BJ$122,Z$54,FALSE))</f>
        <v>#N/A</v>
      </c>
      <c r="AA73" s="339" t="e">
        <f>IF($C73="","",VLOOKUP($C73,AMAPit!$A$10:$BJ$122,AA$54,FALSE))</f>
        <v>#N/A</v>
      </c>
      <c r="AB73" s="73" t="e">
        <f>IF($C73="","",VLOOKUP($C73,AMAPit!$A$10:$BJ$122,AB$54,FALSE))</f>
        <v>#N/A</v>
      </c>
      <c r="AC73" s="60" t="e">
        <f>IF($C73="","",VLOOKUP($C73,AMAPit!$A$10:$BJ$122,AC$54,FALSE))</f>
        <v>#N/A</v>
      </c>
      <c r="AD73" s="339" t="e">
        <f>IF($C73="","",VLOOKUP($C73,AMAPit!$A$10:$BJ$122,AD$54,FALSE))</f>
        <v>#N/A</v>
      </c>
      <c r="AE73" s="339" t="e">
        <f>IF($C73="","",VLOOKUP($C73,AMAPit!$A$10:$BJ$122,AE$54,FALSE))</f>
        <v>#N/A</v>
      </c>
      <c r="AF73" s="340" t="e">
        <f>IF($C73="","",VLOOKUP($C73,AMAPit!$A$10:$BJ$122,AF$54,FALSE))</f>
        <v>#N/A</v>
      </c>
      <c r="AG73" s="60" t="e">
        <f>IF($C73="","",VLOOKUP($C73,AMAPit!$A$10:$BJ$122,AG$54,FALSE))</f>
        <v>#N/A</v>
      </c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</row>
    <row r="74" spans="1:52" x14ac:dyDescent="0.25">
      <c r="A74" s="305">
        <v>7</v>
      </c>
      <c r="B74" s="29" t="s">
        <v>11</v>
      </c>
      <c r="C74" s="58" t="s">
        <v>551</v>
      </c>
      <c r="D74" s="30" t="e">
        <f>IF($C74="","",VLOOKUP($C74,AMAPit!$A$10:$BJ$122,D$4-2,FALSE))</f>
        <v>#N/A</v>
      </c>
      <c r="E74" s="30" t="e">
        <f>IF($C74="","",VLOOKUP($C74,AMAPit!$A$10:$BJ$122,E$4-1,FALSE))</f>
        <v>#N/A</v>
      </c>
      <c r="F74" s="345" t="e">
        <f t="shared" si="173"/>
        <v>#N/A</v>
      </c>
      <c r="G74" s="339" t="e">
        <f t="shared" si="174"/>
        <v>#N/A</v>
      </c>
      <c r="H74" s="340" t="e">
        <f t="shared" si="175"/>
        <v>#N/A</v>
      </c>
      <c r="I74" s="92" t="e">
        <f>IF($C74="","",VLOOKUP($C74,AMAPit!$A$10:$BJ$122,I$54,FALSE))</f>
        <v>#N/A</v>
      </c>
      <c r="J74" s="339">
        <f t="shared" si="176"/>
        <v>0</v>
      </c>
      <c r="K74" s="345" t="e">
        <f>IF($C74="","",VLOOKUP($C74,AMAPit!$A$10:$BJ$122,K$54,FALSE))</f>
        <v>#N/A</v>
      </c>
      <c r="L74" s="339" t="e">
        <f>IF($C74="","",VLOOKUP($C74,AMAPit!$A$10:$BJ$122,L$54,FALSE))</f>
        <v>#N/A</v>
      </c>
      <c r="M74" s="340" t="e">
        <f>IF($C74="","",VLOOKUP($C74,AMAPit!$A$10:$BJ$122,M$54,FALSE))</f>
        <v>#N/A</v>
      </c>
      <c r="N74" s="339" t="e">
        <f>IF($C74="","",VLOOKUP($C74,AMAPit!$A$10:$BJ$122,N$54,FALSE))</f>
        <v>#N/A</v>
      </c>
      <c r="O74" s="339" t="e">
        <f>IF($C74="","",VLOOKUP($C74,AMAPit!$A$10:$BJ$122,O$54,FALSE))</f>
        <v>#N/A</v>
      </c>
      <c r="P74" s="339" t="e">
        <f>IF($C74="","",VLOOKUP($C74,AMAPit!$A$10:$BJ$122,P$54,FALSE))</f>
        <v>#N/A</v>
      </c>
      <c r="Q74" s="339" t="e">
        <f>IF($C74="","",VLOOKUP($C74,AMAPit!$A$10:$BJ$122,Q$54,FALSE))</f>
        <v>#N/A</v>
      </c>
      <c r="R74" s="339" t="e">
        <f>IF($C74="","",VLOOKUP($C74,AMAPit!$A$10:$BJ$122,R$54,FALSE))</f>
        <v>#N/A</v>
      </c>
      <c r="S74" s="339" t="e">
        <f>IF($C74="","",VLOOKUP($C74,AMAPit!$A$10:$BJ$122,S$54,FALSE))</f>
        <v>#N/A</v>
      </c>
      <c r="T74" s="339" t="e">
        <f>IF($C74="","",VLOOKUP($C74,AMAPit!$A$10:$BJ$122,T$54,FALSE))</f>
        <v>#N/A</v>
      </c>
      <c r="U74" s="339" t="e">
        <f>IF($C74="","",VLOOKUP($C74,AMAPit!$A$10:$BJ$122,U$54,FALSE))</f>
        <v>#N/A</v>
      </c>
      <c r="V74" s="339" t="e">
        <f>IF($C74="","",VLOOKUP($C74,AMAPit!$A$10:$BJ$122,V$54,FALSE))</f>
        <v>#N/A</v>
      </c>
      <c r="W74" s="339" t="e">
        <f>IF($C74="","",VLOOKUP($C74,AMAPit!$A$10:$BJ$122,W$54,FALSE))</f>
        <v>#N/A</v>
      </c>
      <c r="X74" s="339" t="e">
        <f>IF($C74="","",VLOOKUP($C74,AMAPit!$A$10:$BJ$122,X$54,FALSE))</f>
        <v>#N/A</v>
      </c>
      <c r="Y74" s="340" t="e">
        <f>IF($C74="","",VLOOKUP($C74,AMAPit!$A$10:$BJ$122,Y$54,FALSE))</f>
        <v>#N/A</v>
      </c>
      <c r="Z74" s="345" t="e">
        <f>IF($C74="","",VLOOKUP($C74,AMAPit!$A$10:$BJ$122,Z$54,FALSE))</f>
        <v>#N/A</v>
      </c>
      <c r="AA74" s="339" t="e">
        <f>IF($C74="","",VLOOKUP($C74,AMAPit!$A$10:$BJ$122,AA$54,FALSE))</f>
        <v>#N/A</v>
      </c>
      <c r="AB74" s="73" t="e">
        <f>IF($C74="","",VLOOKUP($C74,AMAPit!$A$10:$BJ$122,AB$54,FALSE))</f>
        <v>#N/A</v>
      </c>
      <c r="AC74" s="60" t="e">
        <f>IF($C74="","",VLOOKUP($C74,AMAPit!$A$10:$BJ$122,AC$54,FALSE))</f>
        <v>#N/A</v>
      </c>
      <c r="AD74" s="339" t="e">
        <f>IF($C74="","",VLOOKUP($C74,AMAPit!$A$10:$BJ$122,AD$54,FALSE))</f>
        <v>#N/A</v>
      </c>
      <c r="AE74" s="339" t="e">
        <f>IF($C74="","",VLOOKUP($C74,AMAPit!$A$10:$BJ$122,AE$54,FALSE))</f>
        <v>#N/A</v>
      </c>
      <c r="AF74" s="340" t="e">
        <f>IF($C74="","",VLOOKUP($C74,AMAPit!$A$10:$BJ$122,AF$54,FALSE))</f>
        <v>#N/A</v>
      </c>
      <c r="AG74" s="60" t="e">
        <f>IF($C74="","",VLOOKUP($C74,AMAPit!$A$10:$BJ$122,AG$54,FALSE))</f>
        <v>#N/A</v>
      </c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</row>
    <row r="75" spans="1:52" x14ac:dyDescent="0.25">
      <c r="A75" s="305">
        <v>8</v>
      </c>
      <c r="B75" s="29" t="s">
        <v>11</v>
      </c>
      <c r="C75" s="58" t="s">
        <v>740</v>
      </c>
      <c r="D75" s="30" t="e">
        <f>IF($C75="","",VLOOKUP($C75,AMAPit!$A$10:$BJ$122,D$4-2,FALSE))</f>
        <v>#N/A</v>
      </c>
      <c r="E75" s="30" t="e">
        <f>IF($C75="","",VLOOKUP($C75,AMAPit!$A$10:$BJ$122,E$4-1,FALSE))</f>
        <v>#N/A</v>
      </c>
      <c r="F75" s="345" t="e">
        <f t="shared" si="173"/>
        <v>#N/A</v>
      </c>
      <c r="G75" s="339" t="e">
        <f t="shared" si="174"/>
        <v>#N/A</v>
      </c>
      <c r="H75" s="340" t="e">
        <f t="shared" si="175"/>
        <v>#N/A</v>
      </c>
      <c r="I75" s="92" t="e">
        <f>IF($C75="","",VLOOKUP($C75,AMAPit!$A$10:$BJ$122,I$54,FALSE))</f>
        <v>#N/A</v>
      </c>
      <c r="J75" s="339">
        <f t="shared" si="176"/>
        <v>0</v>
      </c>
      <c r="K75" s="345" t="e">
        <f>IF($C75="","",VLOOKUP($C75,AMAPit!$A$10:$BJ$122,K$54,FALSE))</f>
        <v>#N/A</v>
      </c>
      <c r="L75" s="339" t="e">
        <f>IF($C75="","",VLOOKUP($C75,AMAPit!$A$10:$BJ$122,L$54,FALSE))</f>
        <v>#N/A</v>
      </c>
      <c r="M75" s="340" t="e">
        <f>IF($C75="","",VLOOKUP($C75,AMAPit!$A$10:$BJ$122,M$54,FALSE))</f>
        <v>#N/A</v>
      </c>
      <c r="N75" s="339" t="e">
        <f>IF($C75="","",VLOOKUP($C75,AMAPit!$A$10:$BJ$122,N$54,FALSE))</f>
        <v>#N/A</v>
      </c>
      <c r="O75" s="339" t="e">
        <f>IF($C75="","",VLOOKUP($C75,AMAPit!$A$10:$BJ$122,O$54,FALSE))</f>
        <v>#N/A</v>
      </c>
      <c r="P75" s="339" t="e">
        <f>IF($C75="","",VLOOKUP($C75,AMAPit!$A$10:$BJ$122,P$54,FALSE))</f>
        <v>#N/A</v>
      </c>
      <c r="Q75" s="339" t="e">
        <f>IF($C75="","",VLOOKUP($C75,AMAPit!$A$10:$BJ$122,Q$54,FALSE))</f>
        <v>#N/A</v>
      </c>
      <c r="R75" s="339" t="e">
        <f>IF($C75="","",VLOOKUP($C75,AMAPit!$A$10:$BJ$122,R$54,FALSE))</f>
        <v>#N/A</v>
      </c>
      <c r="S75" s="339" t="e">
        <f>IF($C75="","",VLOOKUP($C75,AMAPit!$A$10:$BJ$122,S$54,FALSE))</f>
        <v>#N/A</v>
      </c>
      <c r="T75" s="339" t="e">
        <f>IF($C75="","",VLOOKUP($C75,AMAPit!$A$10:$BJ$122,T$54,FALSE))</f>
        <v>#N/A</v>
      </c>
      <c r="U75" s="339" t="e">
        <f>IF($C75="","",VLOOKUP($C75,AMAPit!$A$10:$BJ$122,U$54,FALSE))</f>
        <v>#N/A</v>
      </c>
      <c r="V75" s="339" t="e">
        <f>IF($C75="","",VLOOKUP($C75,AMAPit!$A$10:$BJ$122,V$54,FALSE))</f>
        <v>#N/A</v>
      </c>
      <c r="W75" s="339" t="e">
        <f>IF($C75="","",VLOOKUP($C75,AMAPit!$A$10:$BJ$122,W$54,FALSE))</f>
        <v>#N/A</v>
      </c>
      <c r="X75" s="339" t="e">
        <f>IF($C75="","",VLOOKUP($C75,AMAPit!$A$10:$BJ$122,X$54,FALSE))</f>
        <v>#N/A</v>
      </c>
      <c r="Y75" s="340" t="e">
        <f>IF($C75="","",VLOOKUP($C75,AMAPit!$A$10:$BJ$122,Y$54,FALSE))</f>
        <v>#N/A</v>
      </c>
      <c r="Z75" s="345" t="e">
        <f>IF($C75="","",VLOOKUP($C75,AMAPit!$A$10:$BJ$122,Z$54,FALSE))</f>
        <v>#N/A</v>
      </c>
      <c r="AA75" s="339" t="e">
        <f>IF($C75="","",VLOOKUP($C75,AMAPit!$A$10:$BJ$122,AA$54,FALSE))</f>
        <v>#N/A</v>
      </c>
      <c r="AB75" s="73" t="e">
        <f>IF($C75="","",VLOOKUP($C75,AMAPit!$A$10:$BJ$122,AB$54,FALSE))</f>
        <v>#N/A</v>
      </c>
      <c r="AC75" s="60" t="e">
        <f>IF($C75="","",VLOOKUP($C75,AMAPit!$A$10:$BJ$122,AC$54,FALSE))</f>
        <v>#N/A</v>
      </c>
      <c r="AD75" s="339" t="e">
        <f>IF($C75="","",VLOOKUP($C75,AMAPit!$A$10:$BJ$122,AD$54,FALSE))</f>
        <v>#N/A</v>
      </c>
      <c r="AE75" s="339" t="e">
        <f>IF($C75="","",VLOOKUP($C75,AMAPit!$A$10:$BJ$122,AE$54,FALSE))</f>
        <v>#N/A</v>
      </c>
      <c r="AF75" s="340" t="e">
        <f>IF($C75="","",VLOOKUP($C75,AMAPit!$A$10:$BJ$122,AF$54,FALSE))</f>
        <v>#N/A</v>
      </c>
      <c r="AG75" s="60" t="e">
        <f>IF($C75="","",VLOOKUP($C75,AMAPit!$A$10:$BJ$122,AG$54,FALSE))</f>
        <v>#N/A</v>
      </c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</row>
    <row r="76" spans="1:52" x14ac:dyDescent="0.25">
      <c r="A76" s="305">
        <v>9</v>
      </c>
      <c r="B76" s="29" t="s">
        <v>11</v>
      </c>
      <c r="C76" s="58"/>
      <c r="D76" s="30" t="str">
        <f>IF($C76="","",VLOOKUP($C76,AMAPit!$A$10:$BJ$122,D$4-2,FALSE))</f>
        <v/>
      </c>
      <c r="E76" s="30" t="str">
        <f>IF($C76="","",VLOOKUP($C76,AMAPit!$A$10:$BJ$125,E$4-1,FALSE))</f>
        <v/>
      </c>
      <c r="F76" s="345" t="str">
        <f t="shared" si="173"/>
        <v/>
      </c>
      <c r="G76" s="339" t="str">
        <f t="shared" si="174"/>
        <v/>
      </c>
      <c r="H76" s="340" t="str">
        <f t="shared" si="175"/>
        <v/>
      </c>
      <c r="I76" s="92" t="str">
        <f>IF($C76="","",VLOOKUP($C76,AMAPit!$A$10:$BJ$122,I$54,FALSE))</f>
        <v/>
      </c>
      <c r="J76" s="339" t="str">
        <f t="shared" si="176"/>
        <v/>
      </c>
      <c r="K76" s="345" t="str">
        <f>IF($C76="","",VLOOKUP($C76,AMAPit!$A$10:$BJ$122,K$54,FALSE))</f>
        <v/>
      </c>
      <c r="L76" s="339" t="str">
        <f>IF($C76="","",VLOOKUP($C76,AMAPit!$A$10:$BJ$122,L$54,FALSE))</f>
        <v/>
      </c>
      <c r="M76" s="340" t="str">
        <f>IF($C76="","",VLOOKUP($C76,AMAPit!$A$10:$BJ$122,M$54,FALSE))</f>
        <v/>
      </c>
      <c r="N76" s="339" t="str">
        <f>IF($C76="","",VLOOKUP($C76,AMAPit!$A$10:$BJ$122,N$54,FALSE))</f>
        <v/>
      </c>
      <c r="O76" s="339" t="str">
        <f>IF($C76="","",VLOOKUP($C76,AMAPit!$A$10:$BJ$122,O$54,FALSE))</f>
        <v/>
      </c>
      <c r="P76" s="339" t="str">
        <f>IF($C76="","",VLOOKUP($C76,AMAPit!$A$10:$BJ$122,P$54,FALSE))</f>
        <v/>
      </c>
      <c r="Q76" s="339" t="str">
        <f>IF($C76="","",VLOOKUP($C76,AMAPit!$A$10:$BJ$122,Q$54,FALSE))</f>
        <v/>
      </c>
      <c r="R76" s="339" t="str">
        <f>IF($C76="","",VLOOKUP($C76,AMAPit!$A$10:$BJ$122,R$54,FALSE))</f>
        <v/>
      </c>
      <c r="S76" s="339" t="str">
        <f>IF($C76="","",VLOOKUP($C76,AMAPit!$A$10:$BJ$122,S$54,FALSE))</f>
        <v/>
      </c>
      <c r="T76" s="339" t="str">
        <f>IF($C76="","",VLOOKUP($C76,AMAPit!$A$10:$BJ$122,T$54,FALSE))</f>
        <v/>
      </c>
      <c r="U76" s="339" t="str">
        <f>IF($C76="","",VLOOKUP($C76,AMAPit!$A$10:$BJ$122,U$54,FALSE))</f>
        <v/>
      </c>
      <c r="V76" s="339" t="str">
        <f>IF($C76="","",VLOOKUP($C76,AMAPit!$A$10:$BJ$122,V$54,FALSE))</f>
        <v/>
      </c>
      <c r="W76" s="339" t="str">
        <f>IF($C76="","",VLOOKUP($C76,AMAPit!$A$10:$BJ$122,W$54,FALSE))</f>
        <v/>
      </c>
      <c r="X76" s="339" t="str">
        <f>IF($C76="","",VLOOKUP($C76,AMAPit!$A$10:$BJ$122,X$54,FALSE))</f>
        <v/>
      </c>
      <c r="Y76" s="340" t="str">
        <f>IF($C76="","",VLOOKUP($C76,AMAPit!$A$10:$BJ$122,Y$54,FALSE))</f>
        <v/>
      </c>
      <c r="Z76" s="345" t="str">
        <f>IF($C76="","",VLOOKUP($C76,AMAPit!$A$10:$BJ$122,Z$54,FALSE))</f>
        <v/>
      </c>
      <c r="AA76" s="339" t="str">
        <f>IF($C76="","",VLOOKUP($C76,AMAPit!$A$10:$BJ$122,AA$54,FALSE))</f>
        <v/>
      </c>
      <c r="AB76" s="73" t="str">
        <f>IF($C76="","",VLOOKUP($C76,AMAPit!$A$10:$BJ$122,AB$54,FALSE))</f>
        <v/>
      </c>
      <c r="AC76" s="60" t="str">
        <f>IF($C76="","",VLOOKUP($C76,AMAPit!$A$10:$BJ$122,AC$54,FALSE))</f>
        <v/>
      </c>
      <c r="AD76" s="339" t="str">
        <f>IF($C76="","",VLOOKUP($C76,AMAPit!$A$10:$BJ$122,AD$54,FALSE))</f>
        <v/>
      </c>
      <c r="AE76" s="339" t="str">
        <f>IF($C76="","",VLOOKUP($C76,AMAPit!$A$10:$BJ$122,AE$54,FALSE))</f>
        <v/>
      </c>
      <c r="AF76" s="340" t="str">
        <f>IF($C76="","",VLOOKUP($C76,AMAPit!$A$10:$BJ$122,AF$54,FALSE))</f>
        <v/>
      </c>
      <c r="AG76" s="60" t="str">
        <f>IF($C76="","",VLOOKUP($C76,AMAPit!$A$10:$BJ$122,AG$54,FALSE))</f>
        <v/>
      </c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</row>
    <row r="77" spans="1:52" x14ac:dyDescent="0.25">
      <c r="A77" s="305">
        <v>10</v>
      </c>
      <c r="B77" s="32" t="s">
        <v>11</v>
      </c>
      <c r="C77" s="33"/>
      <c r="D77" s="33" t="str">
        <f>IF($C77="","",VLOOKUP($C77,AMAPit!$A$10:$BJ$122,D$4-2,FALSE))</f>
        <v/>
      </c>
      <c r="E77" s="33" t="str">
        <f>IF($C77="","",VLOOKUP($C77,AMAPit!$A$10:$BJ$125,E$4-1,FALSE))</f>
        <v/>
      </c>
      <c r="F77" s="47" t="str">
        <f t="shared" si="173"/>
        <v/>
      </c>
      <c r="G77" s="337" t="str">
        <f t="shared" si="174"/>
        <v/>
      </c>
      <c r="H77" s="338" t="str">
        <f t="shared" si="175"/>
        <v/>
      </c>
      <c r="I77" s="93" t="str">
        <f>IF($C77="","",VLOOKUP($C77,AMAPit!$A$10:$BJ$122,I$54,FALSE))</f>
        <v/>
      </c>
      <c r="J77" s="337" t="str">
        <f t="shared" si="176"/>
        <v/>
      </c>
      <c r="K77" s="47" t="str">
        <f>IF($C77="","",VLOOKUP($C77,AMAPit!$A$10:$BJ$122,K$54,FALSE))</f>
        <v/>
      </c>
      <c r="L77" s="337" t="str">
        <f>IF($C77="","",VLOOKUP($C77,AMAPit!$A$10:$BJ$122,L$54,FALSE))</f>
        <v/>
      </c>
      <c r="M77" s="338" t="str">
        <f>IF($C77="","",VLOOKUP($C77,AMAPit!$A$10:$BJ$122,M$54,FALSE))</f>
        <v/>
      </c>
      <c r="N77" s="337" t="str">
        <f>IF($C77="","",VLOOKUP($C77,AMAPit!$A$10:$BJ$122,N$54,FALSE))</f>
        <v/>
      </c>
      <c r="O77" s="337" t="str">
        <f>IF($C77="","",VLOOKUP($C77,AMAPit!$A$10:$BJ$122,O$54,FALSE))</f>
        <v/>
      </c>
      <c r="P77" s="337" t="str">
        <f>IF($C77="","",VLOOKUP($C77,AMAPit!$A$10:$BJ$122,P$54,FALSE))</f>
        <v/>
      </c>
      <c r="Q77" s="337" t="str">
        <f>IF($C77="","",VLOOKUP($C77,AMAPit!$A$10:$BJ$122,Q$54,FALSE))</f>
        <v/>
      </c>
      <c r="R77" s="337" t="str">
        <f>IF($C77="","",VLOOKUP($C77,AMAPit!$A$10:$BJ$122,R$54,FALSE))</f>
        <v/>
      </c>
      <c r="S77" s="337" t="str">
        <f>IF($C77="","",VLOOKUP($C77,AMAPit!$A$10:$BJ$122,S$54,FALSE))</f>
        <v/>
      </c>
      <c r="T77" s="337" t="str">
        <f>IF($C77="","",VLOOKUP($C77,AMAPit!$A$10:$BJ$122,T$54,FALSE))</f>
        <v/>
      </c>
      <c r="U77" s="337" t="str">
        <f>IF($C77="","",VLOOKUP($C77,AMAPit!$A$10:$BJ$122,U$54,FALSE))</f>
        <v/>
      </c>
      <c r="V77" s="337" t="str">
        <f>IF($C77="","",VLOOKUP($C77,AMAPit!$A$10:$BJ$122,V$54,FALSE))</f>
        <v/>
      </c>
      <c r="W77" s="337" t="str">
        <f>IF($C77="","",VLOOKUP($C77,AMAPit!$A$10:$BJ$122,W$54,FALSE))</f>
        <v/>
      </c>
      <c r="X77" s="337" t="str">
        <f>IF($C77="","",VLOOKUP($C77,AMAPit!$A$10:$BJ$122,X$54,FALSE))</f>
        <v/>
      </c>
      <c r="Y77" s="338" t="str">
        <f>IF($C77="","",VLOOKUP($C77,AMAPit!$A$10:$BJ$122,Y$54,FALSE))</f>
        <v/>
      </c>
      <c r="Z77" s="47" t="str">
        <f>IF($C77="","",VLOOKUP($C77,AMAPit!$A$10:$BJ$122,Z$54,FALSE))</f>
        <v/>
      </c>
      <c r="AA77" s="337" t="str">
        <f>IF($C77="","",VLOOKUP($C77,AMAPit!$A$10:$BJ$122,AA$54,FALSE))</f>
        <v/>
      </c>
      <c r="AB77" s="74" t="str">
        <f>IF($C77="","",VLOOKUP($C77,AMAPit!$A$10:$BJ$122,AB$54,FALSE))</f>
        <v/>
      </c>
      <c r="AC77" s="61" t="str">
        <f>IF($C77="","",VLOOKUP($C77,AMAPit!$A$10:$BJ$122,AC$54,FALSE))</f>
        <v/>
      </c>
      <c r="AD77" s="337" t="str">
        <f>IF($C77="","",VLOOKUP($C77,AMAPit!$A$10:$BJ$122,AD$54,FALSE))</f>
        <v/>
      </c>
      <c r="AE77" s="337" t="str">
        <f>IF($C77="","",VLOOKUP($C77,AMAPit!$A$10:$BJ$122,AE$54,FALSE))</f>
        <v/>
      </c>
      <c r="AF77" s="338" t="str">
        <f>IF($C77="","",VLOOKUP($C77,AMAPit!$A$10:$BJ$122,AF$54,FALSE))</f>
        <v/>
      </c>
      <c r="AG77" s="61" t="str">
        <f>IF($C77="","",VLOOKUP($C77,AMAPit!$A$10:$BJ$122,AG$54,FALSE))</f>
        <v/>
      </c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</row>
  </sheetData>
  <mergeCells count="22">
    <mergeCell ref="AH49:AT49"/>
    <mergeCell ref="AH50:AT50"/>
    <mergeCell ref="AH51:AT51"/>
    <mergeCell ref="AH44:AT44"/>
    <mergeCell ref="AH45:AT45"/>
    <mergeCell ref="AH46:AT46"/>
    <mergeCell ref="AH47:AT47"/>
    <mergeCell ref="AH48:AT48"/>
    <mergeCell ref="AH34:AT34"/>
    <mergeCell ref="AH35:AT35"/>
    <mergeCell ref="AG41:AT41"/>
    <mergeCell ref="AH42:AT42"/>
    <mergeCell ref="AH43:AT43"/>
    <mergeCell ref="AH36:AT36"/>
    <mergeCell ref="AH37:AT37"/>
    <mergeCell ref="AH38:AT38"/>
    <mergeCell ref="AH39:AT39"/>
    <mergeCell ref="AG29:AT29"/>
    <mergeCell ref="AH30:AT30"/>
    <mergeCell ref="AH31:AT31"/>
    <mergeCell ref="AH32:AT32"/>
    <mergeCell ref="AH33:AT33"/>
  </mergeCells>
  <conditionalFormatting sqref="G16">
    <cfRule type="expression" dxfId="76" priority="15">
      <formula>IF(SUM(G17:G22)&gt;1,1,0)</formula>
    </cfRule>
  </conditionalFormatting>
  <conditionalFormatting sqref="H16">
    <cfRule type="expression" dxfId="75" priority="14">
      <formula>IF(SUM(H17:H22)&gt;1,1,0)</formula>
    </cfRule>
  </conditionalFormatting>
  <conditionalFormatting sqref="F16">
    <cfRule type="expression" dxfId="74" priority="13">
      <formula>IF(SUM(F17:F22)&gt;1,1,0)</formula>
    </cfRule>
  </conditionalFormatting>
  <conditionalFormatting sqref="I5">
    <cfRule type="expression" dxfId="73" priority="12">
      <formula>-IF(SUM(I6:I14)&gt;1,1,0)</formula>
    </cfRule>
  </conditionalFormatting>
  <conditionalFormatting sqref="H5">
    <cfRule type="expression" dxfId="72" priority="11">
      <formula>-IF(SUM(H6:H14)&gt;1,1,0)</formula>
    </cfRule>
  </conditionalFormatting>
  <conditionalFormatting sqref="F24">
    <cfRule type="expression" dxfId="71" priority="10">
      <formula>IF(SUM($F$22:$F$24)&gt;1,1,0)</formula>
    </cfRule>
  </conditionalFormatting>
  <conditionalFormatting sqref="F55">
    <cfRule type="expression" dxfId="70" priority="9">
      <formula>IF(SUM($F$53:$F$58)&gt;1,1,0)</formula>
    </cfRule>
  </conditionalFormatting>
  <conditionalFormatting sqref="H55">
    <cfRule type="expression" dxfId="69" priority="8">
      <formula>IF(SUM($H$53:$H$58)&gt;3,1,0)</formula>
    </cfRule>
  </conditionalFormatting>
  <conditionalFormatting sqref="G55">
    <cfRule type="expression" dxfId="68" priority="7">
      <formula>IF(SUM($G$53:$G$58)&gt;2,1,0)</formula>
    </cfRule>
  </conditionalFormatting>
  <conditionalFormatting sqref="C25:C27 C17:C22 C6:C14">
    <cfRule type="expression" dxfId="67" priority="5">
      <formula>IF($AK6&lt;4.5,1,0)</formula>
    </cfRule>
    <cfRule type="expression" dxfId="66" priority="6">
      <formula>IF($AK6&gt;7,1,0)</formula>
    </cfRule>
  </conditionalFormatting>
  <conditionalFormatting sqref="C18">
    <cfRule type="expression" dxfId="65" priority="3">
      <formula>IF($AK18&lt;4.5,1,0)</formula>
    </cfRule>
    <cfRule type="expression" dxfId="64" priority="4">
      <formula>IF($AK18&gt;7,1,0)</formula>
    </cfRule>
  </conditionalFormatting>
  <conditionalFormatting sqref="F5">
    <cfRule type="expression" dxfId="63" priority="2">
      <formula>IF(SUM(F6:F14)&gt;1,1,0)</formula>
    </cfRule>
  </conditionalFormatting>
  <conditionalFormatting sqref="G5">
    <cfRule type="expression" dxfId="62" priority="1">
      <formula>IF(SUM(G6:G14)&gt;1,1,0)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tabColor rgb="FFFF0000"/>
  </sheetPr>
  <dimension ref="A1:AZ77"/>
  <sheetViews>
    <sheetView topLeftCell="A7" zoomScale="85" zoomScaleNormal="85" workbookViewId="0">
      <selection activeCell="Z20" sqref="Z20"/>
    </sheetView>
  </sheetViews>
  <sheetFormatPr defaultRowHeight="15" x14ac:dyDescent="0.25"/>
  <cols>
    <col min="1" max="1" width="3.140625" customWidth="1"/>
    <col min="2" max="2" width="10.7109375" style="1" bestFit="1" customWidth="1"/>
    <col min="3" max="3" width="20" style="19" bestFit="1" customWidth="1"/>
    <col min="4" max="4" width="4.5703125" style="19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C1" s="253" t="s">
        <v>355</v>
      </c>
      <c r="D1" s="253" t="s">
        <v>356</v>
      </c>
    </row>
    <row r="2" spans="1:52" x14ac:dyDescent="0.25">
      <c r="B2" s="253" t="s">
        <v>357</v>
      </c>
      <c r="C2" s="254">
        <v>5.5</v>
      </c>
      <c r="D2" s="254">
        <v>4.5</v>
      </c>
    </row>
    <row r="3" spans="1:52" x14ac:dyDescent="0.25">
      <c r="B3" s="253" t="s">
        <v>358</v>
      </c>
      <c r="C3" s="254">
        <v>5.5</v>
      </c>
      <c r="D3" s="254">
        <v>4.5</v>
      </c>
    </row>
    <row r="4" spans="1:52" x14ac:dyDescent="0.25">
      <c r="A4" s="305"/>
      <c r="D4" s="19">
        <v>12</v>
      </c>
      <c r="E4" s="19">
        <v>13</v>
      </c>
      <c r="F4" s="305"/>
      <c r="G4" s="305"/>
      <c r="H4" s="305"/>
      <c r="I4" s="305"/>
      <c r="J4" s="305">
        <v>31</v>
      </c>
      <c r="K4" s="305">
        <v>29</v>
      </c>
      <c r="L4" s="305">
        <v>30</v>
      </c>
      <c r="M4" s="305">
        <v>32</v>
      </c>
      <c r="N4" s="305">
        <v>33</v>
      </c>
      <c r="O4" s="305">
        <v>34</v>
      </c>
      <c r="P4" s="305">
        <v>35</v>
      </c>
      <c r="Q4" s="305">
        <v>36</v>
      </c>
      <c r="R4" s="305">
        <v>37</v>
      </c>
      <c r="S4" s="305">
        <v>38</v>
      </c>
      <c r="T4" s="305">
        <v>39</v>
      </c>
      <c r="U4" s="305"/>
      <c r="V4" s="305"/>
      <c r="W4" s="305"/>
      <c r="X4" s="305"/>
      <c r="Y4" s="305"/>
      <c r="Z4" s="305"/>
      <c r="AA4" s="305"/>
      <c r="AB4" s="305"/>
      <c r="AC4" s="305"/>
      <c r="AD4" s="305">
        <v>19</v>
      </c>
      <c r="AE4" s="305">
        <v>20</v>
      </c>
      <c r="AF4" s="305">
        <v>21</v>
      </c>
      <c r="AG4" s="305">
        <v>22</v>
      </c>
      <c r="AH4" s="305">
        <v>23</v>
      </c>
      <c r="AI4" s="305">
        <v>40</v>
      </c>
      <c r="AJ4" s="305">
        <v>41</v>
      </c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>
        <v>24</v>
      </c>
      <c r="AV4" s="305">
        <v>25</v>
      </c>
      <c r="AW4" s="305">
        <v>26</v>
      </c>
      <c r="AX4" s="305">
        <v>27</v>
      </c>
      <c r="AY4" s="305">
        <v>28</v>
      </c>
      <c r="AZ4" s="305"/>
    </row>
    <row r="5" spans="1:52" s="17" customFormat="1" ht="215.25" customHeight="1" x14ac:dyDescent="0.25">
      <c r="A5" s="18" t="s">
        <v>170</v>
      </c>
      <c r="B5" s="341" t="s">
        <v>102</v>
      </c>
      <c r="C5" s="37" t="str">
        <f>"Player ("&amp;COUNTA(C6:C14)&amp;")"</f>
        <v>Player (7)</v>
      </c>
      <c r="D5" s="37" t="s">
        <v>70</v>
      </c>
      <c r="E5" s="37" t="s">
        <v>80</v>
      </c>
      <c r="F5" s="44" t="e">
        <f>"Only 1 guy who plays only 1B ("&amp;SUM(F6:F14)&amp;")"</f>
        <v>#N/A</v>
      </c>
      <c r="G5" s="38" t="e">
        <f>"Only 1 guy who can only play 1B or LF ("&amp;SUM(G6:G14)&amp;")"</f>
        <v>#N/A</v>
      </c>
      <c r="H5" s="39" t="e">
        <f>"2 guys with RF arms ("&amp;SUM(H6:H14)&amp;")"</f>
        <v>#N/A</v>
      </c>
      <c r="I5" s="39" t="str">
        <f>"2 guys with CF range ("&amp;SUM(I6:I14)&amp;")"</f>
        <v>2 guys with CF range (0)</v>
      </c>
      <c r="J5" s="48" t="s">
        <v>114</v>
      </c>
      <c r="K5" s="40" t="s">
        <v>112</v>
      </c>
      <c r="L5" s="49" t="s">
        <v>113</v>
      </c>
      <c r="M5" s="41" t="s">
        <v>71</v>
      </c>
      <c r="N5" s="41" t="s">
        <v>73</v>
      </c>
      <c r="O5" s="41" t="s">
        <v>74</v>
      </c>
      <c r="P5" s="41" t="s">
        <v>75</v>
      </c>
      <c r="Q5" s="41" t="s">
        <v>76</v>
      </c>
      <c r="R5" s="41" t="s">
        <v>77</v>
      </c>
      <c r="S5" s="41" t="s">
        <v>78</v>
      </c>
      <c r="T5" s="42" t="s">
        <v>79</v>
      </c>
      <c r="U5" s="44" t="s">
        <v>115</v>
      </c>
      <c r="V5" s="38" t="s">
        <v>158</v>
      </c>
      <c r="W5" s="38" t="s">
        <v>116</v>
      </c>
      <c r="X5" s="38" t="s">
        <v>132</v>
      </c>
      <c r="Y5" s="38" t="s">
        <v>131</v>
      </c>
      <c r="Z5" s="38" t="s">
        <v>119</v>
      </c>
      <c r="AA5" s="38" t="s">
        <v>120</v>
      </c>
      <c r="AB5" s="38" t="s">
        <v>136</v>
      </c>
      <c r="AC5" s="53" t="s">
        <v>121</v>
      </c>
      <c r="AD5" s="41" t="s">
        <v>125</v>
      </c>
      <c r="AE5" s="41" t="s">
        <v>126</v>
      </c>
      <c r="AF5" s="41" t="s">
        <v>127</v>
      </c>
      <c r="AG5" s="41" t="s">
        <v>128</v>
      </c>
      <c r="AH5" s="41" t="s">
        <v>21</v>
      </c>
      <c r="AI5" s="56" t="s">
        <v>129</v>
      </c>
      <c r="AJ5" s="42" t="s">
        <v>130</v>
      </c>
      <c r="AK5" s="59" t="s">
        <v>134</v>
      </c>
      <c r="AL5" s="44" t="s">
        <v>115</v>
      </c>
      <c r="AM5" s="38" t="s">
        <v>158</v>
      </c>
      <c r="AN5" s="38" t="s">
        <v>116</v>
      </c>
      <c r="AO5" s="38" t="s">
        <v>132</v>
      </c>
      <c r="AP5" s="38" t="s">
        <v>131</v>
      </c>
      <c r="AQ5" s="38" t="s">
        <v>119</v>
      </c>
      <c r="AR5" s="38" t="s">
        <v>120</v>
      </c>
      <c r="AS5" s="38" t="s">
        <v>136</v>
      </c>
      <c r="AT5" s="53" t="s">
        <v>121</v>
      </c>
      <c r="AU5" s="56" t="s">
        <v>125</v>
      </c>
      <c r="AV5" s="41" t="s">
        <v>126</v>
      </c>
      <c r="AW5" s="41" t="s">
        <v>127</v>
      </c>
      <c r="AX5" s="41" t="s">
        <v>128</v>
      </c>
      <c r="AY5" s="42" t="s">
        <v>21</v>
      </c>
      <c r="AZ5" s="59" t="s">
        <v>174</v>
      </c>
    </row>
    <row r="6" spans="1:52" x14ac:dyDescent="0.25">
      <c r="A6" s="305">
        <v>1</v>
      </c>
      <c r="B6" s="25" t="s">
        <v>73</v>
      </c>
      <c r="C6" s="30" t="s">
        <v>631</v>
      </c>
      <c r="D6" s="26" t="e">
        <f>IF($C6="","",VLOOKUP($C6,AMABat!$A$10:$BV$140,D$4,FALSE))</f>
        <v>#N/A</v>
      </c>
      <c r="E6" s="26" t="e">
        <f>IF($C6="","",VLOOKUP($C6,AMABat!$A$10:$BV$140,E$4,FALSE))</f>
        <v>#N/A</v>
      </c>
      <c r="F6" s="45" t="e">
        <f t="shared" ref="F6:F14" si="0">IF($C6="","",IF(AND(O6&gt;0,O6=SUM(M6:T6)),1,0))</f>
        <v>#N/A</v>
      </c>
      <c r="G6" s="27" t="e">
        <f t="shared" ref="G6:G14" si="1">IF($C6="","",IF(Q6&lt;&gt;"-",1,0))</f>
        <v>#N/A</v>
      </c>
      <c r="H6" s="27" t="e">
        <f t="shared" ref="H6:H14" si="2">IF($C6="","",IF(AND(K6&gt;5,P6&lt;&gt;"-"),1,0))</f>
        <v>#N/A</v>
      </c>
      <c r="I6" s="27" t="str">
        <f t="shared" ref="I6:I14" si="3">IF($C6="","","-")</f>
        <v>-</v>
      </c>
      <c r="J6" s="50" t="e">
        <f>IF($C6="","",VLOOKUP($C6,AMABat!$A$10:$BV$140,J$4,FALSE))</f>
        <v>#N/A</v>
      </c>
      <c r="K6" s="26" t="e">
        <f>IF($C6="","",VLOOKUP($C6,AMABat!$A$10:$BV$140,K$4,FALSE))</f>
        <v>#N/A</v>
      </c>
      <c r="L6" s="28" t="e">
        <f>IF($C6="","",VLOOKUP($C6,AMABat!$A$10:$BV$140,L$4,FALSE))</f>
        <v>#N/A</v>
      </c>
      <c r="M6" s="26" t="e">
        <f>IF($C6="","",VLOOKUP($C6,AMABat!$A$10:$BV$140,M$4,FALSE))</f>
        <v>#N/A</v>
      </c>
      <c r="N6" s="26" t="e">
        <f>IF($C6="","",VLOOKUP($C6,AMABat!$A$10:$BV$140,N$4,FALSE))</f>
        <v>#N/A</v>
      </c>
      <c r="O6" s="26" t="e">
        <f>IF($C6="","",VLOOKUP($C6,AMABat!$A$10:$BV$140,O$4,FALSE))</f>
        <v>#N/A</v>
      </c>
      <c r="P6" s="26" t="e">
        <f>IF($C6="","",VLOOKUP($C6,AMABat!$A$10:$BV$140,P$4,FALSE))</f>
        <v>#N/A</v>
      </c>
      <c r="Q6" s="26" t="e">
        <f>IF($C6="","",VLOOKUP($C6,AMABat!$A$10:$BV$140,Q$4,FALSE))</f>
        <v>#N/A</v>
      </c>
      <c r="R6" s="26" t="e">
        <f>IF($C6="","",VLOOKUP($C6,AMABat!$A$10:$BV$140,R$4,FALSE))</f>
        <v>#N/A</v>
      </c>
      <c r="S6" s="26" t="e">
        <f>IF($C6="","",VLOOKUP($C6,AMABat!$A$10:$BV$140,S$4,FALSE))</f>
        <v>#N/A</v>
      </c>
      <c r="T6" s="28" t="e">
        <f>IF($C6="","",VLOOKUP($C6,AMABat!$A$10:$BV$140,T$4,FALSE))</f>
        <v>#N/A</v>
      </c>
      <c r="U6" s="345" t="e">
        <f t="shared" ref="U6:U14" si="4">IF($C6="","",IF(OR(AD6+AG6&gt;14,AND(OR(AD6+AG6&gt;12,AND(AD6&gt;6,AG6&gt;6)),AI6&gt;6,OR(AJ6&gt;=AI6,AJ6&gt;6))),1,0))</f>
        <v>#N/A</v>
      </c>
      <c r="V6" s="339" t="e">
        <f t="shared" ref="V6:V14" si="5">IF($C6="","",IF(OR(AND(AD6&gt;6,AH6&gt;6),AD6+AG6&gt;12),1,0))</f>
        <v>#N/A</v>
      </c>
      <c r="W6" s="27" t="e">
        <f t="shared" ref="W6:W14" si="6">IF($C6="","",IF(AND(AD6&gt;6,AF6&gt;6,AG6&gt;6),1,0))</f>
        <v>#N/A</v>
      </c>
      <c r="X6" s="27" t="e">
        <f t="shared" ref="X6:X14" si="7">IF($C6="","",IF(AND(AF6&gt;7,OR(AD6&gt;6,AG6&gt;6)),1,0))</f>
        <v>#N/A</v>
      </c>
      <c r="Y6" s="27" t="e">
        <f t="shared" ref="Y6:Y14" si="8">IF($C6="","",IF(AND(AF6&gt;6,OR(AD6&gt;6,AG6&gt;6)),1,0))</f>
        <v>#N/A</v>
      </c>
      <c r="Z6" s="27" t="e">
        <f t="shared" ref="Z6:Z14" si="9">IF($C6="","",IF(AND(OR(AD6&gt;6,AF6&gt;6),OR(AD6&gt;6,AG6&gt;6)),1,0))</f>
        <v>#N/A</v>
      </c>
      <c r="AA6" s="27" t="e">
        <f t="shared" ref="AA6:AA14" si="10">IF($C6="","",IF(AND(AD6&gt;4,OR(AD6&gt;6,AF6&gt;6,AG6&gt;6)),1,0))</f>
        <v>#N/A</v>
      </c>
      <c r="AB6" s="27" t="e">
        <f t="shared" ref="AB6:AB14" si="11">IF($C6="","",IF(AND(AD6&gt;4,OR(AD6&gt;6,AE6&gt;6,AF6&gt;6,AG6&gt;6)),1,0))</f>
        <v>#N/A</v>
      </c>
      <c r="AC6" s="54" t="e">
        <f t="shared" ref="AC6:AC14" si="12">IF($C6="","",IF(AND(AD6&gt;4,MAX(AD6:AH6)&gt;6),1,0))</f>
        <v>#N/A</v>
      </c>
      <c r="AD6" s="26" t="e">
        <f>IF($C6="","",VLOOKUP($C6,AMABat!$A$10:$BV$140,AD$4,FALSE))</f>
        <v>#N/A</v>
      </c>
      <c r="AE6" s="26" t="e">
        <f>IF($C6="","",VLOOKUP($C6,AMABat!$A$10:$BV$140,AE$4,FALSE))</f>
        <v>#N/A</v>
      </c>
      <c r="AF6" s="26" t="e">
        <f>IF($C6="","",VLOOKUP($C6,AMABat!$A$10:$BV$140,AF$4,FALSE))</f>
        <v>#N/A</v>
      </c>
      <c r="AG6" s="26" t="e">
        <f>IF($C6="","",VLOOKUP($C6,AMABat!$A$10:$BV$140,AG$4,FALSE))</f>
        <v>#N/A</v>
      </c>
      <c r="AH6" s="26" t="e">
        <f>IF($C6="","",VLOOKUP($C6,AMABat!$A$10:$BV$140,AH$4,FALSE))</f>
        <v>#N/A</v>
      </c>
      <c r="AI6" s="50" t="e">
        <f>IF($C6="","",VLOOKUP($C6,AMABat!$A$10:$BV$140,AI$4,FALSE))</f>
        <v>#N/A</v>
      </c>
      <c r="AJ6" s="28" t="e">
        <f>IF($C6="","",VLOOKUP($C6,AMABat!$A$10:$BV$140,AJ$4,FALSE))</f>
        <v>#N/A</v>
      </c>
      <c r="AK6" s="60" t="e">
        <f t="shared" ref="AK6:AK14" si="13">IF($C6="","",(5*AD6+4*AF6+3*AG6+2*AE6+1*AH6+0.5*(AVERAGE(AD6:AE6))+0.5*AVERAGE(AD6,AH6)+1*(AVERAGE(AD6,AF6))+1*AVERAGE(AD6,AG6))/(5+4+3+2+1+0.5+0.5+1+1))</f>
        <v>#N/A</v>
      </c>
      <c r="AL6" s="45" t="e">
        <f t="shared" ref="AL6:AL14" si="14">IF($C6="","",IF(AND(OR(AU6+AX6&gt;12,AND(AU6&gt;6,AX6&gt;6)),AI6&gt;6,OR(AJ6&gt;=AI6,AJ6&gt;6)),1,0))</f>
        <v>#N/A</v>
      </c>
      <c r="AM6" s="27" t="e">
        <f t="shared" ref="AM6:AM14" si="15">IF($C6="","",IF(OR(AND(AU6&gt;6,AY6&gt;6),AU6+AX6&gt;12),1,0))</f>
        <v>#N/A</v>
      </c>
      <c r="AN6" s="27" t="e">
        <f t="shared" ref="AN6:AN14" si="16">IF($C6="","",IF(AND(AU6&gt;6,AW6&gt;6,AX6&gt;6),1,0))</f>
        <v>#N/A</v>
      </c>
      <c r="AO6" s="27" t="e">
        <f t="shared" ref="AO6:AO14" si="17">IF($C6="","",IF(AND(AW6&gt;7,OR(AU6&gt;6,AX6&gt;6)),1,0))</f>
        <v>#N/A</v>
      </c>
      <c r="AP6" s="27" t="e">
        <f t="shared" ref="AP6:AP14" si="18">IF($C6="","",IF(AND(AW6&gt;6,OR(AU6&gt;6,AX6&gt;6)),1,0))</f>
        <v>#N/A</v>
      </c>
      <c r="AQ6" s="27" t="e">
        <f t="shared" ref="AQ6:AQ14" si="19">IF($C6="","",IF(AND(OR(AU6&gt;6,AW6&gt;6),OR(AU6&gt;6,AX6&gt;6)),1,0))</f>
        <v>#N/A</v>
      </c>
      <c r="AR6" s="27" t="e">
        <f t="shared" ref="AR6:AR14" si="20">IF($C6="","",IF(AND(AU6&gt;4,OR(AU6&gt;6,AW6&gt;6,AX6&gt;6)),1,0))</f>
        <v>#N/A</v>
      </c>
      <c r="AS6" s="27" t="e">
        <f t="shared" ref="AS6:AS14" si="21">IF($C6="","",IF(AND(AU6&gt;4,OR(AU6&gt;6,AV6&gt;6,AW6&gt;6,AX6&gt;6)),1,0))</f>
        <v>#N/A</v>
      </c>
      <c r="AT6" s="54" t="e">
        <f t="shared" ref="AT6:AT14" si="22">IF($C6="","",IF(AND(AU6&gt;4,MAX(AU6:AY6)&gt;6),1,0))</f>
        <v>#N/A</v>
      </c>
      <c r="AU6" s="50" t="e">
        <f>IF($C6="","",VLOOKUP($C6,AMABat!$A$10:$BV$140,AU$4,FALSE))</f>
        <v>#N/A</v>
      </c>
      <c r="AV6" s="26" t="e">
        <f>IF($C6="","",VLOOKUP($C6,AMABat!$A$10:$BV$140,AV$4,FALSE))</f>
        <v>#N/A</v>
      </c>
      <c r="AW6" s="26" t="e">
        <f>IF($C6="","",VLOOKUP($C6,AMABat!$A$10:$BV$140,AW$4,FALSE))</f>
        <v>#N/A</v>
      </c>
      <c r="AX6" s="26" t="e">
        <f>IF($C6="","",VLOOKUP($C6,AMABat!$A$10:$BV$140,AX$4,FALSE))</f>
        <v>#N/A</v>
      </c>
      <c r="AY6" s="28" t="e">
        <f>IF($C6="","",VLOOKUP($C6,AMABat!$A$10:$BV$140,AY$4,FALSE))</f>
        <v>#N/A</v>
      </c>
      <c r="AZ6" s="60" t="e">
        <f t="shared" ref="AZ6:AZ14" si="23">IF($C6="","",(5*AU6+4*AW6+3*AX6+2*AV6+1*AY6+0.5*(AVERAGE(AU6:AV6))+0.5*AVERAGE(AU6,AY6)+1*(AVERAGE(AU6,AW6))+1*AVERAGE(AU6,AX6))/(5+4+3+2+1+0.5+0.5+1+1))</f>
        <v>#N/A</v>
      </c>
    </row>
    <row r="7" spans="1:52" x14ac:dyDescent="0.25">
      <c r="A7" s="305">
        <v>2</v>
      </c>
      <c r="B7" s="29" t="s">
        <v>77</v>
      </c>
      <c r="C7" s="30" t="s">
        <v>624</v>
      </c>
      <c r="D7" s="30" t="e">
        <f>IF($C7="","",VLOOKUP($C7,AMABat!$A$10:$BV$140,D$4,FALSE))</f>
        <v>#N/A</v>
      </c>
      <c r="E7" s="30" t="e">
        <f>IF($C7="","",VLOOKUP($C7,AMABat!$A$10:$BV$140,E$4,FALSE))</f>
        <v>#N/A</v>
      </c>
      <c r="F7" s="345" t="e">
        <f t="shared" si="0"/>
        <v>#N/A</v>
      </c>
      <c r="G7" s="339" t="e">
        <f t="shared" si="1"/>
        <v>#N/A</v>
      </c>
      <c r="H7" s="339" t="e">
        <f t="shared" si="2"/>
        <v>#N/A</v>
      </c>
      <c r="I7" s="339" t="str">
        <f t="shared" si="3"/>
        <v>-</v>
      </c>
      <c r="J7" s="51" t="e">
        <f>IF($C7="","",VLOOKUP($C7,AMABat!$A$10:$BV$140,J$4,FALSE))</f>
        <v>#N/A</v>
      </c>
      <c r="K7" s="30" t="e">
        <f>IF($C7="","",VLOOKUP($C7,AMABat!$A$10:$BV$140,K$4,FALSE))</f>
        <v>#N/A</v>
      </c>
      <c r="L7" s="31" t="e">
        <f>IF($C7="","",VLOOKUP($C7,AMABat!$A$10:$BV$140,L$4,FALSE))</f>
        <v>#N/A</v>
      </c>
      <c r="M7" s="30" t="e">
        <f>IF($C7="","",VLOOKUP($C7,AMABat!$A$10:$BV$140,M$4,FALSE))</f>
        <v>#N/A</v>
      </c>
      <c r="N7" s="30" t="e">
        <f>IF($C7="","",VLOOKUP($C7,AMABat!$A$10:$BV$140,N$4,FALSE))</f>
        <v>#N/A</v>
      </c>
      <c r="O7" s="30" t="e">
        <f>IF($C7="","",VLOOKUP($C7,AMABat!$A$10:$BV$140,O$4,FALSE))</f>
        <v>#N/A</v>
      </c>
      <c r="P7" s="30" t="e">
        <f>IF($C7="","",VLOOKUP($C7,AMABat!$A$10:$BV$140,P$4,FALSE))</f>
        <v>#N/A</v>
      </c>
      <c r="Q7" s="30" t="e">
        <f>IF($C7="","",VLOOKUP($C7,AMABat!$A$10:$BV$140,Q$4,FALSE))</f>
        <v>#N/A</v>
      </c>
      <c r="R7" s="30" t="e">
        <f>IF($C7="","",VLOOKUP($C7,AMABat!$A$10:$BV$140,R$4,FALSE))</f>
        <v>#N/A</v>
      </c>
      <c r="S7" s="30" t="e">
        <f>IF($C7="","",VLOOKUP($C7,AMABat!$A$10:$BV$140,S$4,FALSE))</f>
        <v>#N/A</v>
      </c>
      <c r="T7" s="31" t="e">
        <f>IF($C7="","",VLOOKUP($C7,AMABat!$A$10:$BV$140,T$4,FALSE))</f>
        <v>#N/A</v>
      </c>
      <c r="U7" s="345" t="e">
        <f t="shared" si="4"/>
        <v>#N/A</v>
      </c>
      <c r="V7" s="339" t="e">
        <f t="shared" si="5"/>
        <v>#N/A</v>
      </c>
      <c r="W7" s="339" t="e">
        <f t="shared" si="6"/>
        <v>#N/A</v>
      </c>
      <c r="X7" s="339" t="e">
        <f t="shared" si="7"/>
        <v>#N/A</v>
      </c>
      <c r="Y7" s="339" t="e">
        <f t="shared" si="8"/>
        <v>#N/A</v>
      </c>
      <c r="Z7" s="339" t="e">
        <f t="shared" si="9"/>
        <v>#N/A</v>
      </c>
      <c r="AA7" s="339" t="e">
        <f t="shared" si="10"/>
        <v>#N/A</v>
      </c>
      <c r="AB7" s="339" t="e">
        <f t="shared" si="11"/>
        <v>#N/A</v>
      </c>
      <c r="AC7" s="340" t="e">
        <f t="shared" si="12"/>
        <v>#N/A</v>
      </c>
      <c r="AD7" s="30" t="e">
        <f>IF($C7="","",VLOOKUP($C7,AMABat!$A$10:$BV$140,AD$4,FALSE))</f>
        <v>#N/A</v>
      </c>
      <c r="AE7" s="30" t="e">
        <f>IF($C7="","",VLOOKUP($C7,AMABat!$A$10:$BV$140,AE$4,FALSE))</f>
        <v>#N/A</v>
      </c>
      <c r="AF7" s="30" t="e">
        <f>IF($C7="","",VLOOKUP($C7,AMABat!$A$10:$BV$140,AF$4,FALSE))</f>
        <v>#N/A</v>
      </c>
      <c r="AG7" s="30" t="e">
        <f>IF($C7="","",VLOOKUP($C7,AMABat!$A$10:$BV$140,AG$4,FALSE))</f>
        <v>#N/A</v>
      </c>
      <c r="AH7" s="30" t="e">
        <f>IF($C7="","",VLOOKUP($C7,AMABat!$A$10:$BV$140,AH$4,FALSE))</f>
        <v>#N/A</v>
      </c>
      <c r="AI7" s="51" t="e">
        <f>IF($C7="","",VLOOKUP($C7,AMABat!$A$10:$BV$140,AI$4,FALSE))</f>
        <v>#N/A</v>
      </c>
      <c r="AJ7" s="31" t="e">
        <f>IF($C7="","",VLOOKUP($C7,AMABat!$A$10:$BV$140,AJ$4,FALSE))</f>
        <v>#N/A</v>
      </c>
      <c r="AK7" s="60" t="e">
        <f t="shared" si="13"/>
        <v>#N/A</v>
      </c>
      <c r="AL7" s="345" t="e">
        <f t="shared" si="14"/>
        <v>#N/A</v>
      </c>
      <c r="AM7" s="339" t="e">
        <f t="shared" si="15"/>
        <v>#N/A</v>
      </c>
      <c r="AN7" s="339" t="e">
        <f t="shared" si="16"/>
        <v>#N/A</v>
      </c>
      <c r="AO7" s="339" t="e">
        <f t="shared" si="17"/>
        <v>#N/A</v>
      </c>
      <c r="AP7" s="339" t="e">
        <f t="shared" si="18"/>
        <v>#N/A</v>
      </c>
      <c r="AQ7" s="339" t="e">
        <f t="shared" si="19"/>
        <v>#N/A</v>
      </c>
      <c r="AR7" s="339" t="e">
        <f t="shared" si="20"/>
        <v>#N/A</v>
      </c>
      <c r="AS7" s="339" t="e">
        <f t="shared" si="21"/>
        <v>#N/A</v>
      </c>
      <c r="AT7" s="340" t="e">
        <f t="shared" si="22"/>
        <v>#N/A</v>
      </c>
      <c r="AU7" s="51" t="e">
        <f>IF($C7="","",VLOOKUP($C7,AMABat!$A$10:$BV$140,AU$4,FALSE))</f>
        <v>#N/A</v>
      </c>
      <c r="AV7" s="30" t="e">
        <f>IF($C7="","",VLOOKUP($C7,AMABat!$A$10:$BV$140,AV$4,FALSE))</f>
        <v>#N/A</v>
      </c>
      <c r="AW7" s="30" t="e">
        <f>IF($C7="","",VLOOKUP($C7,AMABat!$A$10:$BV$140,AW$4,FALSE))</f>
        <v>#N/A</v>
      </c>
      <c r="AX7" s="30" t="e">
        <f>IF($C7="","",VLOOKUP($C7,AMABat!$A$10:$BV$140,AX$4,FALSE))</f>
        <v>#N/A</v>
      </c>
      <c r="AY7" s="31" t="e">
        <f>IF($C7="","",VLOOKUP($C7,AMABat!$A$10:$BV$140,AY$4,FALSE))</f>
        <v>#N/A</v>
      </c>
      <c r="AZ7" s="60" t="e">
        <f t="shared" si="23"/>
        <v>#N/A</v>
      </c>
    </row>
    <row r="8" spans="1:52" x14ac:dyDescent="0.25">
      <c r="A8" s="305">
        <v>3</v>
      </c>
      <c r="B8" s="29" t="s">
        <v>78</v>
      </c>
      <c r="C8" s="58" t="s">
        <v>678</v>
      </c>
      <c r="D8" s="30" t="e">
        <f>IF($C8="","",VLOOKUP($C8,AMABat!$A$10:$BV$140,D$4,FALSE))</f>
        <v>#N/A</v>
      </c>
      <c r="E8" s="30" t="e">
        <f>IF($C8="","",VLOOKUP($C8,AMABat!$A$10:$BV$140,E$4,FALSE))</f>
        <v>#N/A</v>
      </c>
      <c r="F8" s="345" t="e">
        <f t="shared" si="0"/>
        <v>#N/A</v>
      </c>
      <c r="G8" s="339" t="e">
        <f t="shared" si="1"/>
        <v>#N/A</v>
      </c>
      <c r="H8" s="339" t="e">
        <f t="shared" si="2"/>
        <v>#N/A</v>
      </c>
      <c r="I8" s="339" t="str">
        <f t="shared" si="3"/>
        <v>-</v>
      </c>
      <c r="J8" s="51" t="e">
        <f>IF($C8="","",VLOOKUP($C8,AMABat!$A$10:$BV$140,J$4,FALSE))</f>
        <v>#N/A</v>
      </c>
      <c r="K8" s="30" t="e">
        <f>IF($C8="","",VLOOKUP($C8,AMABat!$A$10:$BV$140,K$4,FALSE))</f>
        <v>#N/A</v>
      </c>
      <c r="L8" s="31" t="e">
        <f>IF($C8="","",VLOOKUP($C8,AMABat!$A$10:$BV$140,L$4,FALSE))</f>
        <v>#N/A</v>
      </c>
      <c r="M8" s="30" t="e">
        <f>IF($C8="","",VLOOKUP($C8,AMABat!$A$10:$BV$140,M$4,FALSE))</f>
        <v>#N/A</v>
      </c>
      <c r="N8" s="30" t="e">
        <f>IF($C8="","",VLOOKUP($C8,AMABat!$A$10:$BV$140,N$4,FALSE))</f>
        <v>#N/A</v>
      </c>
      <c r="O8" s="30" t="e">
        <f>IF($C8="","",VLOOKUP($C8,AMABat!$A$10:$BV$140,O$4,FALSE))</f>
        <v>#N/A</v>
      </c>
      <c r="P8" s="30" t="e">
        <f>IF($C8="","",VLOOKUP($C8,AMABat!$A$10:$BV$140,P$4,FALSE))</f>
        <v>#N/A</v>
      </c>
      <c r="Q8" s="30" t="e">
        <f>IF($C8="","",VLOOKUP($C8,AMABat!$A$10:$BV$140,Q$4,FALSE))</f>
        <v>#N/A</v>
      </c>
      <c r="R8" s="30" t="e">
        <f>IF($C8="","",VLOOKUP($C8,AMABat!$A$10:$BV$140,R$4,FALSE))</f>
        <v>#N/A</v>
      </c>
      <c r="S8" s="30" t="e">
        <f>IF($C8="","",VLOOKUP($C8,AMABat!$A$10:$BV$140,S$4,FALSE))</f>
        <v>#N/A</v>
      </c>
      <c r="T8" s="31" t="e">
        <f>IF($C8="","",VLOOKUP($C8,AMABat!$A$10:$BV$140,T$4,FALSE))</f>
        <v>#N/A</v>
      </c>
      <c r="U8" s="345" t="e">
        <f t="shared" si="4"/>
        <v>#N/A</v>
      </c>
      <c r="V8" s="339" t="e">
        <f t="shared" si="5"/>
        <v>#N/A</v>
      </c>
      <c r="W8" s="339" t="e">
        <f t="shared" si="6"/>
        <v>#N/A</v>
      </c>
      <c r="X8" s="339" t="e">
        <f t="shared" si="7"/>
        <v>#N/A</v>
      </c>
      <c r="Y8" s="339" t="e">
        <f t="shared" si="8"/>
        <v>#N/A</v>
      </c>
      <c r="Z8" s="339" t="e">
        <f t="shared" si="9"/>
        <v>#N/A</v>
      </c>
      <c r="AA8" s="339" t="e">
        <f t="shared" si="10"/>
        <v>#N/A</v>
      </c>
      <c r="AB8" s="339" t="e">
        <f t="shared" si="11"/>
        <v>#N/A</v>
      </c>
      <c r="AC8" s="340" t="e">
        <f t="shared" si="12"/>
        <v>#N/A</v>
      </c>
      <c r="AD8" s="30" t="e">
        <f>IF($C8="","",VLOOKUP($C8,AMABat!$A$10:$BV$140,AD$4,FALSE))</f>
        <v>#N/A</v>
      </c>
      <c r="AE8" s="30" t="e">
        <f>IF($C8="","",VLOOKUP($C8,AMABat!$A$10:$BV$140,AE$4,FALSE))</f>
        <v>#N/A</v>
      </c>
      <c r="AF8" s="30" t="e">
        <f>IF($C8="","",VLOOKUP($C8,AMABat!$A$10:$BV$140,AF$4,FALSE))</f>
        <v>#N/A</v>
      </c>
      <c r="AG8" s="30" t="e">
        <f>IF($C8="","",VLOOKUP($C8,AMABat!$A$10:$BV$140,AG$4,FALSE))</f>
        <v>#N/A</v>
      </c>
      <c r="AH8" s="30" t="e">
        <f>IF($C8="","",VLOOKUP($C8,AMABat!$A$10:$BV$140,AH$4,FALSE))</f>
        <v>#N/A</v>
      </c>
      <c r="AI8" s="51" t="e">
        <f>IF($C8="","",VLOOKUP($C8,AMABat!$A$10:$BV$140,AI$4,FALSE))</f>
        <v>#N/A</v>
      </c>
      <c r="AJ8" s="31" t="e">
        <f>IF($C8="","",VLOOKUP($C8,AMABat!$A$10:$BV$140,AJ$4,FALSE))</f>
        <v>#N/A</v>
      </c>
      <c r="AK8" s="60" t="e">
        <f t="shared" si="13"/>
        <v>#N/A</v>
      </c>
      <c r="AL8" s="345" t="e">
        <f t="shared" si="14"/>
        <v>#N/A</v>
      </c>
      <c r="AM8" s="339" t="e">
        <f t="shared" si="15"/>
        <v>#N/A</v>
      </c>
      <c r="AN8" s="339" t="e">
        <f t="shared" si="16"/>
        <v>#N/A</v>
      </c>
      <c r="AO8" s="339" t="e">
        <f t="shared" si="17"/>
        <v>#N/A</v>
      </c>
      <c r="AP8" s="339" t="e">
        <f t="shared" si="18"/>
        <v>#N/A</v>
      </c>
      <c r="AQ8" s="339" t="e">
        <f t="shared" si="19"/>
        <v>#N/A</v>
      </c>
      <c r="AR8" s="339" t="e">
        <f t="shared" si="20"/>
        <v>#N/A</v>
      </c>
      <c r="AS8" s="339" t="e">
        <f t="shared" si="21"/>
        <v>#N/A</v>
      </c>
      <c r="AT8" s="340" t="e">
        <f t="shared" si="22"/>
        <v>#N/A</v>
      </c>
      <c r="AU8" s="51" t="e">
        <f>IF($C8="","",VLOOKUP($C8,AMABat!$A$10:$BV$140,AU$4,FALSE))</f>
        <v>#N/A</v>
      </c>
      <c r="AV8" s="30" t="e">
        <f>IF($C8="","",VLOOKUP($C8,AMABat!$A$10:$BV$140,AV$4,FALSE))</f>
        <v>#N/A</v>
      </c>
      <c r="AW8" s="30" t="e">
        <f>IF($C8="","",VLOOKUP($C8,AMABat!$A$10:$BV$140,AW$4,FALSE))</f>
        <v>#N/A</v>
      </c>
      <c r="AX8" s="30" t="e">
        <f>IF($C8="","",VLOOKUP($C8,AMABat!$A$10:$BV$140,AX$4,FALSE))</f>
        <v>#N/A</v>
      </c>
      <c r="AY8" s="31" t="e">
        <f>IF($C8="","",VLOOKUP($C8,AMABat!$A$10:$BV$140,AY$4,FALSE))</f>
        <v>#N/A</v>
      </c>
      <c r="AZ8" s="60" t="e">
        <f t="shared" si="23"/>
        <v>#N/A</v>
      </c>
    </row>
    <row r="9" spans="1:52" x14ac:dyDescent="0.25">
      <c r="A9" s="305">
        <v>4</v>
      </c>
      <c r="B9" s="29" t="s">
        <v>79</v>
      </c>
      <c r="C9" s="58" t="s">
        <v>519</v>
      </c>
      <c r="D9" s="30" t="e">
        <f>IF($C9="","",VLOOKUP($C9,AMABat!$A$10:$BV$140,D$4,FALSE))</f>
        <v>#N/A</v>
      </c>
      <c r="E9" s="30" t="e">
        <f>IF($C9="","",VLOOKUP($C9,AMABat!$A$10:$BV$140,E$4,FALSE))</f>
        <v>#N/A</v>
      </c>
      <c r="F9" s="345" t="e">
        <f t="shared" si="0"/>
        <v>#N/A</v>
      </c>
      <c r="G9" s="339" t="e">
        <f t="shared" si="1"/>
        <v>#N/A</v>
      </c>
      <c r="H9" s="339" t="e">
        <f t="shared" si="2"/>
        <v>#N/A</v>
      </c>
      <c r="I9" s="339" t="str">
        <f t="shared" si="3"/>
        <v>-</v>
      </c>
      <c r="J9" s="51" t="e">
        <f>IF($C9="","",VLOOKUP($C9,AMABat!$A$10:$BV$140,J$4,FALSE))</f>
        <v>#N/A</v>
      </c>
      <c r="K9" s="30" t="e">
        <f>IF($C9="","",VLOOKUP($C9,AMABat!$A$10:$BV$140,K$4,FALSE))</f>
        <v>#N/A</v>
      </c>
      <c r="L9" s="31" t="e">
        <f>IF($C9="","",VLOOKUP($C9,AMABat!$A$10:$BV$140,L$4,FALSE))</f>
        <v>#N/A</v>
      </c>
      <c r="M9" s="30" t="e">
        <f>IF($C9="","",VLOOKUP($C9,AMABat!$A$10:$BV$140,M$4,FALSE))</f>
        <v>#N/A</v>
      </c>
      <c r="N9" s="30" t="e">
        <f>IF($C9="","",VLOOKUP($C9,AMABat!$A$10:$BV$140,N$4,FALSE))</f>
        <v>#N/A</v>
      </c>
      <c r="O9" s="30" t="e">
        <f>IF($C9="","",VLOOKUP($C9,AMABat!$A$10:$BV$140,O$4,FALSE))</f>
        <v>#N/A</v>
      </c>
      <c r="P9" s="30" t="e">
        <f>IF($C9="","",VLOOKUP($C9,AMABat!$A$10:$BV$140,P$4,FALSE))</f>
        <v>#N/A</v>
      </c>
      <c r="Q9" s="30" t="e">
        <f>IF($C9="","",VLOOKUP($C9,AMABat!$A$10:$BV$140,Q$4,FALSE))</f>
        <v>#N/A</v>
      </c>
      <c r="R9" s="30" t="e">
        <f>IF($C9="","",VLOOKUP($C9,AMABat!$A$10:$BV$140,R$4,FALSE))</f>
        <v>#N/A</v>
      </c>
      <c r="S9" s="30" t="e">
        <f>IF($C9="","",VLOOKUP($C9,AMABat!$A$10:$BV$140,S$4,FALSE))</f>
        <v>#N/A</v>
      </c>
      <c r="T9" s="31" t="e">
        <f>IF($C9="","",VLOOKUP($C9,AMABat!$A$10:$BV$140,T$4,FALSE))</f>
        <v>#N/A</v>
      </c>
      <c r="U9" s="345" t="e">
        <f t="shared" si="4"/>
        <v>#N/A</v>
      </c>
      <c r="V9" s="339" t="e">
        <f t="shared" si="5"/>
        <v>#N/A</v>
      </c>
      <c r="W9" s="339" t="e">
        <f t="shared" si="6"/>
        <v>#N/A</v>
      </c>
      <c r="X9" s="339" t="e">
        <f t="shared" si="7"/>
        <v>#N/A</v>
      </c>
      <c r="Y9" s="339" t="e">
        <f t="shared" si="8"/>
        <v>#N/A</v>
      </c>
      <c r="Z9" s="339" t="e">
        <f t="shared" si="9"/>
        <v>#N/A</v>
      </c>
      <c r="AA9" s="339" t="e">
        <f t="shared" si="10"/>
        <v>#N/A</v>
      </c>
      <c r="AB9" s="339" t="e">
        <f t="shared" si="11"/>
        <v>#N/A</v>
      </c>
      <c r="AC9" s="340" t="e">
        <f t="shared" si="12"/>
        <v>#N/A</v>
      </c>
      <c r="AD9" s="30" t="e">
        <f>IF($C9="","",VLOOKUP($C9,AMABat!$A$10:$BV$140,AD$4,FALSE))</f>
        <v>#N/A</v>
      </c>
      <c r="AE9" s="30" t="e">
        <f>IF($C9="","",VLOOKUP($C9,AMABat!$A$10:$BV$140,AE$4,FALSE))</f>
        <v>#N/A</v>
      </c>
      <c r="AF9" s="30" t="e">
        <f>IF($C9="","",VLOOKUP($C9,AMABat!$A$10:$BV$140,AF$4,FALSE))</f>
        <v>#N/A</v>
      </c>
      <c r="AG9" s="30" t="e">
        <f>IF($C9="","",VLOOKUP($C9,AMABat!$A$10:$BV$140,AG$4,FALSE))</f>
        <v>#N/A</v>
      </c>
      <c r="AH9" s="30" t="e">
        <f>IF($C9="","",VLOOKUP($C9,AMABat!$A$10:$BV$140,AH$4,FALSE))</f>
        <v>#N/A</v>
      </c>
      <c r="AI9" s="51" t="e">
        <f>IF($C9="","",VLOOKUP($C9,AMABat!$A$10:$BV$140,AI$4,FALSE))</f>
        <v>#N/A</v>
      </c>
      <c r="AJ9" s="31" t="e">
        <f>IF($C9="","",VLOOKUP($C9,AMABat!$A$10:$BV$140,AJ$4,FALSE))</f>
        <v>#N/A</v>
      </c>
      <c r="AK9" s="60" t="e">
        <f t="shared" si="13"/>
        <v>#N/A</v>
      </c>
      <c r="AL9" s="345" t="e">
        <f t="shared" si="14"/>
        <v>#N/A</v>
      </c>
      <c r="AM9" s="339" t="e">
        <f t="shared" si="15"/>
        <v>#N/A</v>
      </c>
      <c r="AN9" s="339" t="e">
        <f t="shared" si="16"/>
        <v>#N/A</v>
      </c>
      <c r="AO9" s="339" t="e">
        <f t="shared" si="17"/>
        <v>#N/A</v>
      </c>
      <c r="AP9" s="339" t="e">
        <f t="shared" si="18"/>
        <v>#N/A</v>
      </c>
      <c r="AQ9" s="339" t="e">
        <f t="shared" si="19"/>
        <v>#N/A</v>
      </c>
      <c r="AR9" s="339" t="e">
        <f t="shared" si="20"/>
        <v>#N/A</v>
      </c>
      <c r="AS9" s="339" t="e">
        <f t="shared" si="21"/>
        <v>#N/A</v>
      </c>
      <c r="AT9" s="340" t="e">
        <f t="shared" si="22"/>
        <v>#N/A</v>
      </c>
      <c r="AU9" s="51" t="e">
        <f>IF($C9="","",VLOOKUP($C9,AMABat!$A$10:$BV$140,AU$4,FALSE))</f>
        <v>#N/A</v>
      </c>
      <c r="AV9" s="30" t="e">
        <f>IF($C9="","",VLOOKUP($C9,AMABat!$A$10:$BV$140,AV$4,FALSE))</f>
        <v>#N/A</v>
      </c>
      <c r="AW9" s="30" t="e">
        <f>IF($C9="","",VLOOKUP($C9,AMABat!$A$10:$BV$140,AW$4,FALSE))</f>
        <v>#N/A</v>
      </c>
      <c r="AX9" s="30" t="e">
        <f>IF($C9="","",VLOOKUP($C9,AMABat!$A$10:$BV$140,AX$4,FALSE))</f>
        <v>#N/A</v>
      </c>
      <c r="AY9" s="31" t="e">
        <f>IF($C9="","",VLOOKUP($C9,AMABat!$A$10:$BV$140,AY$4,FALSE))</f>
        <v>#N/A</v>
      </c>
      <c r="AZ9" s="60" t="e">
        <f t="shared" si="23"/>
        <v>#N/A</v>
      </c>
    </row>
    <row r="10" spans="1:52" x14ac:dyDescent="0.25">
      <c r="A10" s="305">
        <v>5</v>
      </c>
      <c r="B10" s="29" t="s">
        <v>10</v>
      </c>
      <c r="C10" s="58"/>
      <c r="D10" s="30" t="str">
        <f>IF($C10="","",VLOOKUP($C10,AMABat!$A$10:$BV$140,D$4,FALSE))</f>
        <v/>
      </c>
      <c r="E10" s="30" t="str">
        <f>IF($C10="","",VLOOKUP($C10,AMABat!$A$10:$BV$140,E$4,FALSE))</f>
        <v/>
      </c>
      <c r="F10" s="345" t="str">
        <f t="shared" si="0"/>
        <v/>
      </c>
      <c r="G10" s="339" t="str">
        <f t="shared" si="1"/>
        <v/>
      </c>
      <c r="H10" s="339" t="str">
        <f t="shared" si="2"/>
        <v/>
      </c>
      <c r="I10" s="339" t="str">
        <f t="shared" si="3"/>
        <v/>
      </c>
      <c r="J10" s="51" t="str">
        <f>IF($C10="","",VLOOKUP($C10,AMABat!$A$10:$BV$140,J$4,FALSE))</f>
        <v/>
      </c>
      <c r="K10" s="30" t="str">
        <f>IF($C10="","",VLOOKUP($C10,AMABat!$A$10:$BV$140,K$4,FALSE))</f>
        <v/>
      </c>
      <c r="L10" s="31" t="str">
        <f>IF($C10="","",VLOOKUP($C10,AMABat!$A$10:$BV$140,L$4,FALSE))</f>
        <v/>
      </c>
      <c r="M10" s="30" t="str">
        <f>IF($C10="","",VLOOKUP($C10,AMABat!$A$10:$BV$140,M$4,FALSE))</f>
        <v/>
      </c>
      <c r="N10" s="30" t="str">
        <f>IF($C10="","",VLOOKUP($C10,AMABat!$A$10:$BV$140,N$4,FALSE))</f>
        <v/>
      </c>
      <c r="O10" s="30" t="str">
        <f>IF($C10="","",VLOOKUP($C10,AMABat!$A$10:$BV$140,O$4,FALSE))</f>
        <v/>
      </c>
      <c r="P10" s="30" t="str">
        <f>IF($C10="","",VLOOKUP($C10,AMABat!$A$10:$BV$140,P$4,FALSE))</f>
        <v/>
      </c>
      <c r="Q10" s="30" t="str">
        <f>IF($C10="","",VLOOKUP($C10,AMABat!$A$10:$BV$140,Q$4,FALSE))</f>
        <v/>
      </c>
      <c r="R10" s="30" t="str">
        <f>IF($C10="","",VLOOKUP($C10,AMABat!$A$10:$BV$140,R$4,FALSE))</f>
        <v/>
      </c>
      <c r="S10" s="30" t="str">
        <f>IF($C10="","",VLOOKUP($C10,AMABat!$A$10:$BV$140,S$4,FALSE))</f>
        <v/>
      </c>
      <c r="T10" s="31" t="str">
        <f>IF($C10="","",VLOOKUP($C10,AMABat!$A$10:$BV$140,T$4,FALSE))</f>
        <v/>
      </c>
      <c r="U10" s="345" t="str">
        <f t="shared" si="4"/>
        <v/>
      </c>
      <c r="V10" s="339" t="str">
        <f t="shared" si="5"/>
        <v/>
      </c>
      <c r="W10" s="339" t="str">
        <f t="shared" si="6"/>
        <v/>
      </c>
      <c r="X10" s="339" t="str">
        <f t="shared" si="7"/>
        <v/>
      </c>
      <c r="Y10" s="339" t="str">
        <f t="shared" si="8"/>
        <v/>
      </c>
      <c r="Z10" s="339" t="str">
        <f t="shared" si="9"/>
        <v/>
      </c>
      <c r="AA10" s="339" t="str">
        <f t="shared" si="10"/>
        <v/>
      </c>
      <c r="AB10" s="339" t="str">
        <f t="shared" si="11"/>
        <v/>
      </c>
      <c r="AC10" s="340" t="str">
        <f t="shared" si="12"/>
        <v/>
      </c>
      <c r="AD10" s="30" t="str">
        <f>IF($C10="","",VLOOKUP($C10,AMABat!$A$10:$BV$140,AD$4,FALSE))</f>
        <v/>
      </c>
      <c r="AE10" s="30" t="str">
        <f>IF($C10="","",VLOOKUP($C10,AMABat!$A$10:$BV$140,AE$4,FALSE))</f>
        <v/>
      </c>
      <c r="AF10" s="30" t="str">
        <f>IF($C10="","",VLOOKUP($C10,AMABat!$A$10:$BV$140,AF$4,FALSE))</f>
        <v/>
      </c>
      <c r="AG10" s="30" t="str">
        <f>IF($C10="","",VLOOKUP($C10,AMABat!$A$10:$BV$140,AG$4,FALSE))</f>
        <v/>
      </c>
      <c r="AH10" s="30" t="str">
        <f>IF($C10="","",VLOOKUP($C10,AMABat!$A$10:$BV$140,AH$4,FALSE))</f>
        <v/>
      </c>
      <c r="AI10" s="51" t="str">
        <f>IF($C10="","",VLOOKUP($C10,AMABat!$A$10:$BV$140,AI$4,FALSE))</f>
        <v/>
      </c>
      <c r="AJ10" s="31" t="str">
        <f>IF($C10="","",VLOOKUP($C10,AMABat!$A$10:$BV$140,AJ$4,FALSE))</f>
        <v/>
      </c>
      <c r="AK10" s="60" t="str">
        <f t="shared" si="13"/>
        <v/>
      </c>
      <c r="AL10" s="345" t="str">
        <f t="shared" si="14"/>
        <v/>
      </c>
      <c r="AM10" s="339" t="str">
        <f t="shared" si="15"/>
        <v/>
      </c>
      <c r="AN10" s="339" t="str">
        <f t="shared" si="16"/>
        <v/>
      </c>
      <c r="AO10" s="339" t="str">
        <f t="shared" si="17"/>
        <v/>
      </c>
      <c r="AP10" s="339" t="str">
        <f t="shared" si="18"/>
        <v/>
      </c>
      <c r="AQ10" s="339" t="str">
        <f t="shared" si="19"/>
        <v/>
      </c>
      <c r="AR10" s="339" t="str">
        <f t="shared" si="20"/>
        <v/>
      </c>
      <c r="AS10" s="339" t="str">
        <f t="shared" si="21"/>
        <v/>
      </c>
      <c r="AT10" s="340" t="str">
        <f t="shared" si="22"/>
        <v/>
      </c>
      <c r="AU10" s="51" t="str">
        <f>IF($C10="","",VLOOKUP($C10,AMABat!$A$10:$BV$140,AU$4,FALSE))</f>
        <v/>
      </c>
      <c r="AV10" s="30" t="str">
        <f>IF($C10="","",VLOOKUP($C10,AMABat!$A$10:$BV$140,AV$4,FALSE))</f>
        <v/>
      </c>
      <c r="AW10" s="30" t="str">
        <f>IF($C10="","",VLOOKUP($C10,AMABat!$A$10:$BV$140,AW$4,FALSE))</f>
        <v/>
      </c>
      <c r="AX10" s="30" t="str">
        <f>IF($C10="","",VLOOKUP($C10,AMABat!$A$10:$BV$140,AX$4,FALSE))</f>
        <v/>
      </c>
      <c r="AY10" s="31" t="str">
        <f>IF($C10="","",VLOOKUP($C10,AMABat!$A$10:$BV$140,AY$4,FALSE))</f>
        <v/>
      </c>
      <c r="AZ10" s="60" t="str">
        <f t="shared" si="23"/>
        <v/>
      </c>
    </row>
    <row r="11" spans="1:52" x14ac:dyDescent="0.25">
      <c r="A11" s="305">
        <v>6</v>
      </c>
      <c r="B11" s="29" t="s">
        <v>80</v>
      </c>
      <c r="C11" s="58" t="s">
        <v>647</v>
      </c>
      <c r="D11" s="30" t="e">
        <f>IF($C11="","",VLOOKUP($C11,AMABat!$A$10:$BV$140,D$4,FALSE))</f>
        <v>#N/A</v>
      </c>
      <c r="E11" s="30" t="e">
        <f>IF($C11="","",VLOOKUP($C11,AMABat!$A$10:$BV$140,E$4,FALSE))</f>
        <v>#N/A</v>
      </c>
      <c r="F11" s="345" t="e">
        <f t="shared" si="0"/>
        <v>#N/A</v>
      </c>
      <c r="G11" s="339" t="e">
        <f t="shared" si="1"/>
        <v>#N/A</v>
      </c>
      <c r="H11" s="339" t="e">
        <f t="shared" si="2"/>
        <v>#N/A</v>
      </c>
      <c r="I11" s="339" t="str">
        <f t="shared" si="3"/>
        <v>-</v>
      </c>
      <c r="J11" s="51" t="e">
        <f>IF($C11="","",VLOOKUP($C11,AMABat!$A$10:$BV$140,J$4,FALSE))</f>
        <v>#N/A</v>
      </c>
      <c r="K11" s="30" t="e">
        <f>IF($C11="","",VLOOKUP($C11,AMABat!$A$10:$BV$140,K$4,FALSE))</f>
        <v>#N/A</v>
      </c>
      <c r="L11" s="31" t="e">
        <f>IF($C11="","",VLOOKUP($C11,AMABat!$A$10:$BV$140,L$4,FALSE))</f>
        <v>#N/A</v>
      </c>
      <c r="M11" s="30" t="e">
        <f>IF($C11="","",VLOOKUP($C11,AMABat!$A$10:$BV$140,M$4,FALSE))</f>
        <v>#N/A</v>
      </c>
      <c r="N11" s="30" t="e">
        <f>IF($C11="","",VLOOKUP($C11,AMABat!$A$10:$BV$140,N$4,FALSE))</f>
        <v>#N/A</v>
      </c>
      <c r="O11" s="30" t="e">
        <f>IF($C11="","",VLOOKUP($C11,AMABat!$A$10:$BV$140,O$4,FALSE))</f>
        <v>#N/A</v>
      </c>
      <c r="P11" s="30" t="e">
        <f>IF($C11="","",VLOOKUP($C11,AMABat!$A$10:$BV$140,P$4,FALSE))</f>
        <v>#N/A</v>
      </c>
      <c r="Q11" s="30" t="e">
        <f>IF($C11="","",VLOOKUP($C11,AMABat!$A$10:$BV$140,Q$4,FALSE))</f>
        <v>#N/A</v>
      </c>
      <c r="R11" s="30" t="e">
        <f>IF($C11="","",VLOOKUP($C11,AMABat!$A$10:$BV$140,R$4,FALSE))</f>
        <v>#N/A</v>
      </c>
      <c r="S11" s="30" t="e">
        <f>IF($C11="","",VLOOKUP($C11,AMABat!$A$10:$BV$140,S$4,FALSE))</f>
        <v>#N/A</v>
      </c>
      <c r="T11" s="31" t="e">
        <f>IF($C11="","",VLOOKUP($C11,AMABat!$A$10:$BV$140,T$4,FALSE))</f>
        <v>#N/A</v>
      </c>
      <c r="U11" s="345" t="e">
        <f t="shared" si="4"/>
        <v>#N/A</v>
      </c>
      <c r="V11" s="339" t="e">
        <f t="shared" si="5"/>
        <v>#N/A</v>
      </c>
      <c r="W11" s="339" t="e">
        <f t="shared" si="6"/>
        <v>#N/A</v>
      </c>
      <c r="X11" s="339" t="e">
        <f t="shared" si="7"/>
        <v>#N/A</v>
      </c>
      <c r="Y11" s="339" t="e">
        <f t="shared" si="8"/>
        <v>#N/A</v>
      </c>
      <c r="Z11" s="339" t="e">
        <f t="shared" si="9"/>
        <v>#N/A</v>
      </c>
      <c r="AA11" s="339" t="e">
        <f t="shared" si="10"/>
        <v>#N/A</v>
      </c>
      <c r="AB11" s="339" t="e">
        <f t="shared" si="11"/>
        <v>#N/A</v>
      </c>
      <c r="AC11" s="340" t="e">
        <f t="shared" si="12"/>
        <v>#N/A</v>
      </c>
      <c r="AD11" s="30" t="e">
        <f>IF($C11="","",VLOOKUP($C11,AMABat!$A$10:$BV$140,AD$4,FALSE))</f>
        <v>#N/A</v>
      </c>
      <c r="AE11" s="30" t="e">
        <f>IF($C11="","",VLOOKUP($C11,AMABat!$A$10:$BV$140,AE$4,FALSE))</f>
        <v>#N/A</v>
      </c>
      <c r="AF11" s="30" t="e">
        <f>IF($C11="","",VLOOKUP($C11,AMABat!$A$10:$BV$140,AF$4,FALSE))</f>
        <v>#N/A</v>
      </c>
      <c r="AG11" s="30" t="e">
        <f>IF($C11="","",VLOOKUP($C11,AMABat!$A$10:$BV$140,AG$4,FALSE))</f>
        <v>#N/A</v>
      </c>
      <c r="AH11" s="30" t="e">
        <f>IF($C11="","",VLOOKUP($C11,AMABat!$A$10:$BV$140,AH$4,FALSE))</f>
        <v>#N/A</v>
      </c>
      <c r="AI11" s="51" t="e">
        <f>IF($C11="","",VLOOKUP($C11,AMABat!$A$10:$BV$140,AI$4,FALSE))</f>
        <v>#N/A</v>
      </c>
      <c r="AJ11" s="31" t="e">
        <f>IF($C11="","",VLOOKUP($C11,AMABat!$A$10:$BV$140,AJ$4,FALSE))</f>
        <v>#N/A</v>
      </c>
      <c r="AK11" s="60" t="e">
        <f t="shared" si="13"/>
        <v>#N/A</v>
      </c>
      <c r="AL11" s="345" t="e">
        <f t="shared" si="14"/>
        <v>#N/A</v>
      </c>
      <c r="AM11" s="339" t="e">
        <f t="shared" si="15"/>
        <v>#N/A</v>
      </c>
      <c r="AN11" s="339" t="e">
        <f t="shared" si="16"/>
        <v>#N/A</v>
      </c>
      <c r="AO11" s="339" t="e">
        <f t="shared" si="17"/>
        <v>#N/A</v>
      </c>
      <c r="AP11" s="339" t="e">
        <f t="shared" si="18"/>
        <v>#N/A</v>
      </c>
      <c r="AQ11" s="339" t="e">
        <f t="shared" si="19"/>
        <v>#N/A</v>
      </c>
      <c r="AR11" s="339" t="e">
        <f t="shared" si="20"/>
        <v>#N/A</v>
      </c>
      <c r="AS11" s="339" t="e">
        <f t="shared" si="21"/>
        <v>#N/A</v>
      </c>
      <c r="AT11" s="340" t="e">
        <f t="shared" si="22"/>
        <v>#N/A</v>
      </c>
      <c r="AU11" s="51" t="e">
        <f>IF($C11="","",VLOOKUP($C11,AMABat!$A$10:$BV$140,AU$4,FALSE))</f>
        <v>#N/A</v>
      </c>
      <c r="AV11" s="30" t="e">
        <f>IF($C11="","",VLOOKUP($C11,AMABat!$A$10:$BV$140,AV$4,FALSE))</f>
        <v>#N/A</v>
      </c>
      <c r="AW11" s="30" t="e">
        <f>IF($C11="","",VLOOKUP($C11,AMABat!$A$10:$BV$140,AW$4,FALSE))</f>
        <v>#N/A</v>
      </c>
      <c r="AX11" s="30" t="e">
        <f>IF($C11="","",VLOOKUP($C11,AMABat!$A$10:$BV$140,AX$4,FALSE))</f>
        <v>#N/A</v>
      </c>
      <c r="AY11" s="31" t="e">
        <f>IF($C11="","",VLOOKUP($C11,AMABat!$A$10:$BV$140,AY$4,FALSE))</f>
        <v>#N/A</v>
      </c>
      <c r="AZ11" s="60" t="e">
        <f t="shared" si="23"/>
        <v>#N/A</v>
      </c>
    </row>
    <row r="12" spans="1:52" x14ac:dyDescent="0.25">
      <c r="A12" s="305">
        <v>7</v>
      </c>
      <c r="B12" s="29" t="s">
        <v>80</v>
      </c>
      <c r="C12" s="58" t="s">
        <v>754</v>
      </c>
      <c r="D12" s="30" t="e">
        <f>IF($C12="","",VLOOKUP($C12,AMABat!$A$10:$BV$140,D$4,FALSE))</f>
        <v>#N/A</v>
      </c>
      <c r="E12" s="30" t="e">
        <f>IF($C12="","",VLOOKUP($C12,AMABat!$A$10:$BV$140,E$4,FALSE))</f>
        <v>#N/A</v>
      </c>
      <c r="F12" s="345" t="e">
        <f t="shared" si="0"/>
        <v>#N/A</v>
      </c>
      <c r="G12" s="339" t="e">
        <f t="shared" si="1"/>
        <v>#N/A</v>
      </c>
      <c r="H12" s="339" t="e">
        <f t="shared" si="2"/>
        <v>#N/A</v>
      </c>
      <c r="I12" s="339" t="str">
        <f t="shared" si="3"/>
        <v>-</v>
      </c>
      <c r="J12" s="51" t="e">
        <f>IF($C12="","",VLOOKUP($C12,AMABat!$A$10:$BV$140,J$4,FALSE))</f>
        <v>#N/A</v>
      </c>
      <c r="K12" s="30" t="e">
        <f>IF($C12="","",VLOOKUP($C12,AMABat!$A$10:$BV$140,K$4,FALSE))</f>
        <v>#N/A</v>
      </c>
      <c r="L12" s="31" t="e">
        <f>IF($C12="","",VLOOKUP($C12,AMABat!$A$10:$BV$140,L$4,FALSE))</f>
        <v>#N/A</v>
      </c>
      <c r="M12" s="30" t="e">
        <f>IF($C12="","",VLOOKUP($C12,AMABat!$A$10:$BV$140,M$4,FALSE))</f>
        <v>#N/A</v>
      </c>
      <c r="N12" s="30" t="e">
        <f>IF($C12="","",VLOOKUP($C12,AMABat!$A$10:$BV$140,N$4,FALSE))</f>
        <v>#N/A</v>
      </c>
      <c r="O12" s="30" t="e">
        <f>IF($C12="","",VLOOKUP($C12,AMABat!$A$10:$BV$140,O$4,FALSE))</f>
        <v>#N/A</v>
      </c>
      <c r="P12" s="30" t="e">
        <f>IF($C12="","",VLOOKUP($C12,AMABat!$A$10:$BV$140,P$4,FALSE))</f>
        <v>#N/A</v>
      </c>
      <c r="Q12" s="30" t="e">
        <f>IF($C12="","",VLOOKUP($C12,AMABat!$A$10:$BV$140,Q$4,FALSE))</f>
        <v>#N/A</v>
      </c>
      <c r="R12" s="30" t="e">
        <f>IF($C12="","",VLOOKUP($C12,AMABat!$A$10:$BV$140,R$4,FALSE))</f>
        <v>#N/A</v>
      </c>
      <c r="S12" s="30" t="e">
        <f>IF($C12="","",VLOOKUP($C12,AMABat!$A$10:$BV$140,S$4,FALSE))</f>
        <v>#N/A</v>
      </c>
      <c r="T12" s="31" t="e">
        <f>IF($C12="","",VLOOKUP($C12,AMABat!$A$10:$BV$140,T$4,FALSE))</f>
        <v>#N/A</v>
      </c>
      <c r="U12" s="345" t="e">
        <f t="shared" si="4"/>
        <v>#N/A</v>
      </c>
      <c r="V12" s="339" t="e">
        <f t="shared" si="5"/>
        <v>#N/A</v>
      </c>
      <c r="W12" s="339" t="e">
        <f t="shared" si="6"/>
        <v>#N/A</v>
      </c>
      <c r="X12" s="339" t="e">
        <f t="shared" si="7"/>
        <v>#N/A</v>
      </c>
      <c r="Y12" s="339" t="e">
        <f t="shared" si="8"/>
        <v>#N/A</v>
      </c>
      <c r="Z12" s="339" t="e">
        <f t="shared" si="9"/>
        <v>#N/A</v>
      </c>
      <c r="AA12" s="339" t="e">
        <f t="shared" si="10"/>
        <v>#N/A</v>
      </c>
      <c r="AB12" s="339" t="e">
        <f t="shared" si="11"/>
        <v>#N/A</v>
      </c>
      <c r="AC12" s="340" t="e">
        <f t="shared" si="12"/>
        <v>#N/A</v>
      </c>
      <c r="AD12" s="30" t="e">
        <f>IF($C12="","",VLOOKUP($C12,AMABat!$A$10:$BV$140,AD$4,FALSE))</f>
        <v>#N/A</v>
      </c>
      <c r="AE12" s="30" t="e">
        <f>IF($C12="","",VLOOKUP($C12,AMABat!$A$10:$BV$140,AE$4,FALSE))</f>
        <v>#N/A</v>
      </c>
      <c r="AF12" s="30" t="e">
        <f>IF($C12="","",VLOOKUP($C12,AMABat!$A$10:$BV$140,AF$4,FALSE))</f>
        <v>#N/A</v>
      </c>
      <c r="AG12" s="30" t="e">
        <f>IF($C12="","",VLOOKUP($C12,AMABat!$A$10:$BV$140,AG$4,FALSE))</f>
        <v>#N/A</v>
      </c>
      <c r="AH12" s="30" t="e">
        <f>IF($C12="","",VLOOKUP($C12,AMABat!$A$10:$BV$140,AH$4,FALSE))</f>
        <v>#N/A</v>
      </c>
      <c r="AI12" s="51" t="e">
        <f>IF($C12="","",VLOOKUP($C12,AMABat!$A$10:$BV$140,AI$4,FALSE))</f>
        <v>#N/A</v>
      </c>
      <c r="AJ12" s="31" t="e">
        <f>IF($C12="","",VLOOKUP($C12,AMABat!$A$10:$BV$140,AJ$4,FALSE))</f>
        <v>#N/A</v>
      </c>
      <c r="AK12" s="60" t="e">
        <f t="shared" si="13"/>
        <v>#N/A</v>
      </c>
      <c r="AL12" s="345" t="e">
        <f t="shared" si="14"/>
        <v>#N/A</v>
      </c>
      <c r="AM12" s="339" t="e">
        <f t="shared" si="15"/>
        <v>#N/A</v>
      </c>
      <c r="AN12" s="339" t="e">
        <f t="shared" si="16"/>
        <v>#N/A</v>
      </c>
      <c r="AO12" s="339" t="e">
        <f t="shared" si="17"/>
        <v>#N/A</v>
      </c>
      <c r="AP12" s="339" t="e">
        <f t="shared" si="18"/>
        <v>#N/A</v>
      </c>
      <c r="AQ12" s="339" t="e">
        <f t="shared" si="19"/>
        <v>#N/A</v>
      </c>
      <c r="AR12" s="339" t="e">
        <f t="shared" si="20"/>
        <v>#N/A</v>
      </c>
      <c r="AS12" s="339" t="e">
        <f t="shared" si="21"/>
        <v>#N/A</v>
      </c>
      <c r="AT12" s="340" t="e">
        <f t="shared" si="22"/>
        <v>#N/A</v>
      </c>
      <c r="AU12" s="51" t="e">
        <f>IF($C12="","",VLOOKUP($C12,AMABat!$A$10:$BV$140,AU$4,FALSE))</f>
        <v>#N/A</v>
      </c>
      <c r="AV12" s="30" t="e">
        <f>IF($C12="","",VLOOKUP($C12,AMABat!$A$10:$BV$140,AV$4,FALSE))</f>
        <v>#N/A</v>
      </c>
      <c r="AW12" s="30" t="e">
        <f>IF($C12="","",VLOOKUP($C12,AMABat!$A$10:$BV$140,AW$4,FALSE))</f>
        <v>#N/A</v>
      </c>
      <c r="AX12" s="30" t="e">
        <f>IF($C12="","",VLOOKUP($C12,AMABat!$A$10:$BV$140,AX$4,FALSE))</f>
        <v>#N/A</v>
      </c>
      <c r="AY12" s="31" t="e">
        <f>IF($C12="","",VLOOKUP($C12,AMABat!$A$10:$BV$140,AY$4,FALSE))</f>
        <v>#N/A</v>
      </c>
      <c r="AZ12" s="60" t="e">
        <f t="shared" si="23"/>
        <v>#N/A</v>
      </c>
    </row>
    <row r="13" spans="1:52" x14ac:dyDescent="0.25">
      <c r="A13" s="305">
        <v>8</v>
      </c>
      <c r="B13" s="29" t="s">
        <v>80</v>
      </c>
      <c r="C13" s="58" t="s">
        <v>757</v>
      </c>
      <c r="D13" s="30" t="e">
        <f>IF($C13="","",VLOOKUP($C13,AMABat!$A$10:$BV$140,D$4,FALSE))</f>
        <v>#N/A</v>
      </c>
      <c r="E13" s="30" t="e">
        <f>IF($C13="","",VLOOKUP($C13,AMABat!$A$10:$BV$140,E$4,FALSE))</f>
        <v>#N/A</v>
      </c>
      <c r="F13" s="345" t="e">
        <f t="shared" si="0"/>
        <v>#N/A</v>
      </c>
      <c r="G13" s="339" t="e">
        <f t="shared" si="1"/>
        <v>#N/A</v>
      </c>
      <c r="H13" s="339" t="e">
        <f t="shared" si="2"/>
        <v>#N/A</v>
      </c>
      <c r="I13" s="339" t="str">
        <f t="shared" si="3"/>
        <v>-</v>
      </c>
      <c r="J13" s="51" t="e">
        <f>IF($C13="","",VLOOKUP($C13,AMABat!$A$10:$BV$140,J$4,FALSE))</f>
        <v>#N/A</v>
      </c>
      <c r="K13" s="30" t="e">
        <f>IF($C13="","",VLOOKUP($C13,AMABat!$A$10:$BV$140,K$4,FALSE))</f>
        <v>#N/A</v>
      </c>
      <c r="L13" s="31" t="e">
        <f>IF($C13="","",VLOOKUP($C13,AMABat!$A$10:$BV$140,L$4,FALSE))</f>
        <v>#N/A</v>
      </c>
      <c r="M13" s="30" t="e">
        <f>IF($C13="","",VLOOKUP($C13,AMABat!$A$10:$BV$140,M$4,FALSE))</f>
        <v>#N/A</v>
      </c>
      <c r="N13" s="30" t="e">
        <f>IF($C13="","",VLOOKUP($C13,AMABat!$A$10:$BV$140,N$4,FALSE))</f>
        <v>#N/A</v>
      </c>
      <c r="O13" s="30" t="e">
        <f>IF($C13="","",VLOOKUP($C13,AMABat!$A$10:$BV$140,O$4,FALSE))</f>
        <v>#N/A</v>
      </c>
      <c r="P13" s="30" t="e">
        <f>IF($C13="","",VLOOKUP($C13,AMABat!$A$10:$BV$140,P$4,FALSE))</f>
        <v>#N/A</v>
      </c>
      <c r="Q13" s="30" t="e">
        <f>IF($C13="","",VLOOKUP($C13,AMABat!$A$10:$BV$140,Q$4,FALSE))</f>
        <v>#N/A</v>
      </c>
      <c r="R13" s="30" t="e">
        <f>IF($C13="","",VLOOKUP($C13,AMABat!$A$10:$BV$140,R$4,FALSE))</f>
        <v>#N/A</v>
      </c>
      <c r="S13" s="30" t="e">
        <f>IF($C13="","",VLOOKUP($C13,AMABat!$A$10:$BV$140,S$4,FALSE))</f>
        <v>#N/A</v>
      </c>
      <c r="T13" s="31" t="e">
        <f>IF($C13="","",VLOOKUP($C13,AMABat!$A$10:$BV$140,T$4,FALSE))</f>
        <v>#N/A</v>
      </c>
      <c r="U13" s="345" t="e">
        <f t="shared" si="4"/>
        <v>#N/A</v>
      </c>
      <c r="V13" s="339" t="e">
        <f t="shared" si="5"/>
        <v>#N/A</v>
      </c>
      <c r="W13" s="339" t="e">
        <f t="shared" si="6"/>
        <v>#N/A</v>
      </c>
      <c r="X13" s="339" t="e">
        <f t="shared" si="7"/>
        <v>#N/A</v>
      </c>
      <c r="Y13" s="339" t="e">
        <f t="shared" si="8"/>
        <v>#N/A</v>
      </c>
      <c r="Z13" s="339" t="e">
        <f t="shared" si="9"/>
        <v>#N/A</v>
      </c>
      <c r="AA13" s="339" t="e">
        <f t="shared" si="10"/>
        <v>#N/A</v>
      </c>
      <c r="AB13" s="339" t="e">
        <f t="shared" si="11"/>
        <v>#N/A</v>
      </c>
      <c r="AC13" s="340" t="e">
        <f t="shared" si="12"/>
        <v>#N/A</v>
      </c>
      <c r="AD13" s="30" t="e">
        <f>IF($C13="","",VLOOKUP($C13,AMABat!$A$10:$BV$140,AD$4,FALSE))</f>
        <v>#N/A</v>
      </c>
      <c r="AE13" s="30" t="e">
        <f>IF($C13="","",VLOOKUP($C13,AMABat!$A$10:$BV$140,AE$4,FALSE))</f>
        <v>#N/A</v>
      </c>
      <c r="AF13" s="30" t="e">
        <f>IF($C13="","",VLOOKUP($C13,AMABat!$A$10:$BV$140,AF$4,FALSE))</f>
        <v>#N/A</v>
      </c>
      <c r="AG13" s="30" t="e">
        <f>IF($C13="","",VLOOKUP($C13,AMABat!$A$10:$BV$140,AG$4,FALSE))</f>
        <v>#N/A</v>
      </c>
      <c r="AH13" s="30" t="e">
        <f>IF($C13="","",VLOOKUP($C13,AMABat!$A$10:$BV$140,AH$4,FALSE))</f>
        <v>#N/A</v>
      </c>
      <c r="AI13" s="51" t="e">
        <f>IF($C13="","",VLOOKUP($C13,AMABat!$A$10:$BV$140,AI$4,FALSE))</f>
        <v>#N/A</v>
      </c>
      <c r="AJ13" s="31" t="e">
        <f>IF($C13="","",VLOOKUP($C13,AMABat!$A$10:$BV$140,AJ$4,FALSE))</f>
        <v>#N/A</v>
      </c>
      <c r="AK13" s="60" t="e">
        <f t="shared" si="13"/>
        <v>#N/A</v>
      </c>
      <c r="AL13" s="345" t="e">
        <f t="shared" si="14"/>
        <v>#N/A</v>
      </c>
      <c r="AM13" s="339" t="e">
        <f t="shared" si="15"/>
        <v>#N/A</v>
      </c>
      <c r="AN13" s="339" t="e">
        <f t="shared" si="16"/>
        <v>#N/A</v>
      </c>
      <c r="AO13" s="339" t="e">
        <f t="shared" si="17"/>
        <v>#N/A</v>
      </c>
      <c r="AP13" s="339" t="e">
        <f t="shared" si="18"/>
        <v>#N/A</v>
      </c>
      <c r="AQ13" s="339" t="e">
        <f t="shared" si="19"/>
        <v>#N/A</v>
      </c>
      <c r="AR13" s="339" t="e">
        <f t="shared" si="20"/>
        <v>#N/A</v>
      </c>
      <c r="AS13" s="339" t="e">
        <f t="shared" si="21"/>
        <v>#N/A</v>
      </c>
      <c r="AT13" s="340" t="e">
        <f t="shared" si="22"/>
        <v>#N/A</v>
      </c>
      <c r="AU13" s="51" t="e">
        <f>IF($C13="","",VLOOKUP($C13,AMABat!$A$10:$BV$140,AU$4,FALSE))</f>
        <v>#N/A</v>
      </c>
      <c r="AV13" s="30" t="e">
        <f>IF($C13="","",VLOOKUP($C13,AMABat!$A$10:$BV$140,AV$4,FALSE))</f>
        <v>#N/A</v>
      </c>
      <c r="AW13" s="30" t="e">
        <f>IF($C13="","",VLOOKUP($C13,AMABat!$A$10:$BV$140,AW$4,FALSE))</f>
        <v>#N/A</v>
      </c>
      <c r="AX13" s="30" t="e">
        <f>IF($C13="","",VLOOKUP($C13,AMABat!$A$10:$BV$140,AX$4,FALSE))</f>
        <v>#N/A</v>
      </c>
      <c r="AY13" s="31" t="e">
        <f>IF($C13="","",VLOOKUP($C13,AMABat!$A$10:$BV$140,AY$4,FALSE))</f>
        <v>#N/A</v>
      </c>
      <c r="AZ13" s="60" t="e">
        <f t="shared" si="23"/>
        <v>#N/A</v>
      </c>
    </row>
    <row r="14" spans="1:52" x14ac:dyDescent="0.25">
      <c r="A14" s="305">
        <v>9</v>
      </c>
      <c r="B14" s="32" t="s">
        <v>80</v>
      </c>
      <c r="C14" s="33"/>
      <c r="D14" s="33" t="str">
        <f>IF($C14="","",VLOOKUP($C14,AMABat!$A$10:$BV$140,D$4,FALSE))</f>
        <v/>
      </c>
      <c r="E14" s="33" t="str">
        <f>IF($C14="","",VLOOKUP($C14,AMABat!$A$10:$BV$140,E$4,FALSE))</f>
        <v/>
      </c>
      <c r="F14" s="47" t="str">
        <f t="shared" si="0"/>
        <v/>
      </c>
      <c r="G14" s="337" t="str">
        <f t="shared" si="1"/>
        <v/>
      </c>
      <c r="H14" s="337" t="str">
        <f t="shared" si="2"/>
        <v/>
      </c>
      <c r="I14" s="337" t="str">
        <f t="shared" si="3"/>
        <v/>
      </c>
      <c r="J14" s="52" t="str">
        <f>IF($C14="","",VLOOKUP($C14,AMABat!$A$10:$BV$140,J$4,FALSE))</f>
        <v/>
      </c>
      <c r="K14" s="33" t="str">
        <f>IF($C14="","",VLOOKUP($C14,AMABat!$A$10:$BV$140,K$4,FALSE))</f>
        <v/>
      </c>
      <c r="L14" s="35" t="str">
        <f>IF($C14="","",VLOOKUP($C14,AMABat!$A$10:$BV$140,L$4,FALSE))</f>
        <v/>
      </c>
      <c r="M14" s="33" t="str">
        <f>IF($C14="","",VLOOKUP($C14,AMABat!$A$10:$BV$140,M$4,FALSE))</f>
        <v/>
      </c>
      <c r="N14" s="33" t="str">
        <f>IF($C14="","",VLOOKUP($C14,AMABat!$A$10:$BV$140,N$4,FALSE))</f>
        <v/>
      </c>
      <c r="O14" s="33" t="str">
        <f>IF($C14="","",VLOOKUP($C14,AMABat!$A$10:$BV$140,O$4,FALSE))</f>
        <v/>
      </c>
      <c r="P14" s="33" t="str">
        <f>IF($C14="","",VLOOKUP($C14,AMABat!$A$10:$BV$140,P$4,FALSE))</f>
        <v/>
      </c>
      <c r="Q14" s="33" t="str">
        <f>IF($C14="","",VLOOKUP($C14,AMABat!$A$10:$BV$140,Q$4,FALSE))</f>
        <v/>
      </c>
      <c r="R14" s="33" t="str">
        <f>IF($C14="","",VLOOKUP($C14,AMABat!$A$10:$BV$140,R$4,FALSE))</f>
        <v/>
      </c>
      <c r="S14" s="33" t="str">
        <f>IF($C14="","",VLOOKUP($C14,AMABat!$A$10:$BV$140,S$4,FALSE))</f>
        <v/>
      </c>
      <c r="T14" s="35" t="str">
        <f>IF($C14="","",VLOOKUP($C14,AMABat!$A$10:$BV$140,T$4,FALSE))</f>
        <v/>
      </c>
      <c r="U14" s="47" t="str">
        <f t="shared" si="4"/>
        <v/>
      </c>
      <c r="V14" s="337" t="str">
        <f t="shared" si="5"/>
        <v/>
      </c>
      <c r="W14" s="337" t="str">
        <f t="shared" si="6"/>
        <v/>
      </c>
      <c r="X14" s="337" t="str">
        <f t="shared" si="7"/>
        <v/>
      </c>
      <c r="Y14" s="337" t="str">
        <f t="shared" si="8"/>
        <v/>
      </c>
      <c r="Z14" s="337" t="str">
        <f t="shared" si="9"/>
        <v/>
      </c>
      <c r="AA14" s="337" t="str">
        <f t="shared" si="10"/>
        <v/>
      </c>
      <c r="AB14" s="337" t="str">
        <f t="shared" si="11"/>
        <v/>
      </c>
      <c r="AC14" s="338" t="str">
        <f t="shared" si="12"/>
        <v/>
      </c>
      <c r="AD14" s="33" t="str">
        <f>IF($C14="","",VLOOKUP($C14,AMABat!$A$10:$BV$140,AD$4,FALSE))</f>
        <v/>
      </c>
      <c r="AE14" s="33" t="str">
        <f>IF($C14="","",VLOOKUP($C14,AMABat!$A$10:$BV$140,AE$4,FALSE))</f>
        <v/>
      </c>
      <c r="AF14" s="33" t="str">
        <f>IF($C14="","",VLOOKUP($C14,AMABat!$A$10:$BV$140,AF$4,FALSE))</f>
        <v/>
      </c>
      <c r="AG14" s="33" t="str">
        <f>IF($C14="","",VLOOKUP($C14,AMABat!$A$10:$BV$140,AG$4,FALSE))</f>
        <v/>
      </c>
      <c r="AH14" s="33" t="str">
        <f>IF($C14="","",VLOOKUP($C14,AMABat!$A$10:$BV$140,AH$4,FALSE))</f>
        <v/>
      </c>
      <c r="AI14" s="52" t="str">
        <f>IF($C14="","",VLOOKUP($C14,AMABat!$A$10:$BV$140,AI$4,FALSE))</f>
        <v/>
      </c>
      <c r="AJ14" s="35" t="str">
        <f>IF($C14="","",VLOOKUP($C14,AMABat!$A$10:$BV$140,AJ$4,FALSE))</f>
        <v/>
      </c>
      <c r="AK14" s="61" t="str">
        <f t="shared" si="13"/>
        <v/>
      </c>
      <c r="AL14" s="47" t="str">
        <f t="shared" si="14"/>
        <v/>
      </c>
      <c r="AM14" s="337" t="str">
        <f t="shared" si="15"/>
        <v/>
      </c>
      <c r="AN14" s="337" t="str">
        <f t="shared" si="16"/>
        <v/>
      </c>
      <c r="AO14" s="337" t="str">
        <f t="shared" si="17"/>
        <v/>
      </c>
      <c r="AP14" s="337" t="str">
        <f t="shared" si="18"/>
        <v/>
      </c>
      <c r="AQ14" s="337" t="str">
        <f t="shared" si="19"/>
        <v/>
      </c>
      <c r="AR14" s="337" t="str">
        <f t="shared" si="20"/>
        <v/>
      </c>
      <c r="AS14" s="337" t="str">
        <f t="shared" si="21"/>
        <v/>
      </c>
      <c r="AT14" s="338" t="str">
        <f t="shared" si="22"/>
        <v/>
      </c>
      <c r="AU14" s="52" t="str">
        <f>IF($C14="","",VLOOKUP($C14,AMABat!$A$10:$BV$140,AU$4,FALSE))</f>
        <v/>
      </c>
      <c r="AV14" s="33" t="str">
        <f>IF($C14="","",VLOOKUP($C14,AMABat!$A$10:$BV$140,AV$4,FALSE))</f>
        <v/>
      </c>
      <c r="AW14" s="33" t="str">
        <f>IF($C14="","",VLOOKUP($C14,AMABat!$A$10:$BV$140,AW$4,FALSE))</f>
        <v/>
      </c>
      <c r="AX14" s="33" t="str">
        <f>IF($C14="","",VLOOKUP($C14,AMABat!$A$10:$BV$140,AX$4,FALSE))</f>
        <v/>
      </c>
      <c r="AY14" s="35" t="str">
        <f>IF($C14="","",VLOOKUP($C14,AMABat!$A$10:$BV$140,AY$4,FALSE))</f>
        <v/>
      </c>
      <c r="AZ14" s="61" t="str">
        <f t="shared" si="23"/>
        <v/>
      </c>
    </row>
    <row r="15" spans="1:52" x14ac:dyDescent="0.25">
      <c r="A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</row>
    <row r="16" spans="1:52" ht="196.5" x14ac:dyDescent="0.25">
      <c r="A16" s="18" t="s">
        <v>170</v>
      </c>
      <c r="B16" s="341" t="s">
        <v>103</v>
      </c>
      <c r="C16" s="37" t="str">
        <f>"Player ("&amp;COUNTA(C17:C22)&amp;")"</f>
        <v>Player (5)</v>
      </c>
      <c r="D16" s="37" t="s">
        <v>70</v>
      </c>
      <c r="E16" s="37" t="s">
        <v>80</v>
      </c>
      <c r="F16" s="44" t="e">
        <f>"Only 1 guy who only plays 2B ("&amp;SUM(F17:F22)&amp;")"</f>
        <v>#N/A</v>
      </c>
      <c r="G16" s="39" t="e">
        <f>"2 Guys Who Play SS ("&amp;SUM(G17:G22)&amp;")"</f>
        <v>#N/A</v>
      </c>
      <c r="H16" s="39" t="e">
        <f>"2 guys with 3B arm ("&amp;SUM(H17:H22)&amp;")"</f>
        <v>#N/A</v>
      </c>
      <c r="I16" s="42" t="s">
        <v>32</v>
      </c>
      <c r="J16" s="40" t="s">
        <v>114</v>
      </c>
      <c r="K16" s="40" t="s">
        <v>112</v>
      </c>
      <c r="L16" s="40" t="s">
        <v>113</v>
      </c>
      <c r="M16" s="56" t="s">
        <v>71</v>
      </c>
      <c r="N16" s="41" t="s">
        <v>73</v>
      </c>
      <c r="O16" s="41" t="s">
        <v>74</v>
      </c>
      <c r="P16" s="41" t="s">
        <v>75</v>
      </c>
      <c r="Q16" s="41" t="s">
        <v>76</v>
      </c>
      <c r="R16" s="41" t="s">
        <v>77</v>
      </c>
      <c r="S16" s="41" t="s">
        <v>78</v>
      </c>
      <c r="T16" s="42" t="s">
        <v>79</v>
      </c>
      <c r="U16" s="38" t="s">
        <v>115</v>
      </c>
      <c r="V16" s="38" t="s">
        <v>158</v>
      </c>
      <c r="W16" s="38" t="s">
        <v>116</v>
      </c>
      <c r="X16" s="38" t="s">
        <v>117</v>
      </c>
      <c r="Y16" s="38" t="s">
        <v>118</v>
      </c>
      <c r="Z16" s="38" t="s">
        <v>119</v>
      </c>
      <c r="AA16" s="38" t="s">
        <v>120</v>
      </c>
      <c r="AB16" s="38" t="s">
        <v>122</v>
      </c>
      <c r="AC16" s="38" t="s">
        <v>121</v>
      </c>
      <c r="AD16" s="56" t="s">
        <v>125</v>
      </c>
      <c r="AE16" s="41" t="s">
        <v>126</v>
      </c>
      <c r="AF16" s="41" t="s">
        <v>127</v>
      </c>
      <c r="AG16" s="41" t="s">
        <v>128</v>
      </c>
      <c r="AH16" s="41" t="s">
        <v>21</v>
      </c>
      <c r="AI16" s="41" t="s">
        <v>129</v>
      </c>
      <c r="AJ16" s="42" t="s">
        <v>130</v>
      </c>
      <c r="AK16" s="59" t="s">
        <v>134</v>
      </c>
      <c r="AL16" s="38" t="s">
        <v>115</v>
      </c>
      <c r="AM16" s="38" t="s">
        <v>158</v>
      </c>
      <c r="AN16" s="38" t="s">
        <v>116</v>
      </c>
      <c r="AO16" s="38" t="s">
        <v>117</v>
      </c>
      <c r="AP16" s="38" t="s">
        <v>118</v>
      </c>
      <c r="AQ16" s="38" t="s">
        <v>119</v>
      </c>
      <c r="AR16" s="38" t="s">
        <v>120</v>
      </c>
      <c r="AS16" s="38" t="s">
        <v>122</v>
      </c>
      <c r="AT16" s="38" t="s">
        <v>121</v>
      </c>
      <c r="AU16" s="56" t="s">
        <v>125</v>
      </c>
      <c r="AV16" s="41" t="s">
        <v>126</v>
      </c>
      <c r="AW16" s="41" t="s">
        <v>127</v>
      </c>
      <c r="AX16" s="41" t="s">
        <v>128</v>
      </c>
      <c r="AY16" s="42" t="s">
        <v>21</v>
      </c>
      <c r="AZ16" s="59" t="s">
        <v>174</v>
      </c>
    </row>
    <row r="17" spans="1:52" x14ac:dyDescent="0.25">
      <c r="A17" s="305">
        <v>1</v>
      </c>
      <c r="B17" s="29" t="s">
        <v>74</v>
      </c>
      <c r="C17" s="30" t="s">
        <v>753</v>
      </c>
      <c r="D17" s="30" t="e">
        <f>IF($C17="","",VLOOKUP($C17,AMABat!$A$10:$BV$140,D$4,FALSE))</f>
        <v>#N/A</v>
      </c>
      <c r="E17" s="26" t="e">
        <f>IF($C17="","",VLOOKUP($C17,AMABat!$A$10:$BV$140,E$4,FALSE))</f>
        <v>#N/A</v>
      </c>
      <c r="F17" s="345" t="e">
        <f t="shared" ref="F17:F22" si="24">IF($C17="","",IF(AND(O17&gt;0,O17=SUM(M17:T17)),1,0))</f>
        <v>#N/A</v>
      </c>
      <c r="G17" s="339" t="e">
        <f t="shared" ref="G17:G22" si="25">IF($C17="","",IF(Q17&lt;&gt;"-",1,0))</f>
        <v>#N/A</v>
      </c>
      <c r="H17" s="339" t="e">
        <f t="shared" ref="H17:H22" si="26">IF($C17="","",IF(AND(K17&gt;5,P17&lt;&gt;"-"),1,0))</f>
        <v>#N/A</v>
      </c>
      <c r="I17" s="340" t="str">
        <f t="shared" ref="I17:I22" si="27">IF($C17="","","-")</f>
        <v>-</v>
      </c>
      <c r="J17" s="30" t="e">
        <f>IF($C17="","",VLOOKUP($C17,AMABat!$A$10:$BV$140,J$4,FALSE))</f>
        <v>#N/A</v>
      </c>
      <c r="K17" s="30" t="e">
        <f>IF($C17="","",VLOOKUP($C17,AMABat!$A$10:$BV$140,K$4,FALSE))</f>
        <v>#N/A</v>
      </c>
      <c r="L17" s="30" t="e">
        <f>IF($C17="","",VLOOKUP($C17,AMABat!$A$10:$BV$140,L$4,FALSE))</f>
        <v>#N/A</v>
      </c>
      <c r="M17" s="51" t="e">
        <f>IF($C17="","",VLOOKUP($C17,AMABat!$A$10:$BV$140,M$4,FALSE))</f>
        <v>#N/A</v>
      </c>
      <c r="N17" s="30" t="e">
        <f>IF($C17="","",VLOOKUP($C17,AMABat!$A$10:$BV$140,N$4,FALSE))</f>
        <v>#N/A</v>
      </c>
      <c r="O17" s="30" t="e">
        <f>IF($C17="","",VLOOKUP($C17,AMABat!$A$10:$BV$140,O$4,FALSE))</f>
        <v>#N/A</v>
      </c>
      <c r="P17" s="30" t="e">
        <f>IF($C17="","",VLOOKUP($C17,AMABat!$A$10:$BV$140,P$4,FALSE))</f>
        <v>#N/A</v>
      </c>
      <c r="Q17" s="30" t="e">
        <f>IF($C17="","",VLOOKUP($C17,AMABat!$A$10:$BV$140,Q$4,FALSE))</f>
        <v>#N/A</v>
      </c>
      <c r="R17" s="30" t="e">
        <f>IF($C17="","",VLOOKUP($C17,AMABat!$A$10:$BV$140,R$4,FALSE))</f>
        <v>#N/A</v>
      </c>
      <c r="S17" s="30" t="e">
        <f>IF($C17="","",VLOOKUP($C17,AMABat!$A$10:$BV$140,S$4,FALSE))</f>
        <v>#N/A</v>
      </c>
      <c r="T17" s="31" t="e">
        <f>IF($C17="","",VLOOKUP($C17,AMABat!$A$10:$BV$140,T$4,FALSE))</f>
        <v>#N/A</v>
      </c>
      <c r="U17" s="339" t="e">
        <f t="shared" ref="U17:U22" si="28">IF($C17="","",IF(OR(AD17+AG17&gt;14,AND(OR(AD17+AG17&gt;12,AND(AD17&gt;6,AG17&gt;6)),AI17&gt;6,OR(AJ17&gt;=AI17,AJ17&gt;6))),1,0))</f>
        <v>#N/A</v>
      </c>
      <c r="V17" s="339" t="e">
        <f t="shared" ref="V17:V22" si="29">IF($C17="","",IF(OR(AND(AD17&gt;6,AH17&gt;6),AD17+AG17&gt;12),1,0))</f>
        <v>#N/A</v>
      </c>
      <c r="W17" s="339" t="e">
        <f t="shared" ref="W17:W22" si="30">IF($C17="","",IF(AND(AD17&gt;6,AF17&gt;6,AG17&gt;6),1,0))</f>
        <v>#N/A</v>
      </c>
      <c r="X17" s="339" t="e">
        <f t="shared" ref="X17:X22" si="31">IF($C17="","",IF(AND(AF17&gt;7,OR(AD17&gt;6,AG17&gt;6)),1,0))</f>
        <v>#N/A</v>
      </c>
      <c r="Y17" s="339" t="e">
        <f t="shared" ref="Y17:Y22" si="32">IF($C17="","",IF(AND(AF17&gt;6,OR(AD17&gt;6,AG17&gt;6)),1,0))</f>
        <v>#N/A</v>
      </c>
      <c r="Z17" s="339" t="e">
        <f t="shared" ref="Z17:Z22" si="33">IF($C17="","",IF(AND(OR(AD17&gt;6,AF17&gt;6),OR(AD17&gt;6,AG17&gt;6)),1,0))</f>
        <v>#N/A</v>
      </c>
      <c r="AA17" s="339" t="e">
        <f t="shared" ref="AA17:AA22" si="34">IF($C17="","",IF(AND(AD17&gt;4,OR(AD17&gt;6,AF17&gt;6,AG17&gt;6)),1,0))</f>
        <v>#N/A</v>
      </c>
      <c r="AB17" s="339" t="e">
        <f t="shared" ref="AB17:AB22" si="35">IF($C17="","",IF(AND(AD17&gt;4,OR(AD17&gt;6,AE17&gt;6,AF17&gt;6,AG17&gt;6)),1,0))</f>
        <v>#N/A</v>
      </c>
      <c r="AC17" s="339" t="e">
        <f t="shared" ref="AC17:AC22" si="36">IF($C17="","",IF(AND(AD17&gt;4,MAX(AD17:AH17)&gt;6),1,0))</f>
        <v>#N/A</v>
      </c>
      <c r="AD17" s="51" t="e">
        <f>IF($C17="","",VLOOKUP($C17,AMABat!$A$10:$BV$140,AD$4,FALSE))</f>
        <v>#N/A</v>
      </c>
      <c r="AE17" s="30" t="e">
        <f>IF($C17="","",VLOOKUP($C17,AMABat!$A$10:$BV$140,AE$4,FALSE))</f>
        <v>#N/A</v>
      </c>
      <c r="AF17" s="30" t="e">
        <f>IF($C17="","",VLOOKUP($C17,AMABat!$A$10:$BV$140,AF$4,FALSE))</f>
        <v>#N/A</v>
      </c>
      <c r="AG17" s="30" t="e">
        <f>IF($C17="","",VLOOKUP($C17,AMABat!$A$10:$BV$140,AG$4,FALSE))</f>
        <v>#N/A</v>
      </c>
      <c r="AH17" s="30" t="e">
        <f>IF($C17="","",VLOOKUP($C17,AMABat!$A$10:$BV$140,AH$4,FALSE))</f>
        <v>#N/A</v>
      </c>
      <c r="AI17" s="30" t="e">
        <f>IF($C17="","",VLOOKUP($C17,AMABat!$A$10:$BV$140,AI$4,FALSE))</f>
        <v>#N/A</v>
      </c>
      <c r="AJ17" s="31" t="e">
        <f>IF($C17="","",VLOOKUP($C17,AMABat!$A$10:$BV$140,AJ$4,FALSE))</f>
        <v>#N/A</v>
      </c>
      <c r="AK17" s="60" t="e">
        <f t="shared" ref="AK17:AK22" si="37">IF($C17="","",(5*AD17+4*AF17+3*AG17+2*AE17+1*AH17+0.5*(AVERAGE(AD17:AE17))+0.5*AVERAGE(AD17,AH17)+1*(AVERAGE(AD17,AF17))+1*AVERAGE(AD17,AG17))/(5+4+3+2+1+0.5+0.5+1+1))</f>
        <v>#N/A</v>
      </c>
      <c r="AL17" s="339" t="e">
        <f t="shared" ref="AL17:AL22" si="38">IF($C17="","",IF(AND(OR(AU17+AX17&gt;12,AND(AU17&gt;6,AX17&gt;6)),AI17&gt;6,OR(AJ17&gt;=AI17,AJ17&gt;6)),1,0))</f>
        <v>#N/A</v>
      </c>
      <c r="AM17" s="339" t="e">
        <f t="shared" ref="AM17:AM22" si="39">IF($C17="","",IF(OR(AND(AU17&gt;6,AY17&gt;6),AU17+AX17&gt;12),1,0))</f>
        <v>#N/A</v>
      </c>
      <c r="AN17" s="339" t="e">
        <f t="shared" ref="AN17:AN22" si="40">IF($C17="","",IF(AND(AU17&gt;6,AW17&gt;6,AX17&gt;6),1,0))</f>
        <v>#N/A</v>
      </c>
      <c r="AO17" s="339" t="e">
        <f t="shared" ref="AO17:AO22" si="41">IF($C17="","",IF(AND(AW17&gt;7,OR(AU17&gt;6,AX17&gt;6)),1,0))</f>
        <v>#N/A</v>
      </c>
      <c r="AP17" s="339" t="e">
        <f t="shared" ref="AP17:AP22" si="42">IF($C17="","",IF(AND(AW17&gt;6,OR(AU17&gt;6,AX17&gt;6)),1,0))</f>
        <v>#N/A</v>
      </c>
      <c r="AQ17" s="339" t="e">
        <f t="shared" ref="AQ17:AQ22" si="43">IF($C17="","",IF(AND(OR(AU17&gt;6,AW17&gt;6),OR(AU17&gt;6,AX17&gt;6)),1,0))</f>
        <v>#N/A</v>
      </c>
      <c r="AR17" s="339" t="e">
        <f t="shared" ref="AR17:AR22" si="44">IF($C17="","",IF(AND(AU17&gt;4,OR(AU17&gt;6,AW17&gt;6,AX17&gt;6)),1,0))</f>
        <v>#N/A</v>
      </c>
      <c r="AS17" s="339" t="e">
        <f t="shared" ref="AS17:AS22" si="45">IF($C17="","",IF(AND(AU17&gt;4,OR(AU17&gt;6,AV17&gt;6,AW17&gt;6,AX17&gt;6)),1,0))</f>
        <v>#N/A</v>
      </c>
      <c r="AT17" s="339" t="e">
        <f t="shared" ref="AT17:AT22" si="46">IF($C17="","",IF(AND(AU17&gt;4,MAX(AU17:AY17)&gt;6),1,0))</f>
        <v>#N/A</v>
      </c>
      <c r="AU17" s="51" t="e">
        <f>IF($C17="","",VLOOKUP($C17,AMABat!$A$10:$BV$140,AU$4,FALSE))</f>
        <v>#N/A</v>
      </c>
      <c r="AV17" s="30" t="e">
        <f>IF($C17="","",VLOOKUP($C17,AMABat!$A$10:$BV$140,AV$4,FALSE))</f>
        <v>#N/A</v>
      </c>
      <c r="AW17" s="30" t="e">
        <f>IF($C17="","",VLOOKUP($C17,AMABat!$A$10:$BV$140,AW$4,FALSE))</f>
        <v>#N/A</v>
      </c>
      <c r="AX17" s="30" t="e">
        <f>IF($C17="","",VLOOKUP($C17,AMABat!$A$10:$BV$140,AX$4,FALSE))</f>
        <v>#N/A</v>
      </c>
      <c r="AY17" s="31" t="e">
        <f>IF($C17="","",VLOOKUP($C17,AMABat!$A$10:$BV$140,AY$4,FALSE))</f>
        <v>#N/A</v>
      </c>
      <c r="AZ17" s="60" t="e">
        <f t="shared" ref="AZ17:AZ22" si="47">IF($C17="","",(5*AU17+4*AW17+3*AX17+2*AV17+1*AY17+0.5*(AVERAGE(AU17:AV17))+0.5*AVERAGE(AU17,AY17)+1*(AVERAGE(AU17,AW17))+1*AVERAGE(AU17,AX17))/(5+4+3+2+1+0.5+0.5+1+1))</f>
        <v>#N/A</v>
      </c>
    </row>
    <row r="18" spans="1:52" x14ac:dyDescent="0.25">
      <c r="A18" s="305">
        <v>2</v>
      </c>
      <c r="B18" s="29" t="s">
        <v>75</v>
      </c>
      <c r="C18" s="58" t="s">
        <v>755</v>
      </c>
      <c r="D18" s="30" t="e">
        <f>IF($C18="","",VLOOKUP($C18,AMABat!$A$10:$BV$140,D$4,FALSE))</f>
        <v>#N/A</v>
      </c>
      <c r="E18" s="30" t="e">
        <f>IF($C18="","",VLOOKUP($C18,AMABat!$A$10:$BV$140,E$4,FALSE))</f>
        <v>#N/A</v>
      </c>
      <c r="F18" s="345" t="e">
        <f t="shared" si="24"/>
        <v>#N/A</v>
      </c>
      <c r="G18" s="339" t="e">
        <f t="shared" si="25"/>
        <v>#N/A</v>
      </c>
      <c r="H18" s="339" t="e">
        <f t="shared" si="26"/>
        <v>#N/A</v>
      </c>
      <c r="I18" s="340" t="str">
        <f t="shared" si="27"/>
        <v>-</v>
      </c>
      <c r="J18" s="30" t="e">
        <f>IF($C18="","",VLOOKUP($C18,AMABat!$A$10:$BV$140,J$4,FALSE))</f>
        <v>#N/A</v>
      </c>
      <c r="K18" s="30" t="e">
        <f>IF($C18="","",VLOOKUP($C18,AMABat!$A$10:$BV$140,K$4,FALSE))</f>
        <v>#N/A</v>
      </c>
      <c r="L18" s="30" t="e">
        <f>IF($C18="","",VLOOKUP($C18,AMABat!$A$10:$BV$140,L$4,FALSE))</f>
        <v>#N/A</v>
      </c>
      <c r="M18" s="51" t="e">
        <f>IF($C18="","",VLOOKUP($C18,AMABat!$A$10:$BV$140,M$4,FALSE))</f>
        <v>#N/A</v>
      </c>
      <c r="N18" s="30" t="e">
        <f>IF($C18="","",VLOOKUP($C18,AMABat!$A$10:$BV$140,N$4,FALSE))</f>
        <v>#N/A</v>
      </c>
      <c r="O18" s="30" t="e">
        <f>IF($C18="","",VLOOKUP($C18,AMABat!$A$10:$BV$140,O$4,FALSE))</f>
        <v>#N/A</v>
      </c>
      <c r="P18" s="30" t="e">
        <f>IF($C18="","",VLOOKUP($C18,AMABat!$A$10:$BV$140,P$4,FALSE))</f>
        <v>#N/A</v>
      </c>
      <c r="Q18" s="30" t="e">
        <f>IF($C18="","",VLOOKUP($C18,AMABat!$A$10:$BV$140,Q$4,FALSE))</f>
        <v>#N/A</v>
      </c>
      <c r="R18" s="30" t="e">
        <f>IF($C18="","",VLOOKUP($C18,AMABat!$A$10:$BV$140,R$4,FALSE))</f>
        <v>#N/A</v>
      </c>
      <c r="S18" s="30" t="e">
        <f>IF($C18="","",VLOOKUP($C18,AMABat!$A$10:$BV$140,S$4,FALSE))</f>
        <v>#N/A</v>
      </c>
      <c r="T18" s="31" t="e">
        <f>IF($C18="","",VLOOKUP($C18,AMABat!$A$10:$BV$140,T$4,FALSE))</f>
        <v>#N/A</v>
      </c>
      <c r="U18" s="339" t="e">
        <f t="shared" si="28"/>
        <v>#N/A</v>
      </c>
      <c r="V18" s="339" t="e">
        <f t="shared" si="29"/>
        <v>#N/A</v>
      </c>
      <c r="W18" s="339" t="e">
        <f t="shared" si="30"/>
        <v>#N/A</v>
      </c>
      <c r="X18" s="339" t="e">
        <f t="shared" si="31"/>
        <v>#N/A</v>
      </c>
      <c r="Y18" s="339" t="e">
        <f t="shared" si="32"/>
        <v>#N/A</v>
      </c>
      <c r="Z18" s="339" t="e">
        <f t="shared" si="33"/>
        <v>#N/A</v>
      </c>
      <c r="AA18" s="339" t="e">
        <f t="shared" si="34"/>
        <v>#N/A</v>
      </c>
      <c r="AB18" s="339" t="e">
        <f t="shared" si="35"/>
        <v>#N/A</v>
      </c>
      <c r="AC18" s="339" t="e">
        <f t="shared" si="36"/>
        <v>#N/A</v>
      </c>
      <c r="AD18" s="51" t="e">
        <f>IF($C18="","",VLOOKUP($C18,AMABat!$A$10:$BV$140,AD$4,FALSE))</f>
        <v>#N/A</v>
      </c>
      <c r="AE18" s="30" t="e">
        <f>IF($C18="","",VLOOKUP($C18,AMABat!$A$10:$BV$140,AE$4,FALSE))</f>
        <v>#N/A</v>
      </c>
      <c r="AF18" s="30" t="e">
        <f>IF($C18="","",VLOOKUP($C18,AMABat!$A$10:$BV$140,AF$4,FALSE))</f>
        <v>#N/A</v>
      </c>
      <c r="AG18" s="30" t="e">
        <f>IF($C18="","",VLOOKUP($C18,AMABat!$A$10:$BV$140,AG$4,FALSE))</f>
        <v>#N/A</v>
      </c>
      <c r="AH18" s="30" t="e">
        <f>IF($C18="","",VLOOKUP($C18,AMABat!$A$10:$BV$140,AH$4,FALSE))</f>
        <v>#N/A</v>
      </c>
      <c r="AI18" s="30" t="e">
        <f>IF($C18="","",VLOOKUP($C18,AMABat!$A$10:$BV$140,AI$4,FALSE))</f>
        <v>#N/A</v>
      </c>
      <c r="AJ18" s="31" t="e">
        <f>IF($C18="","",VLOOKUP($C18,AMABat!$A$10:$BV$140,AJ$4,FALSE))</f>
        <v>#N/A</v>
      </c>
      <c r="AK18" s="60" t="e">
        <f t="shared" si="37"/>
        <v>#N/A</v>
      </c>
      <c r="AL18" s="339" t="e">
        <f t="shared" si="38"/>
        <v>#N/A</v>
      </c>
      <c r="AM18" s="339" t="e">
        <f t="shared" si="39"/>
        <v>#N/A</v>
      </c>
      <c r="AN18" s="339" t="e">
        <f t="shared" si="40"/>
        <v>#N/A</v>
      </c>
      <c r="AO18" s="339" t="e">
        <f t="shared" si="41"/>
        <v>#N/A</v>
      </c>
      <c r="AP18" s="339" t="e">
        <f t="shared" si="42"/>
        <v>#N/A</v>
      </c>
      <c r="AQ18" s="339" t="e">
        <f t="shared" si="43"/>
        <v>#N/A</v>
      </c>
      <c r="AR18" s="339" t="e">
        <f t="shared" si="44"/>
        <v>#N/A</v>
      </c>
      <c r="AS18" s="339" t="e">
        <f t="shared" si="45"/>
        <v>#N/A</v>
      </c>
      <c r="AT18" s="339" t="e">
        <f t="shared" si="46"/>
        <v>#N/A</v>
      </c>
      <c r="AU18" s="51" t="e">
        <f>IF($C18="","",VLOOKUP($C18,AMABat!$A$10:$BV$140,AU$4,FALSE))</f>
        <v>#N/A</v>
      </c>
      <c r="AV18" s="30" t="e">
        <f>IF($C18="","",VLOOKUP($C18,AMABat!$A$10:$BV$140,AV$4,FALSE))</f>
        <v>#N/A</v>
      </c>
      <c r="AW18" s="30" t="e">
        <f>IF($C18="","",VLOOKUP($C18,AMABat!$A$10:$BV$140,AW$4,FALSE))</f>
        <v>#N/A</v>
      </c>
      <c r="AX18" s="30" t="e">
        <f>IF($C18="","",VLOOKUP($C18,AMABat!$A$10:$BV$140,AX$4,FALSE))</f>
        <v>#N/A</v>
      </c>
      <c r="AY18" s="31" t="e">
        <f>IF($C18="","",VLOOKUP($C18,AMABat!$A$10:$BV$140,AY$4,FALSE))</f>
        <v>#N/A</v>
      </c>
      <c r="AZ18" s="60" t="e">
        <f t="shared" si="47"/>
        <v>#N/A</v>
      </c>
    </row>
    <row r="19" spans="1:52" s="17" customFormat="1" x14ac:dyDescent="0.25">
      <c r="A19" s="305">
        <v>3</v>
      </c>
      <c r="B19" s="29" t="s">
        <v>76</v>
      </c>
      <c r="C19" s="30" t="s">
        <v>642</v>
      </c>
      <c r="D19" s="30" t="e">
        <f>IF($C19="","",VLOOKUP($C19,AMABat!$A$10:$BV$140,D$4,FALSE))</f>
        <v>#N/A</v>
      </c>
      <c r="E19" s="30" t="e">
        <f>IF($C19="","",VLOOKUP($C19,AMABat!$A$10:$BV$140,E$4,FALSE))</f>
        <v>#N/A</v>
      </c>
      <c r="F19" s="345" t="e">
        <f t="shared" ref="F19" si="48">IF($C19="","",IF(AND(O19&gt;0,O19=SUM(M19:T19)),1,0))</f>
        <v>#N/A</v>
      </c>
      <c r="G19" s="339" t="e">
        <f t="shared" ref="G19" si="49">IF($C19="","",IF(Q19&lt;&gt;"-",1,0))</f>
        <v>#N/A</v>
      </c>
      <c r="H19" s="339" t="e">
        <f t="shared" ref="H19" si="50">IF($C19="","",IF(AND(K19&gt;5,P19&lt;&gt;"-"),1,0))</f>
        <v>#N/A</v>
      </c>
      <c r="I19" s="340" t="str">
        <f t="shared" si="27"/>
        <v>-</v>
      </c>
      <c r="J19" s="30" t="e">
        <f>IF($C19="","",VLOOKUP($C19,AMABat!$A$10:$BV$140,J$4,FALSE))</f>
        <v>#N/A</v>
      </c>
      <c r="K19" s="30" t="e">
        <f>IF($C19="","",VLOOKUP($C19,AMABat!$A$10:$BV$140,K$4,FALSE))</f>
        <v>#N/A</v>
      </c>
      <c r="L19" s="30" t="e">
        <f>IF($C19="","",VLOOKUP($C19,AMABat!$A$10:$BV$140,L$4,FALSE))</f>
        <v>#N/A</v>
      </c>
      <c r="M19" s="51" t="e">
        <f>IF($C19="","",VLOOKUP($C19,AMABat!$A$10:$BV$140,M$4,FALSE))</f>
        <v>#N/A</v>
      </c>
      <c r="N19" s="30" t="e">
        <f>IF($C19="","",VLOOKUP($C19,AMABat!$A$10:$BV$140,N$4,FALSE))</f>
        <v>#N/A</v>
      </c>
      <c r="O19" s="30" t="e">
        <f>IF($C19="","",VLOOKUP($C19,AMABat!$A$10:$BV$140,O$4,FALSE))</f>
        <v>#N/A</v>
      </c>
      <c r="P19" s="30" t="e">
        <f>IF($C19="","",VLOOKUP($C19,AMABat!$A$10:$BV$140,P$4,FALSE))</f>
        <v>#N/A</v>
      </c>
      <c r="Q19" s="30" t="e">
        <f>IF($C19="","",VLOOKUP($C19,AMABat!$A$10:$BV$140,Q$4,FALSE))</f>
        <v>#N/A</v>
      </c>
      <c r="R19" s="30" t="e">
        <f>IF($C19="","",VLOOKUP($C19,AMABat!$A$10:$BV$140,R$4,FALSE))</f>
        <v>#N/A</v>
      </c>
      <c r="S19" s="30" t="e">
        <f>IF($C19="","",VLOOKUP($C19,AMABat!$A$10:$BV$140,S$4,FALSE))</f>
        <v>#N/A</v>
      </c>
      <c r="T19" s="31" t="e">
        <f>IF($C19="","",VLOOKUP($C19,AMABat!$A$10:$BV$140,T$4,FALSE))</f>
        <v>#N/A</v>
      </c>
      <c r="U19" s="339" t="e">
        <f t="shared" ref="U19" si="51">IF($C19="","",IF(OR(AD19+AG19&gt;14,AND(OR(AD19+AG19&gt;12,AND(AD19&gt;6,AG19&gt;6)),AI19&gt;6,OR(AJ19&gt;=AI19,AJ19&gt;6))),1,0))</f>
        <v>#N/A</v>
      </c>
      <c r="V19" s="339" t="e">
        <f t="shared" ref="V19" si="52">IF($C19="","",IF(OR(AND(AD19&gt;6,AH19&gt;6),AD19+AG19&gt;12),1,0))</f>
        <v>#N/A</v>
      </c>
      <c r="W19" s="339" t="e">
        <f t="shared" ref="W19" si="53">IF($C19="","",IF(AND(AD19&gt;6,AF19&gt;6,AG19&gt;6),1,0))</f>
        <v>#N/A</v>
      </c>
      <c r="X19" s="339" t="e">
        <f t="shared" ref="X19" si="54">IF($C19="","",IF(AND(AF19&gt;7,OR(AD19&gt;6,AG19&gt;6)),1,0))</f>
        <v>#N/A</v>
      </c>
      <c r="Y19" s="339" t="e">
        <f t="shared" ref="Y19" si="55">IF($C19="","",IF(AND(AF19&gt;6,OR(AD19&gt;6,AG19&gt;6)),1,0))</f>
        <v>#N/A</v>
      </c>
      <c r="Z19" s="339" t="e">
        <f t="shared" ref="Z19" si="56">IF($C19="","",IF(AND(OR(AD19&gt;6,AF19&gt;6),OR(AD19&gt;6,AG19&gt;6)),1,0))</f>
        <v>#N/A</v>
      </c>
      <c r="AA19" s="339" t="e">
        <f t="shared" ref="AA19" si="57">IF($C19="","",IF(AND(AD19&gt;4,OR(AD19&gt;6,AF19&gt;6,AG19&gt;6)),1,0))</f>
        <v>#N/A</v>
      </c>
      <c r="AB19" s="339" t="e">
        <f t="shared" ref="AB19" si="58">IF($C19="","",IF(AND(AD19&gt;4,OR(AD19&gt;6,AE19&gt;6,AF19&gt;6,AG19&gt;6)),1,0))</f>
        <v>#N/A</v>
      </c>
      <c r="AC19" s="339" t="e">
        <f t="shared" ref="AC19" si="59">IF($C19="","",IF(AND(AD19&gt;4,MAX(AD19:AH19)&gt;6),1,0))</f>
        <v>#N/A</v>
      </c>
      <c r="AD19" s="51" t="e">
        <f>IF($C19="","",VLOOKUP($C19,AMABat!$A$10:$BV$140,AD$4,FALSE))</f>
        <v>#N/A</v>
      </c>
      <c r="AE19" s="30" t="e">
        <f>IF($C19="","",VLOOKUP($C19,AMABat!$A$10:$BV$140,AE$4,FALSE))</f>
        <v>#N/A</v>
      </c>
      <c r="AF19" s="30" t="e">
        <f>IF($C19="","",VLOOKUP($C19,AMABat!$A$10:$BV$140,AF$4,FALSE))</f>
        <v>#N/A</v>
      </c>
      <c r="AG19" s="30" t="e">
        <f>IF($C19="","",VLOOKUP($C19,AMABat!$A$10:$BV$140,AG$4,FALSE))</f>
        <v>#N/A</v>
      </c>
      <c r="AH19" s="30" t="e">
        <f>IF($C19="","",VLOOKUP($C19,AMABat!$A$10:$BV$140,AH$4,FALSE))</f>
        <v>#N/A</v>
      </c>
      <c r="AI19" s="30" t="e">
        <f>IF($C19="","",VLOOKUP($C19,AMABat!$A$10:$BV$140,AI$4,FALSE))</f>
        <v>#N/A</v>
      </c>
      <c r="AJ19" s="31" t="e">
        <f>IF($C19="","",VLOOKUP($C19,AMABat!$A$10:$BV$140,AJ$4,FALSE))</f>
        <v>#N/A</v>
      </c>
      <c r="AK19" s="60" t="e">
        <f t="shared" ref="AK19" si="60">IF($C19="","",(5*AD19+4*AF19+3*AG19+2*AE19+1*AH19+0.5*(AVERAGE(AD19:AE19))+0.5*AVERAGE(AD19,AH19)+1*(AVERAGE(AD19,AF19))+1*AVERAGE(AD19,AG19))/(5+4+3+2+1+0.5+0.5+1+1))</f>
        <v>#N/A</v>
      </c>
      <c r="AL19" s="339" t="e">
        <f t="shared" ref="AL19" si="61">IF($C19="","",IF(AND(OR(AU19+AX19&gt;12,AND(AU19&gt;6,AX19&gt;6)),AI19&gt;6,OR(AJ19&gt;=AI19,AJ19&gt;6)),1,0))</f>
        <v>#N/A</v>
      </c>
      <c r="AM19" s="339" t="e">
        <f t="shared" ref="AM19" si="62">IF($C19="","",IF(OR(AND(AU19&gt;6,AY19&gt;6),AU19+AX19&gt;12),1,0))</f>
        <v>#N/A</v>
      </c>
      <c r="AN19" s="339" t="e">
        <f t="shared" ref="AN19" si="63">IF($C19="","",IF(AND(AU19&gt;6,AW19&gt;6,AX19&gt;6),1,0))</f>
        <v>#N/A</v>
      </c>
      <c r="AO19" s="339" t="e">
        <f t="shared" ref="AO19" si="64">IF($C19="","",IF(AND(AW19&gt;7,OR(AU19&gt;6,AX19&gt;6)),1,0))</f>
        <v>#N/A</v>
      </c>
      <c r="AP19" s="339" t="e">
        <f t="shared" ref="AP19" si="65">IF($C19="","",IF(AND(AW19&gt;6,OR(AU19&gt;6,AX19&gt;6)),1,0))</f>
        <v>#N/A</v>
      </c>
      <c r="AQ19" s="339" t="e">
        <f t="shared" ref="AQ19" si="66">IF($C19="","",IF(AND(OR(AU19&gt;6,AW19&gt;6),OR(AU19&gt;6,AX19&gt;6)),1,0))</f>
        <v>#N/A</v>
      </c>
      <c r="AR19" s="339" t="e">
        <f t="shared" ref="AR19" si="67">IF($C19="","",IF(AND(AU19&gt;4,OR(AU19&gt;6,AW19&gt;6,AX19&gt;6)),1,0))</f>
        <v>#N/A</v>
      </c>
      <c r="AS19" s="339" t="e">
        <f t="shared" ref="AS19" si="68">IF($C19="","",IF(AND(AU19&gt;4,OR(AU19&gt;6,AV19&gt;6,AW19&gt;6,AX19&gt;6)),1,0))</f>
        <v>#N/A</v>
      </c>
      <c r="AT19" s="339" t="e">
        <f t="shared" ref="AT19" si="69">IF($C19="","",IF(AND(AU19&gt;4,MAX(AU19:AY19)&gt;6),1,0))</f>
        <v>#N/A</v>
      </c>
      <c r="AU19" s="51" t="e">
        <f>IF($C19="","",VLOOKUP($C19,AMABat!$A$10:$BV$140,AU$4,FALSE))</f>
        <v>#N/A</v>
      </c>
      <c r="AV19" s="30" t="e">
        <f>IF($C19="","",VLOOKUP($C19,AMABat!$A$10:$BV$140,AV$4,FALSE))</f>
        <v>#N/A</v>
      </c>
      <c r="AW19" s="30" t="e">
        <f>IF($C19="","",VLOOKUP($C19,AMABat!$A$10:$BV$140,AW$4,FALSE))</f>
        <v>#N/A</v>
      </c>
      <c r="AX19" s="30" t="e">
        <f>IF($C19="","",VLOOKUP($C19,AMABat!$A$10:$BV$140,AX$4,FALSE))</f>
        <v>#N/A</v>
      </c>
      <c r="AY19" s="31" t="e">
        <f>IF($C19="","",VLOOKUP($C19,AMABat!$A$10:$BV$140,AY$4,FALSE))</f>
        <v>#N/A</v>
      </c>
      <c r="AZ19" s="60" t="e">
        <f t="shared" ref="AZ19" si="70">IF($C19="","",(5*AU19+4*AW19+3*AX19+2*AV19+1*AY19+0.5*(AVERAGE(AU19:AV19))+0.5*AVERAGE(AU19,AY19)+1*(AVERAGE(AU19,AW19))+1*AVERAGE(AU19,AX19))/(5+4+3+2+1+0.5+0.5+1+1))</f>
        <v>#N/A</v>
      </c>
    </row>
    <row r="20" spans="1:52" x14ac:dyDescent="0.25">
      <c r="A20" s="305">
        <v>4</v>
      </c>
      <c r="B20" s="29" t="s">
        <v>80</v>
      </c>
      <c r="C20" s="58" t="s">
        <v>756</v>
      </c>
      <c r="D20" s="30" t="e">
        <f>IF($C20="","",VLOOKUP($C20,AMABat!$A$10:$BV$140,D$4,FALSE))</f>
        <v>#N/A</v>
      </c>
      <c r="E20" s="30" t="e">
        <f>IF($C20="","",VLOOKUP($C20,AMABat!$A$10:$BV$140,E$4,FALSE))</f>
        <v>#N/A</v>
      </c>
      <c r="F20" s="345" t="e">
        <f t="shared" si="24"/>
        <v>#N/A</v>
      </c>
      <c r="G20" s="339" t="e">
        <f t="shared" si="25"/>
        <v>#N/A</v>
      </c>
      <c r="H20" s="339" t="e">
        <f t="shared" si="26"/>
        <v>#N/A</v>
      </c>
      <c r="I20" s="340" t="str">
        <f t="shared" si="27"/>
        <v>-</v>
      </c>
      <c r="J20" s="30" t="e">
        <f>IF($C20="","",VLOOKUP($C20,AMABat!$A$10:$BV$140,J$4,FALSE))</f>
        <v>#N/A</v>
      </c>
      <c r="K20" s="30" t="e">
        <f>IF($C20="","",VLOOKUP($C20,AMABat!$A$10:$BV$140,K$4,FALSE))</f>
        <v>#N/A</v>
      </c>
      <c r="L20" s="30" t="e">
        <f>IF($C20="","",VLOOKUP($C20,AMABat!$A$10:$BV$140,L$4,FALSE))</f>
        <v>#N/A</v>
      </c>
      <c r="M20" s="51" t="e">
        <f>IF($C20="","",VLOOKUP($C20,AMABat!$A$10:$BV$140,M$4,FALSE))</f>
        <v>#N/A</v>
      </c>
      <c r="N20" s="30" t="e">
        <f>IF($C20="","",VLOOKUP($C20,AMABat!$A$10:$BV$140,N$4,FALSE))</f>
        <v>#N/A</v>
      </c>
      <c r="O20" s="30" t="e">
        <f>IF($C20="","",VLOOKUP($C20,AMABat!$A$10:$BV$140,O$4,FALSE))</f>
        <v>#N/A</v>
      </c>
      <c r="P20" s="30" t="e">
        <f>IF($C20="","",VLOOKUP($C20,AMABat!$A$10:$BV$140,P$4,FALSE))</f>
        <v>#N/A</v>
      </c>
      <c r="Q20" s="30" t="e">
        <f>IF($C20="","",VLOOKUP($C20,AMABat!$A$10:$BV$140,Q$4,FALSE))</f>
        <v>#N/A</v>
      </c>
      <c r="R20" s="30" t="e">
        <f>IF($C20="","",VLOOKUP($C20,AMABat!$A$10:$BV$140,R$4,FALSE))</f>
        <v>#N/A</v>
      </c>
      <c r="S20" s="30" t="e">
        <f>IF($C20="","",VLOOKUP($C20,AMABat!$A$10:$BV$140,S$4,FALSE))</f>
        <v>#N/A</v>
      </c>
      <c r="T20" s="31" t="e">
        <f>IF($C20="","",VLOOKUP($C20,AMABat!$A$10:$BV$140,T$4,FALSE))</f>
        <v>#N/A</v>
      </c>
      <c r="U20" s="339" t="e">
        <f t="shared" si="28"/>
        <v>#N/A</v>
      </c>
      <c r="V20" s="339" t="e">
        <f t="shared" si="29"/>
        <v>#N/A</v>
      </c>
      <c r="W20" s="339" t="e">
        <f t="shared" si="30"/>
        <v>#N/A</v>
      </c>
      <c r="X20" s="339" t="e">
        <f t="shared" si="31"/>
        <v>#N/A</v>
      </c>
      <c r="Y20" s="339" t="e">
        <f t="shared" si="32"/>
        <v>#N/A</v>
      </c>
      <c r="Z20" s="339" t="e">
        <f t="shared" si="33"/>
        <v>#N/A</v>
      </c>
      <c r="AA20" s="339" t="e">
        <f t="shared" si="34"/>
        <v>#N/A</v>
      </c>
      <c r="AB20" s="339" t="e">
        <f t="shared" si="35"/>
        <v>#N/A</v>
      </c>
      <c r="AC20" s="339" t="e">
        <f t="shared" si="36"/>
        <v>#N/A</v>
      </c>
      <c r="AD20" s="51" t="e">
        <f>IF($C20="","",VLOOKUP($C20,AMABat!$A$10:$BV$140,AD$4,FALSE))</f>
        <v>#N/A</v>
      </c>
      <c r="AE20" s="30" t="e">
        <f>IF($C20="","",VLOOKUP($C20,AMABat!$A$10:$BV$140,AE$4,FALSE))</f>
        <v>#N/A</v>
      </c>
      <c r="AF20" s="30" t="e">
        <f>IF($C20="","",VLOOKUP($C20,AMABat!$A$10:$BV$140,AF$4,FALSE))</f>
        <v>#N/A</v>
      </c>
      <c r="AG20" s="30" t="e">
        <f>IF($C20="","",VLOOKUP($C20,AMABat!$A$10:$BV$140,AG$4,FALSE))</f>
        <v>#N/A</v>
      </c>
      <c r="AH20" s="30" t="e">
        <f>IF($C20="","",VLOOKUP($C20,AMABat!$A$10:$BV$140,AH$4,FALSE))</f>
        <v>#N/A</v>
      </c>
      <c r="AI20" s="30" t="e">
        <f>IF($C20="","",VLOOKUP($C20,AMABat!$A$10:$BV$140,AI$4,FALSE))</f>
        <v>#N/A</v>
      </c>
      <c r="AJ20" s="31" t="e">
        <f>IF($C20="","",VLOOKUP($C20,AMABat!$A$10:$BV$140,AJ$4,FALSE))</f>
        <v>#N/A</v>
      </c>
      <c r="AK20" s="60" t="e">
        <f t="shared" si="37"/>
        <v>#N/A</v>
      </c>
      <c r="AL20" s="339" t="e">
        <f t="shared" si="38"/>
        <v>#N/A</v>
      </c>
      <c r="AM20" s="339" t="e">
        <f t="shared" si="39"/>
        <v>#N/A</v>
      </c>
      <c r="AN20" s="339" t="e">
        <f t="shared" si="40"/>
        <v>#N/A</v>
      </c>
      <c r="AO20" s="339" t="e">
        <f t="shared" si="41"/>
        <v>#N/A</v>
      </c>
      <c r="AP20" s="339" t="e">
        <f t="shared" si="42"/>
        <v>#N/A</v>
      </c>
      <c r="AQ20" s="339" t="e">
        <f t="shared" si="43"/>
        <v>#N/A</v>
      </c>
      <c r="AR20" s="339" t="e">
        <f t="shared" si="44"/>
        <v>#N/A</v>
      </c>
      <c r="AS20" s="339" t="e">
        <f t="shared" si="45"/>
        <v>#N/A</v>
      </c>
      <c r="AT20" s="339" t="e">
        <f t="shared" si="46"/>
        <v>#N/A</v>
      </c>
      <c r="AU20" s="51" t="e">
        <f>IF($C20="","",VLOOKUP($C20,AMABat!$A$10:$BV$140,AU$4,FALSE))</f>
        <v>#N/A</v>
      </c>
      <c r="AV20" s="30" t="e">
        <f>IF($C20="","",VLOOKUP($C20,AMABat!$A$10:$BV$140,AV$4,FALSE))</f>
        <v>#N/A</v>
      </c>
      <c r="AW20" s="30" t="e">
        <f>IF($C20="","",VLOOKUP($C20,AMABat!$A$10:$BV$140,AW$4,FALSE))</f>
        <v>#N/A</v>
      </c>
      <c r="AX20" s="30" t="e">
        <f>IF($C20="","",VLOOKUP($C20,AMABat!$A$10:$BV$140,AX$4,FALSE))</f>
        <v>#N/A</v>
      </c>
      <c r="AY20" s="31" t="e">
        <f>IF($C20="","",VLOOKUP($C20,AMABat!$A$10:$BV$140,AY$4,FALSE))</f>
        <v>#N/A</v>
      </c>
      <c r="AZ20" s="60" t="e">
        <f t="shared" si="47"/>
        <v>#N/A</v>
      </c>
    </row>
    <row r="21" spans="1:52" x14ac:dyDescent="0.25">
      <c r="A21" s="305">
        <v>5</v>
      </c>
      <c r="B21" s="29" t="s">
        <v>80</v>
      </c>
      <c r="C21" s="58" t="s">
        <v>758</v>
      </c>
      <c r="D21" s="30" t="e">
        <f>IF($C21="","",VLOOKUP($C21,AMABat!$A$10:$BV$140,D$4,FALSE))</f>
        <v>#N/A</v>
      </c>
      <c r="E21" s="30" t="e">
        <f>IF($C21="","",VLOOKUP($C21,AMABat!$A$10:$BV$140,E$4,FALSE))</f>
        <v>#N/A</v>
      </c>
      <c r="F21" s="345" t="e">
        <f t="shared" si="24"/>
        <v>#N/A</v>
      </c>
      <c r="G21" s="339" t="e">
        <f t="shared" si="25"/>
        <v>#N/A</v>
      </c>
      <c r="H21" s="339" t="e">
        <f t="shared" si="26"/>
        <v>#N/A</v>
      </c>
      <c r="I21" s="340" t="str">
        <f t="shared" si="27"/>
        <v>-</v>
      </c>
      <c r="J21" s="30" t="e">
        <f>IF($C21="","",VLOOKUP($C21,AMABat!$A$10:$BV$140,J$4,FALSE))</f>
        <v>#N/A</v>
      </c>
      <c r="K21" s="30" t="e">
        <f>IF($C21="","",VLOOKUP($C21,AMABat!$A$10:$BV$140,K$4,FALSE))</f>
        <v>#N/A</v>
      </c>
      <c r="L21" s="30" t="e">
        <f>IF($C21="","",VLOOKUP($C21,AMABat!$A$10:$BV$140,L$4,FALSE))</f>
        <v>#N/A</v>
      </c>
      <c r="M21" s="51" t="e">
        <f>IF($C21="","",VLOOKUP($C21,AMABat!$A$10:$BV$140,M$4,FALSE))</f>
        <v>#N/A</v>
      </c>
      <c r="N21" s="30" t="e">
        <f>IF($C21="","",VLOOKUP($C21,AMABat!$A$10:$BV$140,N$4,FALSE))</f>
        <v>#N/A</v>
      </c>
      <c r="O21" s="30" t="e">
        <f>IF($C21="","",VLOOKUP($C21,AMABat!$A$10:$BV$140,O$4,FALSE))</f>
        <v>#N/A</v>
      </c>
      <c r="P21" s="30" t="e">
        <f>IF($C21="","",VLOOKUP($C21,AMABat!$A$10:$BV$140,P$4,FALSE))</f>
        <v>#N/A</v>
      </c>
      <c r="Q21" s="30" t="e">
        <f>IF($C21="","",VLOOKUP($C21,AMABat!$A$10:$BV$140,Q$4,FALSE))</f>
        <v>#N/A</v>
      </c>
      <c r="R21" s="30" t="e">
        <f>IF($C21="","",VLOOKUP($C21,AMABat!$A$10:$BV$140,R$4,FALSE))</f>
        <v>#N/A</v>
      </c>
      <c r="S21" s="30" t="e">
        <f>IF($C21="","",VLOOKUP($C21,AMABat!$A$10:$BV$140,S$4,FALSE))</f>
        <v>#N/A</v>
      </c>
      <c r="T21" s="31" t="e">
        <f>IF($C21="","",VLOOKUP($C21,AMABat!$A$10:$BV$140,T$4,FALSE))</f>
        <v>#N/A</v>
      </c>
      <c r="U21" s="339" t="e">
        <f t="shared" si="28"/>
        <v>#N/A</v>
      </c>
      <c r="V21" s="339" t="e">
        <f t="shared" si="29"/>
        <v>#N/A</v>
      </c>
      <c r="W21" s="339" t="e">
        <f t="shared" si="30"/>
        <v>#N/A</v>
      </c>
      <c r="X21" s="339" t="e">
        <f t="shared" si="31"/>
        <v>#N/A</v>
      </c>
      <c r="Y21" s="339" t="e">
        <f t="shared" si="32"/>
        <v>#N/A</v>
      </c>
      <c r="Z21" s="339" t="e">
        <f t="shared" si="33"/>
        <v>#N/A</v>
      </c>
      <c r="AA21" s="339" t="e">
        <f t="shared" si="34"/>
        <v>#N/A</v>
      </c>
      <c r="AB21" s="339" t="e">
        <f t="shared" si="35"/>
        <v>#N/A</v>
      </c>
      <c r="AC21" s="339" t="e">
        <f t="shared" si="36"/>
        <v>#N/A</v>
      </c>
      <c r="AD21" s="51" t="e">
        <f>IF($C21="","",VLOOKUP($C21,AMABat!$A$10:$BV$140,AD$4,FALSE))</f>
        <v>#N/A</v>
      </c>
      <c r="AE21" s="30" t="e">
        <f>IF($C21="","",VLOOKUP($C21,AMABat!$A$10:$BV$140,AE$4,FALSE))</f>
        <v>#N/A</v>
      </c>
      <c r="AF21" s="30" t="e">
        <f>IF($C21="","",VLOOKUP($C21,AMABat!$A$10:$BV$140,AF$4,FALSE))</f>
        <v>#N/A</v>
      </c>
      <c r="AG21" s="30" t="e">
        <f>IF($C21="","",VLOOKUP($C21,AMABat!$A$10:$BV$140,AG$4,FALSE))</f>
        <v>#N/A</v>
      </c>
      <c r="AH21" s="30" t="e">
        <f>IF($C21="","",VLOOKUP($C21,AMABat!$A$10:$BV$140,AH$4,FALSE))</f>
        <v>#N/A</v>
      </c>
      <c r="AI21" s="30" t="e">
        <f>IF($C21="","",VLOOKUP($C21,AMABat!$A$10:$BV$140,AI$4,FALSE))</f>
        <v>#N/A</v>
      </c>
      <c r="AJ21" s="31" t="e">
        <f>IF($C21="","",VLOOKUP($C21,AMABat!$A$10:$BV$140,AJ$4,FALSE))</f>
        <v>#N/A</v>
      </c>
      <c r="AK21" s="60" t="e">
        <f t="shared" si="37"/>
        <v>#N/A</v>
      </c>
      <c r="AL21" s="339" t="e">
        <f t="shared" si="38"/>
        <v>#N/A</v>
      </c>
      <c r="AM21" s="339" t="e">
        <f t="shared" si="39"/>
        <v>#N/A</v>
      </c>
      <c r="AN21" s="339" t="e">
        <f t="shared" si="40"/>
        <v>#N/A</v>
      </c>
      <c r="AO21" s="339" t="e">
        <f t="shared" si="41"/>
        <v>#N/A</v>
      </c>
      <c r="AP21" s="339" t="e">
        <f t="shared" si="42"/>
        <v>#N/A</v>
      </c>
      <c r="AQ21" s="339" t="e">
        <f t="shared" si="43"/>
        <v>#N/A</v>
      </c>
      <c r="AR21" s="339" t="e">
        <f t="shared" si="44"/>
        <v>#N/A</v>
      </c>
      <c r="AS21" s="339" t="e">
        <f t="shared" si="45"/>
        <v>#N/A</v>
      </c>
      <c r="AT21" s="339" t="e">
        <f t="shared" si="46"/>
        <v>#N/A</v>
      </c>
      <c r="AU21" s="51" t="e">
        <f>IF($C21="","",VLOOKUP($C21,AMABat!$A$10:$BV$140,AU$4,FALSE))</f>
        <v>#N/A</v>
      </c>
      <c r="AV21" s="30" t="e">
        <f>IF($C21="","",VLOOKUP($C21,AMABat!$A$10:$BV$140,AV$4,FALSE))</f>
        <v>#N/A</v>
      </c>
      <c r="AW21" s="30" t="e">
        <f>IF($C21="","",VLOOKUP($C21,AMABat!$A$10:$BV$140,AW$4,FALSE))</f>
        <v>#N/A</v>
      </c>
      <c r="AX21" s="30" t="e">
        <f>IF($C21="","",VLOOKUP($C21,AMABat!$A$10:$BV$140,AX$4,FALSE))</f>
        <v>#N/A</v>
      </c>
      <c r="AY21" s="31" t="e">
        <f>IF($C21="","",VLOOKUP($C21,AMABat!$A$10:$BV$140,AY$4,FALSE))</f>
        <v>#N/A</v>
      </c>
      <c r="AZ21" s="60" t="e">
        <f t="shared" si="47"/>
        <v>#N/A</v>
      </c>
    </row>
    <row r="22" spans="1:52" x14ac:dyDescent="0.25">
      <c r="A22" s="305">
        <v>6</v>
      </c>
      <c r="B22" s="32" t="s">
        <v>80</v>
      </c>
      <c r="C22" s="33"/>
      <c r="D22" s="33" t="str">
        <f>IF($C22="","",VLOOKUP($C22,AMABat!$A$10:$BV$140,D$4,FALSE))</f>
        <v/>
      </c>
      <c r="E22" s="33" t="str">
        <f>IF($C22="","",VLOOKUP($C22,AMABat!$A$10:$BV$140,E$4,FALSE))</f>
        <v/>
      </c>
      <c r="F22" s="47" t="str">
        <f t="shared" si="24"/>
        <v/>
      </c>
      <c r="G22" s="337" t="str">
        <f t="shared" si="25"/>
        <v/>
      </c>
      <c r="H22" s="337" t="str">
        <f t="shared" si="26"/>
        <v/>
      </c>
      <c r="I22" s="338" t="str">
        <f t="shared" si="27"/>
        <v/>
      </c>
      <c r="J22" s="33" t="str">
        <f>IF($C22="","",VLOOKUP($C22,AMABat!$A$10:$BV$140,J$4,FALSE))</f>
        <v/>
      </c>
      <c r="K22" s="33" t="str">
        <f>IF($C22="","",VLOOKUP($C22,AMABat!$A$10:$BV$140,K$4,FALSE))</f>
        <v/>
      </c>
      <c r="L22" s="33" t="str">
        <f>IF($C22="","",VLOOKUP($C22,AMABat!$A$10:$BV$140,L$4,FALSE))</f>
        <v/>
      </c>
      <c r="M22" s="52" t="str">
        <f>IF($C22="","",VLOOKUP($C22,AMABat!$A$10:$BV$140,M$4,FALSE))</f>
        <v/>
      </c>
      <c r="N22" s="33" t="str">
        <f>IF($C22="","",VLOOKUP($C22,AMABat!$A$10:$BV$140,N$4,FALSE))</f>
        <v/>
      </c>
      <c r="O22" s="33" t="str">
        <f>IF($C22="","",VLOOKUP($C22,AMABat!$A$10:$BV$140,O$4,FALSE))</f>
        <v/>
      </c>
      <c r="P22" s="33" t="str">
        <f>IF($C22="","",VLOOKUP($C22,AMABat!$A$10:$BV$140,P$4,FALSE))</f>
        <v/>
      </c>
      <c r="Q22" s="33" t="str">
        <f>IF($C22="","",VLOOKUP($C22,AMABat!$A$10:$BV$140,Q$4,FALSE))</f>
        <v/>
      </c>
      <c r="R22" s="33" t="str">
        <f>IF($C22="","",VLOOKUP($C22,AMABat!$A$10:$BV$140,R$4,FALSE))</f>
        <v/>
      </c>
      <c r="S22" s="33" t="str">
        <f>IF($C22="","",VLOOKUP($C22,AMABat!$A$10:$BV$140,S$4,FALSE))</f>
        <v/>
      </c>
      <c r="T22" s="35" t="str">
        <f>IF($C22="","",VLOOKUP($C22,AMABat!$A$10:$BV$140,T$4,FALSE))</f>
        <v/>
      </c>
      <c r="U22" s="337" t="str">
        <f t="shared" si="28"/>
        <v/>
      </c>
      <c r="V22" s="337" t="str">
        <f t="shared" si="29"/>
        <v/>
      </c>
      <c r="W22" s="337" t="str">
        <f t="shared" si="30"/>
        <v/>
      </c>
      <c r="X22" s="337" t="str">
        <f t="shared" si="31"/>
        <v/>
      </c>
      <c r="Y22" s="337" t="str">
        <f t="shared" si="32"/>
        <v/>
      </c>
      <c r="Z22" s="337" t="str">
        <f t="shared" si="33"/>
        <v/>
      </c>
      <c r="AA22" s="337" t="str">
        <f t="shared" si="34"/>
        <v/>
      </c>
      <c r="AB22" s="337" t="str">
        <f t="shared" si="35"/>
        <v/>
      </c>
      <c r="AC22" s="337" t="str">
        <f t="shared" si="36"/>
        <v/>
      </c>
      <c r="AD22" s="52" t="str">
        <f>IF($C22="","",VLOOKUP($C22,AMABat!$A$10:$BV$140,AD$4,FALSE))</f>
        <v/>
      </c>
      <c r="AE22" s="33" t="str">
        <f>IF($C22="","",VLOOKUP($C22,AMABat!$A$10:$BV$140,AE$4,FALSE))</f>
        <v/>
      </c>
      <c r="AF22" s="33" t="str">
        <f>IF($C22="","",VLOOKUP($C22,AMABat!$A$10:$BV$140,AF$4,FALSE))</f>
        <v/>
      </c>
      <c r="AG22" s="33" t="str">
        <f>IF($C22="","",VLOOKUP($C22,AMABat!$A$10:$BV$140,AG$4,FALSE))</f>
        <v/>
      </c>
      <c r="AH22" s="33" t="str">
        <f>IF($C22="","",VLOOKUP($C22,AMABat!$A$10:$BV$140,AH$4,FALSE))</f>
        <v/>
      </c>
      <c r="AI22" s="33" t="str">
        <f>IF($C22="","",VLOOKUP($C22,AMABat!$A$10:$BV$140,AI$4,FALSE))</f>
        <v/>
      </c>
      <c r="AJ22" s="35" t="str">
        <f>IF($C22="","",VLOOKUP($C22,AMABat!$A$10:$BV$140,AJ$4,FALSE))</f>
        <v/>
      </c>
      <c r="AK22" s="61" t="str">
        <f t="shared" si="37"/>
        <v/>
      </c>
      <c r="AL22" s="337" t="str">
        <f t="shared" si="38"/>
        <v/>
      </c>
      <c r="AM22" s="337" t="str">
        <f t="shared" si="39"/>
        <v/>
      </c>
      <c r="AN22" s="337" t="str">
        <f t="shared" si="40"/>
        <v/>
      </c>
      <c r="AO22" s="337" t="str">
        <f t="shared" si="41"/>
        <v/>
      </c>
      <c r="AP22" s="337" t="str">
        <f t="shared" si="42"/>
        <v/>
      </c>
      <c r="AQ22" s="337" t="str">
        <f t="shared" si="43"/>
        <v/>
      </c>
      <c r="AR22" s="337" t="str">
        <f t="shared" si="44"/>
        <v/>
      </c>
      <c r="AS22" s="337" t="str">
        <f t="shared" si="45"/>
        <v/>
      </c>
      <c r="AT22" s="337" t="str">
        <f t="shared" si="46"/>
        <v/>
      </c>
      <c r="AU22" s="52" t="str">
        <f>IF($C22="","",VLOOKUP($C22,AMABat!$A$10:$BV$140,AU$4,FALSE))</f>
        <v/>
      </c>
      <c r="AV22" s="33" t="str">
        <f>IF($C22="","",VLOOKUP($C22,AMABat!$A$10:$BV$140,AV$4,FALSE))</f>
        <v/>
      </c>
      <c r="AW22" s="33" t="str">
        <f>IF($C22="","",VLOOKUP($C22,AMABat!$A$10:$BV$140,AW$4,FALSE))</f>
        <v/>
      </c>
      <c r="AX22" s="33" t="str">
        <f>IF($C22="","",VLOOKUP($C22,AMABat!$A$10:$BV$140,AX$4,FALSE))</f>
        <v/>
      </c>
      <c r="AY22" s="35" t="str">
        <f>IF($C22="","",VLOOKUP($C22,AMABat!$A$10:$BV$140,AY$4,FALSE))</f>
        <v/>
      </c>
      <c r="AZ22" s="61" t="str">
        <f t="shared" si="47"/>
        <v/>
      </c>
    </row>
    <row r="23" spans="1:52" x14ac:dyDescent="0.25">
      <c r="A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</row>
    <row r="24" spans="1:52" ht="196.5" x14ac:dyDescent="0.25">
      <c r="A24" s="18" t="s">
        <v>170</v>
      </c>
      <c r="B24" s="341" t="s">
        <v>111</v>
      </c>
      <c r="C24" s="37" t="str">
        <f>"Player ("&amp;COUNTA(C25:C27)&amp;")"</f>
        <v>Player (2)</v>
      </c>
      <c r="D24" s="37" t="s">
        <v>70</v>
      </c>
      <c r="E24" s="37" t="s">
        <v>80</v>
      </c>
      <c r="F24" s="57" t="e">
        <f>"Strong C Arm ("&amp;SUM(F25:F27)&amp;")"</f>
        <v>#N/A</v>
      </c>
      <c r="G24" s="41" t="s">
        <v>32</v>
      </c>
      <c r="H24" s="41" t="s">
        <v>32</v>
      </c>
      <c r="I24" s="41" t="s">
        <v>32</v>
      </c>
      <c r="J24" s="48" t="s">
        <v>114</v>
      </c>
      <c r="K24" s="40" t="s">
        <v>112</v>
      </c>
      <c r="L24" s="49" t="s">
        <v>113</v>
      </c>
      <c r="M24" s="41" t="s">
        <v>71</v>
      </c>
      <c r="N24" s="41" t="s">
        <v>73</v>
      </c>
      <c r="O24" s="41" t="s">
        <v>74</v>
      </c>
      <c r="P24" s="41" t="s">
        <v>75</v>
      </c>
      <c r="Q24" s="41" t="s">
        <v>76</v>
      </c>
      <c r="R24" s="41" t="s">
        <v>77</v>
      </c>
      <c r="S24" s="41" t="s">
        <v>78</v>
      </c>
      <c r="T24" s="42" t="s">
        <v>79</v>
      </c>
      <c r="U24" s="38" t="s">
        <v>115</v>
      </c>
      <c r="V24" s="38" t="s">
        <v>158</v>
      </c>
      <c r="W24" s="38" t="s">
        <v>116</v>
      </c>
      <c r="X24" s="38" t="s">
        <v>117</v>
      </c>
      <c r="Y24" s="38" t="s">
        <v>118</v>
      </c>
      <c r="Z24" s="38" t="s">
        <v>119</v>
      </c>
      <c r="AA24" s="38" t="s">
        <v>120</v>
      </c>
      <c r="AB24" s="38" t="s">
        <v>122</v>
      </c>
      <c r="AC24" s="53" t="s">
        <v>121</v>
      </c>
      <c r="AD24" s="41" t="s">
        <v>125</v>
      </c>
      <c r="AE24" s="41" t="s">
        <v>126</v>
      </c>
      <c r="AF24" s="41" t="s">
        <v>127</v>
      </c>
      <c r="AG24" s="41" t="s">
        <v>128</v>
      </c>
      <c r="AH24" s="41" t="s">
        <v>21</v>
      </c>
      <c r="AI24" s="41" t="s">
        <v>129</v>
      </c>
      <c r="AJ24" s="42" t="s">
        <v>130</v>
      </c>
      <c r="AK24" s="59" t="s">
        <v>134</v>
      </c>
      <c r="AL24" s="38" t="s">
        <v>115</v>
      </c>
      <c r="AM24" s="38" t="s">
        <v>158</v>
      </c>
      <c r="AN24" s="38" t="s">
        <v>116</v>
      </c>
      <c r="AO24" s="38" t="s">
        <v>117</v>
      </c>
      <c r="AP24" s="38" t="s">
        <v>118</v>
      </c>
      <c r="AQ24" s="38" t="s">
        <v>119</v>
      </c>
      <c r="AR24" s="38" t="s">
        <v>120</v>
      </c>
      <c r="AS24" s="38" t="s">
        <v>122</v>
      </c>
      <c r="AT24" s="53" t="s">
        <v>121</v>
      </c>
      <c r="AU24" s="56" t="s">
        <v>125</v>
      </c>
      <c r="AV24" s="41" t="s">
        <v>126</v>
      </c>
      <c r="AW24" s="41" t="s">
        <v>127</v>
      </c>
      <c r="AX24" s="41" t="s">
        <v>128</v>
      </c>
      <c r="AY24" s="42" t="s">
        <v>21</v>
      </c>
      <c r="AZ24" s="59" t="s">
        <v>174</v>
      </c>
    </row>
    <row r="25" spans="1:52" x14ac:dyDescent="0.25">
      <c r="A25" s="305">
        <v>1</v>
      </c>
      <c r="B25" s="29" t="s">
        <v>71</v>
      </c>
      <c r="C25" s="30" t="s">
        <v>488</v>
      </c>
      <c r="D25" s="30" t="e">
        <f>IF($C25="","",VLOOKUP($C25,AMABat!$A$10:$BV$140,D$4,FALSE))</f>
        <v>#N/A</v>
      </c>
      <c r="E25" s="30" t="e">
        <f>IF($C25="","",VLOOKUP($C25,AMABat!$A$10:$BV$140,E$4,FALSE))</f>
        <v>#N/A</v>
      </c>
      <c r="F25" s="345" t="e">
        <f t="shared" ref="F25:F27" si="71">IF($C25="","",IF(AND(O25&gt;0,O25=SUM(M25:T25)),1,0))</f>
        <v>#N/A</v>
      </c>
      <c r="G25" s="339" t="e">
        <f t="shared" ref="G25:G27" si="72">IF($C25="","",IF(Q25&lt;&gt;"-",1,0))</f>
        <v>#N/A</v>
      </c>
      <c r="H25" s="339" t="e">
        <f t="shared" ref="H25:H27" si="73">IF($C25="","",IF(AND(K25&gt;5,P25&lt;&gt;"-"),1,0))</f>
        <v>#N/A</v>
      </c>
      <c r="I25" s="339" t="str">
        <f t="shared" ref="I25:I27" si="74">IF($C25="","","-")</f>
        <v>-</v>
      </c>
      <c r="J25" s="51" t="e">
        <f>IF($C25="","",VLOOKUP($C25,AMABat!$A$10:$BV$140,J$4,FALSE))</f>
        <v>#N/A</v>
      </c>
      <c r="K25" s="30" t="e">
        <f>IF($C25="","",VLOOKUP($C25,AMABat!$A$10:$BV$140,K$4,FALSE))</f>
        <v>#N/A</v>
      </c>
      <c r="L25" s="31" t="e">
        <f>IF($C25="","",VLOOKUP($C25,AMABat!$A$10:$BV$140,L$4,FALSE))</f>
        <v>#N/A</v>
      </c>
      <c r="M25" s="30" t="e">
        <f>IF($C25="","",VLOOKUP($C25,AMABat!$A$10:$BV$140,M$4,FALSE))</f>
        <v>#N/A</v>
      </c>
      <c r="N25" s="30" t="e">
        <f>IF($C25="","",VLOOKUP($C25,AMABat!$A$10:$BV$140,N$4,FALSE))</f>
        <v>#N/A</v>
      </c>
      <c r="O25" s="30" t="e">
        <f>IF($C25="","",VLOOKUP($C25,AMABat!$A$10:$BV$140,O$4,FALSE))</f>
        <v>#N/A</v>
      </c>
      <c r="P25" s="30" t="e">
        <f>IF($C25="","",VLOOKUP($C25,AMABat!$A$10:$BV$140,P$4,FALSE))</f>
        <v>#N/A</v>
      </c>
      <c r="Q25" s="30" t="e">
        <f>IF($C25="","",VLOOKUP($C25,AMABat!$A$10:$BV$140,Q$4,FALSE))</f>
        <v>#N/A</v>
      </c>
      <c r="R25" s="30" t="e">
        <f>IF($C25="","",VLOOKUP($C25,AMABat!$A$10:$BV$140,R$4,FALSE))</f>
        <v>#N/A</v>
      </c>
      <c r="S25" s="30" t="e">
        <f>IF($C25="","",VLOOKUP($C25,AMABat!$A$10:$BV$140,S$4,FALSE))</f>
        <v>#N/A</v>
      </c>
      <c r="T25" s="31" t="e">
        <f>IF($C25="","",VLOOKUP($C25,AMABat!$A$10:$BV$140,T$4,FALSE))</f>
        <v>#N/A</v>
      </c>
      <c r="U25" s="339" t="e">
        <f t="shared" ref="U25:U27" si="75">IF($C25="","",IF(OR(AD25+AG25&gt;14,AND(OR(AD25+AG25&gt;12,AND(AD25&gt;6,AG25&gt;6)),AI25&gt;6,OR(AJ25&gt;=AI25,AJ25&gt;6))),1,0))</f>
        <v>#N/A</v>
      </c>
      <c r="V25" s="339" t="e">
        <f t="shared" ref="V25:V27" si="76">IF($C25="","",IF(OR(AND(AD25&gt;6,AH25&gt;6),AD25+AG25&gt;12),1,0))</f>
        <v>#N/A</v>
      </c>
      <c r="W25" s="339" t="e">
        <f t="shared" ref="W25:W27" si="77">IF($C25="","",IF(AND(AD25&gt;6,AF25&gt;6,AG25&gt;6),1,0))</f>
        <v>#N/A</v>
      </c>
      <c r="X25" s="339" t="e">
        <f t="shared" ref="X25:X27" si="78">IF($C25="","",IF(AND(AF25&gt;7,OR(AD25&gt;6,AG25&gt;6)),1,0))</f>
        <v>#N/A</v>
      </c>
      <c r="Y25" s="339" t="e">
        <f t="shared" ref="Y25:Y27" si="79">IF($C25="","",IF(AND(AF25&gt;6,OR(AD25&gt;6,AG25&gt;6)),1,0))</f>
        <v>#N/A</v>
      </c>
      <c r="Z25" s="339" t="e">
        <f t="shared" ref="Z25:Z27" si="80">IF($C25="","",IF(AND(OR(AD25&gt;6,AF25&gt;6),OR(AD25&gt;6,AG25&gt;6)),1,0))</f>
        <v>#N/A</v>
      </c>
      <c r="AA25" s="339" t="e">
        <f t="shared" ref="AA25:AA27" si="81">IF($C25="","",IF(AND(AD25&gt;4,OR(AD25&gt;6,AF25&gt;6,AG25&gt;6)),1,0))</f>
        <v>#N/A</v>
      </c>
      <c r="AB25" s="339" t="e">
        <f t="shared" ref="AB25:AB27" si="82">IF($C25="","",IF(AND(AD25&gt;4,OR(AD25&gt;6,AE25&gt;6,AF25&gt;6,AG25&gt;6)),1,0))</f>
        <v>#N/A</v>
      </c>
      <c r="AC25" s="340" t="e">
        <f t="shared" ref="AC25:AC27" si="83">IF($C25="","",IF(AND(AD25&gt;4,MAX(AD25:AH25)&gt;6),1,0))</f>
        <v>#N/A</v>
      </c>
      <c r="AD25" s="30" t="e">
        <f>IF($C25="","",VLOOKUP($C25,AMABat!$A$10:$BV$140,AD$4,FALSE))</f>
        <v>#N/A</v>
      </c>
      <c r="AE25" s="30" t="e">
        <f>IF($C25="","",VLOOKUP($C25,AMABat!$A$10:$BV$140,AE$4,FALSE))</f>
        <v>#N/A</v>
      </c>
      <c r="AF25" s="30" t="e">
        <f>IF($C25="","",VLOOKUP($C25,AMABat!$A$10:$BV$140,AF$4,FALSE))</f>
        <v>#N/A</v>
      </c>
      <c r="AG25" s="30" t="e">
        <f>IF($C25="","",VLOOKUP($C25,AMABat!$A$10:$BV$140,AG$4,FALSE))</f>
        <v>#N/A</v>
      </c>
      <c r="AH25" s="30" t="e">
        <f>IF($C25="","",VLOOKUP($C25,AMABat!$A$10:$BV$140,AH$4,FALSE))</f>
        <v>#N/A</v>
      </c>
      <c r="AI25" s="30" t="e">
        <f>IF($C25="","",VLOOKUP($C25,AMABat!$A$10:$BV$140,AI$4,FALSE))</f>
        <v>#N/A</v>
      </c>
      <c r="AJ25" s="31" t="e">
        <f>IF($C25="","",VLOOKUP($C25,AMABat!$A$10:$BV$140,AJ$4,FALSE))</f>
        <v>#N/A</v>
      </c>
      <c r="AK25" s="60" t="e">
        <f t="shared" ref="AK25:AK27" si="84">IF($C25="","",(5*AD25+4*AF25+3*AG25+2*AE25+1*AH25+0.5*(AVERAGE(AD25:AE25))+0.5*AVERAGE(AD25,AH25)+1*(AVERAGE(AD25,AF25))+1*AVERAGE(AD25,AG25))/(5+4+3+2+1+0.5+0.5+1+1))</f>
        <v>#N/A</v>
      </c>
      <c r="AL25" s="339" t="e">
        <f t="shared" ref="AL25:AL27" si="85">IF($C25="","",IF(AND(OR(AU25+AX25&gt;12,AND(AU25&gt;6,AX25&gt;6)),AI25&gt;6,OR(AJ25&gt;=AI25,AJ25&gt;6)),1,0))</f>
        <v>#N/A</v>
      </c>
      <c r="AM25" s="339" t="e">
        <f t="shared" ref="AM25:AM27" si="86">IF($C25="","",IF(OR(AND(AU25&gt;6,AY25&gt;6),AU25+AX25&gt;12),1,0))</f>
        <v>#N/A</v>
      </c>
      <c r="AN25" s="339" t="e">
        <f t="shared" ref="AN25:AN27" si="87">IF($C25="","",IF(AND(AU25&gt;6,AW25&gt;6,AX25&gt;6),1,0))</f>
        <v>#N/A</v>
      </c>
      <c r="AO25" s="339" t="e">
        <f t="shared" ref="AO25:AO27" si="88">IF($C25="","",IF(AND(AW25&gt;7,OR(AU25&gt;6,AX25&gt;6)),1,0))</f>
        <v>#N/A</v>
      </c>
      <c r="AP25" s="339" t="e">
        <f t="shared" ref="AP25:AP27" si="89">IF($C25="","",IF(AND(AW25&gt;6,OR(AU25&gt;6,AX25&gt;6)),1,0))</f>
        <v>#N/A</v>
      </c>
      <c r="AQ25" s="339" t="e">
        <f t="shared" ref="AQ25:AQ27" si="90">IF($C25="","",IF(AND(OR(AU25&gt;6,AW25&gt;6),OR(AU25&gt;6,AX25&gt;6)),1,0))</f>
        <v>#N/A</v>
      </c>
      <c r="AR25" s="339" t="e">
        <f t="shared" ref="AR25:AR27" si="91">IF($C25="","",IF(AND(AU25&gt;4,OR(AU25&gt;6,AW25&gt;6,AX25&gt;6)),1,0))</f>
        <v>#N/A</v>
      </c>
      <c r="AS25" s="339" t="e">
        <f t="shared" ref="AS25:AS27" si="92">IF($C25="","",IF(AND(AU25&gt;4,OR(AU25&gt;6,AV25&gt;6,AW25&gt;6,AX25&gt;6)),1,0))</f>
        <v>#N/A</v>
      </c>
      <c r="AT25" s="340" t="e">
        <f t="shared" ref="AT25:AT27" si="93">IF($C25="","",IF(AND(AU25&gt;4,MAX(AU25:AY25)&gt;6),1,0))</f>
        <v>#N/A</v>
      </c>
      <c r="AU25" s="51" t="e">
        <f>IF($C25="","",VLOOKUP($C25,AMABat!$A$10:$BV$140,AU$4,FALSE))</f>
        <v>#N/A</v>
      </c>
      <c r="AV25" s="30" t="e">
        <f>IF($C25="","",VLOOKUP($C25,AMABat!$A$10:$BV$140,AV$4,FALSE))</f>
        <v>#N/A</v>
      </c>
      <c r="AW25" s="30" t="e">
        <f>IF($C25="","",VLOOKUP($C25,AMABat!$A$10:$BV$140,AW$4,FALSE))</f>
        <v>#N/A</v>
      </c>
      <c r="AX25" s="30" t="e">
        <f>IF($C25="","",VLOOKUP($C25,AMABat!$A$10:$BV$140,AX$4,FALSE))</f>
        <v>#N/A</v>
      </c>
      <c r="AY25" s="31" t="e">
        <f>IF($C25="","",VLOOKUP($C25,AMABat!$A$10:$BV$140,AY$4,FALSE))</f>
        <v>#N/A</v>
      </c>
      <c r="AZ25" s="60" t="e">
        <f t="shared" ref="AZ25:AZ27" si="94">IF($C25="","",(5*AU25+4*AW25+3*AX25+2*AV25+1*AY25+0.5*(AVERAGE(AU25:AV25))+0.5*AVERAGE(AU25,AY25)+1*(AVERAGE(AU25,AW25))+1*AVERAGE(AU25,AX25))/(5+4+3+2+1+0.5+0.5+1+1))</f>
        <v>#N/A</v>
      </c>
    </row>
    <row r="26" spans="1:52" x14ac:dyDescent="0.25">
      <c r="A26" s="305">
        <v>2</v>
      </c>
      <c r="B26" s="29" t="s">
        <v>80</v>
      </c>
      <c r="C26" s="30" t="s">
        <v>752</v>
      </c>
      <c r="D26" s="30" t="e">
        <f>IF($C26="","",VLOOKUP($C26,AMABat!$A$10:$BV$140,D$4,FALSE))</f>
        <v>#N/A</v>
      </c>
      <c r="E26" s="30" t="e">
        <f>IF($C26="","",VLOOKUP($C26,AMABat!$A$10:$BV$140,E$4,FALSE))</f>
        <v>#N/A</v>
      </c>
      <c r="F26" s="345" t="e">
        <f t="shared" si="71"/>
        <v>#N/A</v>
      </c>
      <c r="G26" s="339" t="e">
        <f t="shared" si="72"/>
        <v>#N/A</v>
      </c>
      <c r="H26" s="339" t="e">
        <f t="shared" si="73"/>
        <v>#N/A</v>
      </c>
      <c r="I26" s="339" t="str">
        <f t="shared" si="74"/>
        <v>-</v>
      </c>
      <c r="J26" s="51" t="e">
        <f>IF($C26="","",VLOOKUP($C26,AMABat!$A$10:$BV$140,J$4,FALSE))</f>
        <v>#N/A</v>
      </c>
      <c r="K26" s="30" t="e">
        <f>IF($C26="","",VLOOKUP($C26,AMABat!$A$10:$BV$140,K$4,FALSE))</f>
        <v>#N/A</v>
      </c>
      <c r="L26" s="31" t="e">
        <f>IF($C26="","",VLOOKUP($C26,AMABat!$A$10:$BV$140,L$4,FALSE))</f>
        <v>#N/A</v>
      </c>
      <c r="M26" s="30" t="e">
        <f>IF($C26="","",VLOOKUP($C26,AMABat!$A$10:$BV$140,M$4,FALSE))</f>
        <v>#N/A</v>
      </c>
      <c r="N26" s="30" t="e">
        <f>IF($C26="","",VLOOKUP($C26,AMABat!$A$10:$BV$140,N$4,FALSE))</f>
        <v>#N/A</v>
      </c>
      <c r="O26" s="30" t="e">
        <f>IF($C26="","",VLOOKUP($C26,AMABat!$A$10:$BV$140,O$4,FALSE))</f>
        <v>#N/A</v>
      </c>
      <c r="P26" s="30" t="e">
        <f>IF($C26="","",VLOOKUP($C26,AMABat!$A$10:$BV$140,P$4,FALSE))</f>
        <v>#N/A</v>
      </c>
      <c r="Q26" s="30" t="e">
        <f>IF($C26="","",VLOOKUP($C26,AMABat!$A$10:$BV$140,Q$4,FALSE))</f>
        <v>#N/A</v>
      </c>
      <c r="R26" s="30" t="e">
        <f>IF($C26="","",VLOOKUP($C26,AMABat!$A$10:$BV$140,R$4,FALSE))</f>
        <v>#N/A</v>
      </c>
      <c r="S26" s="30" t="e">
        <f>IF($C26="","",VLOOKUP($C26,AMABat!$A$10:$BV$140,S$4,FALSE))</f>
        <v>#N/A</v>
      </c>
      <c r="T26" s="31" t="e">
        <f>IF($C26="","",VLOOKUP($C26,AMABat!$A$10:$BV$140,T$4,FALSE))</f>
        <v>#N/A</v>
      </c>
      <c r="U26" s="339" t="e">
        <f t="shared" si="75"/>
        <v>#N/A</v>
      </c>
      <c r="V26" s="339" t="e">
        <f t="shared" si="76"/>
        <v>#N/A</v>
      </c>
      <c r="W26" s="339" t="e">
        <f t="shared" si="77"/>
        <v>#N/A</v>
      </c>
      <c r="X26" s="339" t="e">
        <f t="shared" si="78"/>
        <v>#N/A</v>
      </c>
      <c r="Y26" s="339" t="e">
        <f t="shared" si="79"/>
        <v>#N/A</v>
      </c>
      <c r="Z26" s="339" t="e">
        <f t="shared" si="80"/>
        <v>#N/A</v>
      </c>
      <c r="AA26" s="339" t="e">
        <f t="shared" si="81"/>
        <v>#N/A</v>
      </c>
      <c r="AB26" s="339" t="e">
        <f t="shared" si="82"/>
        <v>#N/A</v>
      </c>
      <c r="AC26" s="340" t="e">
        <f t="shared" si="83"/>
        <v>#N/A</v>
      </c>
      <c r="AD26" s="30" t="e">
        <f>IF($C26="","",VLOOKUP($C26,AMABat!$A$10:$BV$140,AD$4,FALSE))</f>
        <v>#N/A</v>
      </c>
      <c r="AE26" s="30" t="e">
        <f>IF($C26="","",VLOOKUP($C26,AMABat!$A$10:$BV$140,AE$4,FALSE))</f>
        <v>#N/A</v>
      </c>
      <c r="AF26" s="30" t="e">
        <f>IF($C26="","",VLOOKUP($C26,AMABat!$A$10:$BV$140,AF$4,FALSE))</f>
        <v>#N/A</v>
      </c>
      <c r="AG26" s="30" t="e">
        <f>IF($C26="","",VLOOKUP($C26,AMABat!$A$10:$BV$140,AG$4,FALSE))</f>
        <v>#N/A</v>
      </c>
      <c r="AH26" s="30" t="e">
        <f>IF($C26="","",VLOOKUP($C26,AMABat!$A$10:$BV$140,AH$4,FALSE))</f>
        <v>#N/A</v>
      </c>
      <c r="AI26" s="30" t="e">
        <f>IF($C26="","",VLOOKUP($C26,AMABat!$A$10:$BV$140,AI$4,FALSE))</f>
        <v>#N/A</v>
      </c>
      <c r="AJ26" s="31" t="e">
        <f>IF($C26="","",VLOOKUP($C26,AMABat!$A$10:$BV$140,AJ$4,FALSE))</f>
        <v>#N/A</v>
      </c>
      <c r="AK26" s="60" t="e">
        <f t="shared" si="84"/>
        <v>#N/A</v>
      </c>
      <c r="AL26" s="339" t="e">
        <f t="shared" si="85"/>
        <v>#N/A</v>
      </c>
      <c r="AM26" s="339" t="e">
        <f t="shared" si="86"/>
        <v>#N/A</v>
      </c>
      <c r="AN26" s="339" t="e">
        <f t="shared" si="87"/>
        <v>#N/A</v>
      </c>
      <c r="AO26" s="339" t="e">
        <f t="shared" si="88"/>
        <v>#N/A</v>
      </c>
      <c r="AP26" s="339" t="e">
        <f t="shared" si="89"/>
        <v>#N/A</v>
      </c>
      <c r="AQ26" s="339" t="e">
        <f t="shared" si="90"/>
        <v>#N/A</v>
      </c>
      <c r="AR26" s="339" t="e">
        <f t="shared" si="91"/>
        <v>#N/A</v>
      </c>
      <c r="AS26" s="339" t="e">
        <f t="shared" si="92"/>
        <v>#N/A</v>
      </c>
      <c r="AT26" s="340" t="e">
        <f t="shared" si="93"/>
        <v>#N/A</v>
      </c>
      <c r="AU26" s="51" t="e">
        <f>IF($C26="","",VLOOKUP($C26,AMABat!$A$10:$BV$140,AU$4,FALSE))</f>
        <v>#N/A</v>
      </c>
      <c r="AV26" s="30" t="e">
        <f>IF($C26="","",VLOOKUP($C26,AMABat!$A$10:$BV$140,AV$4,FALSE))</f>
        <v>#N/A</v>
      </c>
      <c r="AW26" s="30" t="e">
        <f>IF($C26="","",VLOOKUP($C26,AMABat!$A$10:$BV$140,AW$4,FALSE))</f>
        <v>#N/A</v>
      </c>
      <c r="AX26" s="30" t="e">
        <f>IF($C26="","",VLOOKUP($C26,AMABat!$A$10:$BV$140,AX$4,FALSE))</f>
        <v>#N/A</v>
      </c>
      <c r="AY26" s="31" t="e">
        <f>IF($C26="","",VLOOKUP($C26,AMABat!$A$10:$BV$140,AY$4,FALSE))</f>
        <v>#N/A</v>
      </c>
      <c r="AZ26" s="60" t="e">
        <f t="shared" si="94"/>
        <v>#N/A</v>
      </c>
    </row>
    <row r="27" spans="1:52" x14ac:dyDescent="0.25">
      <c r="A27" s="305">
        <v>3</v>
      </c>
      <c r="B27" s="32" t="s">
        <v>80</v>
      </c>
      <c r="C27" s="33"/>
      <c r="D27" s="33" t="str">
        <f>IF($C27="","",VLOOKUP($C27,AMABat!$A$10:$BV$140,D$4,FALSE))</f>
        <v/>
      </c>
      <c r="E27" s="33" t="str">
        <f>IF($C27="","",VLOOKUP($C27,AMABat!$A$10:$BV$140,E$4,FALSE))</f>
        <v/>
      </c>
      <c r="F27" s="47" t="str">
        <f t="shared" si="71"/>
        <v/>
      </c>
      <c r="G27" s="337" t="str">
        <f t="shared" si="72"/>
        <v/>
      </c>
      <c r="H27" s="337" t="str">
        <f t="shared" si="73"/>
        <v/>
      </c>
      <c r="I27" s="337" t="str">
        <f t="shared" si="74"/>
        <v/>
      </c>
      <c r="J27" s="52" t="str">
        <f>IF($C27="","",VLOOKUP($C27,AMABat!$A$10:$BV$140,J$4,FALSE))</f>
        <v/>
      </c>
      <c r="K27" s="33" t="str">
        <f>IF($C27="","",VLOOKUP($C27,AMABat!$A$10:$BV$140,K$4,FALSE))</f>
        <v/>
      </c>
      <c r="L27" s="35" t="str">
        <f>IF($C27="","",VLOOKUP($C27,AMABat!$A$10:$BV$140,L$4,FALSE))</f>
        <v/>
      </c>
      <c r="M27" s="33" t="str">
        <f>IF($C27="","",VLOOKUP($C27,AMABat!$A$10:$BV$140,M$4,FALSE))</f>
        <v/>
      </c>
      <c r="N27" s="33" t="str">
        <f>IF($C27="","",VLOOKUP($C27,AMABat!$A$10:$BV$140,N$4,FALSE))</f>
        <v/>
      </c>
      <c r="O27" s="33" t="str">
        <f>IF($C27="","",VLOOKUP($C27,AMABat!$A$10:$BV$140,O$4,FALSE))</f>
        <v/>
      </c>
      <c r="P27" s="33" t="str">
        <f>IF($C27="","",VLOOKUP($C27,AMABat!$A$10:$BV$140,P$4,FALSE))</f>
        <v/>
      </c>
      <c r="Q27" s="33" t="str">
        <f>IF($C27="","",VLOOKUP($C27,AMABat!$A$10:$BV$140,Q$4,FALSE))</f>
        <v/>
      </c>
      <c r="R27" s="33" t="str">
        <f>IF($C27="","",VLOOKUP($C27,AMABat!$A$10:$BV$140,R$4,FALSE))</f>
        <v/>
      </c>
      <c r="S27" s="33" t="str">
        <f>IF($C27="","",VLOOKUP($C27,AMABat!$A$10:$BV$140,S$4,FALSE))</f>
        <v/>
      </c>
      <c r="T27" s="35" t="str">
        <f>IF($C27="","",VLOOKUP($C27,AMABat!$A$10:$BV$140,T$4,FALSE))</f>
        <v/>
      </c>
      <c r="U27" s="337" t="str">
        <f t="shared" si="75"/>
        <v/>
      </c>
      <c r="V27" s="337" t="str">
        <f t="shared" si="76"/>
        <v/>
      </c>
      <c r="W27" s="337" t="str">
        <f t="shared" si="77"/>
        <v/>
      </c>
      <c r="X27" s="337" t="str">
        <f t="shared" si="78"/>
        <v/>
      </c>
      <c r="Y27" s="337" t="str">
        <f t="shared" si="79"/>
        <v/>
      </c>
      <c r="Z27" s="337" t="str">
        <f t="shared" si="80"/>
        <v/>
      </c>
      <c r="AA27" s="337" t="str">
        <f t="shared" si="81"/>
        <v/>
      </c>
      <c r="AB27" s="337" t="str">
        <f t="shared" si="82"/>
        <v/>
      </c>
      <c r="AC27" s="338" t="str">
        <f t="shared" si="83"/>
        <v/>
      </c>
      <c r="AD27" s="33" t="str">
        <f>IF($C27="","",VLOOKUP($C27,AMABat!$A$10:$BV$140,AD$4,FALSE))</f>
        <v/>
      </c>
      <c r="AE27" s="33" t="str">
        <f>IF($C27="","",VLOOKUP($C27,AMABat!$A$10:$BV$140,AE$4,FALSE))</f>
        <v/>
      </c>
      <c r="AF27" s="33" t="str">
        <f>IF($C27="","",VLOOKUP($C27,AMABat!$A$10:$BV$140,AF$4,FALSE))</f>
        <v/>
      </c>
      <c r="AG27" s="33" t="str">
        <f>IF($C27="","",VLOOKUP($C27,AMABat!$A$10:$BV$140,AG$4,FALSE))</f>
        <v/>
      </c>
      <c r="AH27" s="33" t="str">
        <f>IF($C27="","",VLOOKUP($C27,AMABat!$A$10:$BV$140,AH$4,FALSE))</f>
        <v/>
      </c>
      <c r="AI27" s="33" t="str">
        <f>IF($C27="","",VLOOKUP($C27,AMABat!$A$10:$BV$140,AI$4,FALSE))</f>
        <v/>
      </c>
      <c r="AJ27" s="35" t="str">
        <f>IF($C27="","",VLOOKUP($C27,AMABat!$A$10:$BV$140,AJ$4,FALSE))</f>
        <v/>
      </c>
      <c r="AK27" s="61" t="str">
        <f t="shared" si="84"/>
        <v/>
      </c>
      <c r="AL27" s="337" t="str">
        <f t="shared" si="85"/>
        <v/>
      </c>
      <c r="AM27" s="337" t="str">
        <f t="shared" si="86"/>
        <v/>
      </c>
      <c r="AN27" s="337" t="str">
        <f t="shared" si="87"/>
        <v/>
      </c>
      <c r="AO27" s="337" t="str">
        <f t="shared" si="88"/>
        <v/>
      </c>
      <c r="AP27" s="337" t="str">
        <f t="shared" si="89"/>
        <v/>
      </c>
      <c r="AQ27" s="337" t="str">
        <f t="shared" si="90"/>
        <v/>
      </c>
      <c r="AR27" s="337" t="str">
        <f t="shared" si="91"/>
        <v/>
      </c>
      <c r="AS27" s="337" t="str">
        <f t="shared" si="92"/>
        <v/>
      </c>
      <c r="AT27" s="338" t="str">
        <f t="shared" si="93"/>
        <v/>
      </c>
      <c r="AU27" s="52" t="str">
        <f>IF($C27="","",VLOOKUP($C27,AMABat!$A$10:$BV$140,AU$4,FALSE))</f>
        <v/>
      </c>
      <c r="AV27" s="33" t="str">
        <f>IF($C27="","",VLOOKUP($C27,AMABat!$A$10:$BV$140,AV$4,FALSE))</f>
        <v/>
      </c>
      <c r="AW27" s="33" t="str">
        <f>IF($C27="","",VLOOKUP($C27,AMABat!$A$10:$BV$140,AW$4,FALSE))</f>
        <v/>
      </c>
      <c r="AX27" s="33" t="str">
        <f>IF($C27="","",VLOOKUP($C27,AMABat!$A$10:$BV$140,AX$4,FALSE))</f>
        <v/>
      </c>
      <c r="AY27" s="35" t="str">
        <f>IF($C27="","",VLOOKUP($C27,AMABat!$A$10:$BV$140,AY$4,FALSE))</f>
        <v/>
      </c>
      <c r="AZ27" s="61" t="str">
        <f t="shared" si="94"/>
        <v/>
      </c>
    </row>
    <row r="28" spans="1:52" x14ac:dyDescent="0.25">
      <c r="A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</row>
    <row r="29" spans="1:52" ht="196.5" customHeight="1" x14ac:dyDescent="0.25">
      <c r="A29" s="1"/>
      <c r="B29" s="341" t="s">
        <v>347</v>
      </c>
      <c r="C29" s="37" t="s">
        <v>96</v>
      </c>
      <c r="D29" s="37" t="s">
        <v>97</v>
      </c>
      <c r="E29" s="43" t="s">
        <v>80</v>
      </c>
      <c r="F29" s="342" t="s">
        <v>133</v>
      </c>
      <c r="G29" s="342" t="s">
        <v>137</v>
      </c>
      <c r="H29" s="343" t="s">
        <v>135</v>
      </c>
      <c r="I29" s="81" t="s">
        <v>159</v>
      </c>
      <c r="J29" s="341" t="s">
        <v>71</v>
      </c>
      <c r="K29" s="342" t="s">
        <v>123</v>
      </c>
      <c r="L29" s="342" t="s">
        <v>124</v>
      </c>
      <c r="M29" s="342" t="s">
        <v>180</v>
      </c>
      <c r="N29" s="342" t="s">
        <v>72</v>
      </c>
      <c r="O29" s="341" t="s">
        <v>181</v>
      </c>
      <c r="P29" s="343" t="s">
        <v>182</v>
      </c>
      <c r="Q29" s="341" t="s">
        <v>190</v>
      </c>
      <c r="R29" s="80" t="s">
        <v>203</v>
      </c>
      <c r="S29" s="1"/>
      <c r="T29" s="341" t="s">
        <v>97</v>
      </c>
      <c r="U29" s="341" t="s">
        <v>191</v>
      </c>
      <c r="V29" s="343" t="s">
        <v>204</v>
      </c>
      <c r="W29" s="342" t="s">
        <v>190</v>
      </c>
      <c r="X29" s="343" t="s">
        <v>203</v>
      </c>
      <c r="Y29" s="1"/>
      <c r="Z29" s="1" t="s">
        <v>336</v>
      </c>
      <c r="AA29" s="1"/>
      <c r="AB29" s="1"/>
      <c r="AC29" s="1"/>
      <c r="AD29" s="1"/>
      <c r="AE29" s="1"/>
      <c r="AF29" s="1"/>
      <c r="AG29" s="400" t="s">
        <v>346</v>
      </c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2"/>
      <c r="AU29" s="1"/>
      <c r="AV29" s="1"/>
      <c r="AW29" s="1"/>
      <c r="AX29" s="1"/>
      <c r="AY29" s="1"/>
      <c r="AZ29" s="1"/>
    </row>
    <row r="30" spans="1:52" x14ac:dyDescent="0.25">
      <c r="A30" s="305"/>
      <c r="B30" s="29">
        <v>1</v>
      </c>
      <c r="C30" s="50"/>
      <c r="D30" s="26" t="s">
        <v>78</v>
      </c>
      <c r="E30" s="31" t="str">
        <f>IF($C30="","",VLOOKUP($C30,$C$3:$AK$24,3,FALSE))</f>
        <v/>
      </c>
      <c r="F30" s="339" t="str">
        <f t="shared" ref="F30:F38" si="95">IF($C30="","",VLOOKUP($C30,$C$3:$AK$24,18+$B30,FALSE))</f>
        <v/>
      </c>
      <c r="G30" s="339" t="str">
        <f>IF($C30="","",IF(VLOOKUP($C30,$C$3:$AK$24,18+3,FALSE)=1,3,IF(VLOOKUP($C30,$C$3:$AK$24,18+4,FALSE)=1,4,IF(VLOOKUP($C30,$C$3:$AK$24,18+1,FALSE)=1,1,IF(VLOOKUP($C30,$C$3:$AK$24,18+5,FALSE)=1,5,IF(VLOOKUP($C30,$C$3:$AK$24,18+2,FALSE)=1,2,IF(VLOOKUP($C30,$C$3:$AK$24,18+6,FALSE)=1,6,IF(VLOOKUP($C30,$C$3:$AK$24,18+7,FALSE)=1,7,IF(VLOOKUP($C30,$C$3:$AK$24,18+8,FALSE)=1,8,9)))))))))</f>
        <v/>
      </c>
      <c r="H30" s="8" t="str">
        <f>IF($C30="","",VLOOKUP($C30,$C$3:$AK$24,35,FALSE))</f>
        <v/>
      </c>
      <c r="I30" s="82">
        <v>3</v>
      </c>
      <c r="J30" s="345" t="str">
        <f>IF($C30="","",VLOOKUP($C30,AMABat!$A$10:$BV$140,AD$1,FALSE))</f>
        <v/>
      </c>
      <c r="K30" s="339" t="str">
        <f>IF($C30="","",VLOOKUP($C30,AMABat!$A$10:$BV$140,AE$1,FALSE))</f>
        <v/>
      </c>
      <c r="L30" s="339" t="str">
        <f>IF($C30="","",VLOOKUP($C30,AMABat!$A$10:$BV$140,AF$1,FALSE))</f>
        <v/>
      </c>
      <c r="M30" s="339" t="str">
        <f>IF($C30="","",VLOOKUP($C30,AMABat!$A$10:$BV$140,AG$1,FALSE))</f>
        <v/>
      </c>
      <c r="N30" s="339" t="str">
        <f>IF($C30="","",VLOOKUP($C30,AMABat!$A$10:$BV$140,AH$1,FALSE))</f>
        <v/>
      </c>
      <c r="O30" s="345" t="str">
        <f>IF($C30="","",VLOOKUP($C30,AMABat!$A$10:$BV$140,AI$1,FALSE))</f>
        <v/>
      </c>
      <c r="P30" s="340" t="str">
        <f>IF($C30="","",VLOOKUP($C30,AMABat!$A$10:$BV$140,AJ$1,FALSE))</f>
        <v/>
      </c>
      <c r="Q30" s="107" t="str">
        <f t="shared" ref="Q30:Q38" si="96">IF($C30="","",IF($D30="DH","-",VLOOKUP($C30,$C$2:$AZ$24,9+VLOOKUP($D30,$T$26:$U$34,2,FALSE),FALSE)))</f>
        <v/>
      </c>
      <c r="R30" s="94" t="str">
        <f t="shared" ref="R30:R38" si="97">IF($C30="","",IF($D30="DH","-",VLOOKUP($C30,$C$2:$AZ$24,VLOOKUP($D30,$T$26:$V$34,3,FALSE),FALSE)))</f>
        <v/>
      </c>
      <c r="S30" s="305"/>
      <c r="T30" s="345" t="s">
        <v>71</v>
      </c>
      <c r="U30" s="345">
        <v>2</v>
      </c>
      <c r="V30" s="340">
        <v>8</v>
      </c>
      <c r="W30" s="339" t="str">
        <f>VLOOKUP($T30,$D$26:$R$35,14,FALSE)</f>
        <v/>
      </c>
      <c r="X30" s="340" t="str">
        <f>VLOOKUP($T30,$D$26:$R$35,15,FALSE)</f>
        <v/>
      </c>
      <c r="Y30" s="305"/>
      <c r="Z30" s="305" t="s">
        <v>337</v>
      </c>
      <c r="AA30" s="305">
        <v>1</v>
      </c>
      <c r="AB30" s="305"/>
      <c r="AC30" s="305"/>
      <c r="AD30" s="305"/>
      <c r="AE30" s="305"/>
      <c r="AF30" s="305"/>
      <c r="AG30" s="192">
        <v>1</v>
      </c>
      <c r="AH30" s="406" t="s">
        <v>362</v>
      </c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7"/>
      <c r="AU30" s="305" t="s">
        <v>366</v>
      </c>
      <c r="AV30" s="305"/>
      <c r="AW30" s="305"/>
      <c r="AX30" s="305"/>
      <c r="AY30" s="305"/>
      <c r="AZ30" s="305"/>
    </row>
    <row r="31" spans="1:52" x14ac:dyDescent="0.25">
      <c r="A31" s="305"/>
      <c r="B31" s="29">
        <v>2</v>
      </c>
      <c r="C31" s="51"/>
      <c r="D31" s="30" t="s">
        <v>76</v>
      </c>
      <c r="E31" s="31" t="str">
        <f t="shared" ref="E31:E38" si="98">IF($C31="","",VLOOKUP($C31,$C$3:$AK$24,3,FALSE))</f>
        <v/>
      </c>
      <c r="F31" s="339" t="str">
        <f t="shared" si="95"/>
        <v/>
      </c>
      <c r="G31" s="339" t="str">
        <f t="shared" ref="G31:G38" si="99">IF($C31="","",IF(VLOOKUP($C31,$C$3:$AK$24,18+3,FALSE)=1,3,IF(VLOOKUP($C31,$C$3:$AK$24,18+4,FALSE)=1,4,IF(VLOOKUP($C31,$C$3:$AK$24,18+1,FALSE)=1,1,IF(VLOOKUP($C31,$C$3:$AK$24,18+5,FALSE)=1,5,IF(VLOOKUP($C31,$C$3:$AK$24,18+2,FALSE)=1,2,IF(VLOOKUP($C31,$C$3:$AK$24,18+6,FALSE)=1,6,IF(VLOOKUP($C31,$C$3:$AK$24,18+7,FALSE)=1,7,IF(VLOOKUP($C31,$C$3:$AK$24,18+8,FALSE)=1,8,9)))))))))</f>
        <v/>
      </c>
      <c r="H31" s="8" t="str">
        <f t="shared" ref="H31:H38" si="100">IF($C31="","",VLOOKUP($C31,$C$3:$AK$24,35,FALSE))</f>
        <v/>
      </c>
      <c r="I31" s="82">
        <v>5</v>
      </c>
      <c r="J31" s="345" t="str">
        <f>IF($C31="","",VLOOKUP($C31,AMABat!$A$10:$BV$140,AD$1,FALSE))</f>
        <v/>
      </c>
      <c r="K31" s="339" t="str">
        <f>IF($C31="","",VLOOKUP($C31,AMABat!$A$10:$BV$140,AE$1,FALSE))</f>
        <v/>
      </c>
      <c r="L31" s="339" t="str">
        <f>IF($C31="","",VLOOKUP($C31,AMABat!$A$10:$BV$140,AF$1,FALSE))</f>
        <v/>
      </c>
      <c r="M31" s="339" t="str">
        <f>IF($C31="","",VLOOKUP($C31,AMABat!$A$10:$BV$140,AG$1,FALSE))</f>
        <v/>
      </c>
      <c r="N31" s="339" t="str">
        <f>IF($C31="","",VLOOKUP($C31,AMABat!$A$10:$BV$140,AH$1,FALSE))</f>
        <v/>
      </c>
      <c r="O31" s="345" t="str">
        <f>IF($C31="","",VLOOKUP($C31,AMABat!$A$10:$BV$140,AI$1,FALSE))</f>
        <v/>
      </c>
      <c r="P31" s="340" t="str">
        <f>IF($C31="","",VLOOKUP($C31,AMABat!$A$10:$BV$140,AJ$1,FALSE))</f>
        <v/>
      </c>
      <c r="Q31" s="108" t="str">
        <f t="shared" si="96"/>
        <v/>
      </c>
      <c r="R31" s="94" t="str">
        <f t="shared" si="97"/>
        <v/>
      </c>
      <c r="S31" s="305"/>
      <c r="T31" s="345" t="s">
        <v>73</v>
      </c>
      <c r="U31" s="345">
        <v>3</v>
      </c>
      <c r="V31" s="340">
        <v>9</v>
      </c>
      <c r="W31" s="339" t="e">
        <f t="shared" ref="W31:W37" si="101">VLOOKUP($T31,$D$26:$R$35,14,FALSE)</f>
        <v>#N/A</v>
      </c>
      <c r="X31" s="340" t="e">
        <f t="shared" ref="X31:X37" si="102">VLOOKUP($T31,$D$26:$R$35,15,FALSE)</f>
        <v>#N/A</v>
      </c>
      <c r="Y31" s="305"/>
      <c r="Z31" s="305" t="s">
        <v>338</v>
      </c>
      <c r="AA31" s="305">
        <v>3</v>
      </c>
      <c r="AB31" s="305"/>
      <c r="AC31" s="305"/>
      <c r="AD31" s="305"/>
      <c r="AE31" s="305"/>
      <c r="AF31" s="305"/>
      <c r="AG31" s="70">
        <v>2</v>
      </c>
      <c r="AH31" s="396" t="s">
        <v>363</v>
      </c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7"/>
      <c r="AU31" s="305" t="s">
        <v>370</v>
      </c>
      <c r="AV31" s="305"/>
      <c r="AW31" s="305"/>
      <c r="AX31" s="305"/>
      <c r="AY31" s="305"/>
      <c r="AZ31" s="305"/>
    </row>
    <row r="32" spans="1:52" x14ac:dyDescent="0.25">
      <c r="A32" s="305"/>
      <c r="B32" s="29">
        <v>3</v>
      </c>
      <c r="C32" s="51"/>
      <c r="D32" s="58" t="s">
        <v>71</v>
      </c>
      <c r="E32" s="31" t="str">
        <f t="shared" si="98"/>
        <v/>
      </c>
      <c r="F32" s="339" t="str">
        <f t="shared" si="95"/>
        <v/>
      </c>
      <c r="G32" s="339" t="str">
        <f t="shared" si="99"/>
        <v/>
      </c>
      <c r="H32" s="8" t="str">
        <f t="shared" si="100"/>
        <v/>
      </c>
      <c r="I32" s="82">
        <v>1</v>
      </c>
      <c r="J32" s="345" t="str">
        <f>IF($C32="","",VLOOKUP($C32,AMABat!$A$10:$BV$140,AD$1,FALSE))</f>
        <v/>
      </c>
      <c r="K32" s="339" t="str">
        <f>IF($C32="","",VLOOKUP($C32,AMABat!$A$10:$BV$140,AE$1,FALSE))</f>
        <v/>
      </c>
      <c r="L32" s="339" t="str">
        <f>IF($C32="","",VLOOKUP($C32,AMABat!$A$10:$BV$140,AF$1,FALSE))</f>
        <v/>
      </c>
      <c r="M32" s="339" t="str">
        <f>IF($C32="","",VLOOKUP($C32,AMABat!$A$10:$BV$140,AG$1,FALSE))</f>
        <v/>
      </c>
      <c r="N32" s="339" t="str">
        <f>IF($C32="","",VLOOKUP($C32,AMABat!$A$10:$BV$140,AH$1,FALSE))</f>
        <v/>
      </c>
      <c r="O32" s="345" t="str">
        <f>IF($C32="","",VLOOKUP($C32,AMABat!$A$10:$BV$140,AI$1,FALSE))</f>
        <v/>
      </c>
      <c r="P32" s="340" t="str">
        <f>IF($C32="","",VLOOKUP($C32,AMABat!$A$10:$BV$140,AJ$1,FALSE))</f>
        <v/>
      </c>
      <c r="Q32" s="108" t="str">
        <f t="shared" si="96"/>
        <v/>
      </c>
      <c r="R32" s="94" t="str">
        <f t="shared" si="97"/>
        <v/>
      </c>
      <c r="S32" s="305"/>
      <c r="T32" s="345" t="s">
        <v>74</v>
      </c>
      <c r="U32" s="345">
        <v>4</v>
      </c>
      <c r="V32" s="340">
        <v>9</v>
      </c>
      <c r="W32" s="339" t="e">
        <f t="shared" si="101"/>
        <v>#N/A</v>
      </c>
      <c r="X32" s="340" t="e">
        <f t="shared" si="102"/>
        <v>#N/A</v>
      </c>
      <c r="Y32" s="305"/>
      <c r="Z32" s="305" t="s">
        <v>341</v>
      </c>
      <c r="AA32" s="305">
        <v>5</v>
      </c>
      <c r="AB32" s="305"/>
      <c r="AC32" s="305"/>
      <c r="AD32" s="305"/>
      <c r="AE32" s="305"/>
      <c r="AF32" s="305"/>
      <c r="AG32" s="70">
        <v>3</v>
      </c>
      <c r="AH32" s="406" t="s">
        <v>369</v>
      </c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7"/>
      <c r="AU32" s="305" t="s">
        <v>383</v>
      </c>
      <c r="AV32" s="305"/>
      <c r="AW32" s="305"/>
      <c r="AX32" s="305"/>
      <c r="AY32" s="305"/>
      <c r="AZ32" s="305"/>
    </row>
    <row r="33" spans="1:52" x14ac:dyDescent="0.25">
      <c r="A33" s="305"/>
      <c r="B33" s="29">
        <v>4</v>
      </c>
      <c r="C33" s="51"/>
      <c r="D33" s="58" t="s">
        <v>75</v>
      </c>
      <c r="E33" s="31" t="str">
        <f t="shared" si="98"/>
        <v/>
      </c>
      <c r="F33" s="339" t="str">
        <f t="shared" si="95"/>
        <v/>
      </c>
      <c r="G33" s="339" t="str">
        <f t="shared" si="99"/>
        <v/>
      </c>
      <c r="H33" s="8" t="str">
        <f t="shared" si="100"/>
        <v/>
      </c>
      <c r="I33" s="82">
        <v>2</v>
      </c>
      <c r="J33" s="345" t="str">
        <f>IF($C33="","",VLOOKUP($C33,AMABat!$A$10:$BV$140,AD$1,FALSE))</f>
        <v/>
      </c>
      <c r="K33" s="339" t="str">
        <f>IF($C33="","",VLOOKUP($C33,AMABat!$A$10:$BV$140,AE$1,FALSE))</f>
        <v/>
      </c>
      <c r="L33" s="339" t="str">
        <f>IF($C33="","",VLOOKUP($C33,AMABat!$A$10:$BV$140,AF$1,FALSE))</f>
        <v/>
      </c>
      <c r="M33" s="339" t="str">
        <f>IF($C33="","",VLOOKUP($C33,AMABat!$A$10:$BV$140,AG$1,FALSE))</f>
        <v/>
      </c>
      <c r="N33" s="339" t="str">
        <f>IF($C33="","",VLOOKUP($C33,AMABat!$A$10:$BV$140,AH$1,FALSE))</f>
        <v/>
      </c>
      <c r="O33" s="345" t="str">
        <f>IF($C33="","",VLOOKUP($C33,AMABat!$A$10:$BV$140,AI$1,FALSE))</f>
        <v/>
      </c>
      <c r="P33" s="340" t="str">
        <f>IF($C33="","",VLOOKUP($C33,AMABat!$A$10:$BV$140,AJ$1,FALSE))</f>
        <v/>
      </c>
      <c r="Q33" s="108" t="str">
        <f t="shared" si="96"/>
        <v/>
      </c>
      <c r="R33" s="94" t="str">
        <f t="shared" si="97"/>
        <v/>
      </c>
      <c r="S33" s="305"/>
      <c r="T33" s="345" t="s">
        <v>75</v>
      </c>
      <c r="U33" s="345">
        <v>5</v>
      </c>
      <c r="V33" s="340">
        <v>9</v>
      </c>
      <c r="W33" s="339" t="str">
        <f t="shared" si="101"/>
        <v/>
      </c>
      <c r="X33" s="340" t="str">
        <f t="shared" si="102"/>
        <v/>
      </c>
      <c r="Y33" s="305"/>
      <c r="Z33" s="305" t="s">
        <v>340</v>
      </c>
      <c r="AA33" s="305">
        <v>2</v>
      </c>
      <c r="AB33" s="305"/>
      <c r="AC33" s="305"/>
      <c r="AD33" s="305"/>
      <c r="AE33" s="305"/>
      <c r="AF33" s="305"/>
      <c r="AG33" s="70">
        <v>4</v>
      </c>
      <c r="AH33" s="406" t="s">
        <v>368</v>
      </c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7"/>
      <c r="AU33" s="305" t="s">
        <v>373</v>
      </c>
      <c r="AV33" s="305"/>
      <c r="AW33" s="305"/>
      <c r="AX33" s="305"/>
      <c r="AY33" s="305"/>
      <c r="AZ33" s="305"/>
    </row>
    <row r="34" spans="1:52" x14ac:dyDescent="0.25">
      <c r="A34" s="305"/>
      <c r="B34" s="29">
        <v>5</v>
      </c>
      <c r="C34" s="51"/>
      <c r="D34" s="58"/>
      <c r="E34" s="31" t="str">
        <f t="shared" si="98"/>
        <v/>
      </c>
      <c r="F34" s="339" t="str">
        <f t="shared" si="95"/>
        <v/>
      </c>
      <c r="G34" s="339" t="str">
        <f t="shared" si="99"/>
        <v/>
      </c>
      <c r="H34" s="8" t="str">
        <f t="shared" si="100"/>
        <v/>
      </c>
      <c r="I34" s="82">
        <v>4</v>
      </c>
      <c r="J34" s="345" t="str">
        <f>IF($C34="","",VLOOKUP($C34,AMABat!$A$10:$BV$140,AD$1,FALSE))</f>
        <v/>
      </c>
      <c r="K34" s="339" t="str">
        <f>IF($C34="","",VLOOKUP($C34,AMABat!$A$10:$BV$140,AE$1,FALSE))</f>
        <v/>
      </c>
      <c r="L34" s="339" t="str">
        <f>IF($C34="","",VLOOKUP($C34,AMABat!$A$10:$BV$140,AF$1,FALSE))</f>
        <v/>
      </c>
      <c r="M34" s="339" t="str">
        <f>IF($C34="","",VLOOKUP($C34,AMABat!$A$10:$BV$140,AG$1,FALSE))</f>
        <v/>
      </c>
      <c r="N34" s="339" t="str">
        <f>IF($C34="","",VLOOKUP($C34,AMABat!$A$10:$BV$140,AH$1,FALSE))</f>
        <v/>
      </c>
      <c r="O34" s="345" t="str">
        <f>IF($C34="","",VLOOKUP($C34,AMABat!$A$10:$BV$140,AI$1,FALSE))</f>
        <v/>
      </c>
      <c r="P34" s="340" t="str">
        <f>IF($C34="","",VLOOKUP($C34,AMABat!$A$10:$BV$140,AJ$1,FALSE))</f>
        <v/>
      </c>
      <c r="Q34" s="108" t="str">
        <f t="shared" si="96"/>
        <v/>
      </c>
      <c r="R34" s="94" t="str">
        <f t="shared" si="97"/>
        <v/>
      </c>
      <c r="S34" s="305"/>
      <c r="T34" s="345" t="s">
        <v>76</v>
      </c>
      <c r="U34" s="345">
        <v>6</v>
      </c>
      <c r="V34" s="340">
        <v>9</v>
      </c>
      <c r="W34" s="339" t="str">
        <f t="shared" si="101"/>
        <v/>
      </c>
      <c r="X34" s="340" t="str">
        <f t="shared" si="102"/>
        <v/>
      </c>
      <c r="Y34" s="305"/>
      <c r="Z34" s="305" t="s">
        <v>339</v>
      </c>
      <c r="AA34" s="305">
        <v>4</v>
      </c>
      <c r="AB34" s="305"/>
      <c r="AC34" s="305"/>
      <c r="AD34" s="305"/>
      <c r="AE34" s="305"/>
      <c r="AF34" s="305"/>
      <c r="AG34" s="70">
        <v>5</v>
      </c>
      <c r="AH34" s="408" t="s">
        <v>361</v>
      </c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10"/>
      <c r="AU34" s="305"/>
      <c r="AV34" s="305"/>
      <c r="AW34" s="305"/>
      <c r="AX34" s="305"/>
      <c r="AY34" s="305"/>
      <c r="AZ34" s="305"/>
    </row>
    <row r="35" spans="1:52" s="1" customFormat="1" x14ac:dyDescent="0.25">
      <c r="A35" s="305"/>
      <c r="B35" s="29">
        <v>6</v>
      </c>
      <c r="C35" s="51"/>
      <c r="D35" s="58"/>
      <c r="E35" s="31" t="str">
        <f t="shared" si="98"/>
        <v/>
      </c>
      <c r="F35" s="339" t="str">
        <f t="shared" si="95"/>
        <v/>
      </c>
      <c r="G35" s="339" t="str">
        <f t="shared" si="99"/>
        <v/>
      </c>
      <c r="H35" s="8" t="str">
        <f t="shared" si="100"/>
        <v/>
      </c>
      <c r="I35" s="82">
        <v>6</v>
      </c>
      <c r="J35" s="345" t="str">
        <f>IF($C35="","",VLOOKUP($C35,AMABat!$A$10:$BV$140,AD$1,FALSE))</f>
        <v/>
      </c>
      <c r="K35" s="339" t="str">
        <f>IF($C35="","",VLOOKUP($C35,AMABat!$A$10:$BV$140,AE$1,FALSE))</f>
        <v/>
      </c>
      <c r="L35" s="339" t="str">
        <f>IF($C35="","",VLOOKUP($C35,AMABat!$A$10:$BV$140,AF$1,FALSE))</f>
        <v/>
      </c>
      <c r="M35" s="339" t="str">
        <f>IF($C35="","",VLOOKUP($C35,AMABat!$A$10:$BV$140,AG$1,FALSE))</f>
        <v/>
      </c>
      <c r="N35" s="339" t="str">
        <f>IF($C35="","",VLOOKUP($C35,AMABat!$A$10:$BV$140,AH$1,FALSE))</f>
        <v/>
      </c>
      <c r="O35" s="345" t="str">
        <f>IF($C35="","",VLOOKUP($C35,AMABat!$A$10:$BV$140,AI$1,FALSE))</f>
        <v/>
      </c>
      <c r="P35" s="340" t="str">
        <f>IF($C35="","",VLOOKUP($C35,AMABat!$A$10:$BV$140,AJ$1,FALSE))</f>
        <v/>
      </c>
      <c r="Q35" s="108" t="str">
        <f t="shared" si="96"/>
        <v/>
      </c>
      <c r="R35" s="94" t="str">
        <f t="shared" si="97"/>
        <v/>
      </c>
      <c r="S35" s="305"/>
      <c r="T35" s="345" t="s">
        <v>77</v>
      </c>
      <c r="U35" s="345">
        <v>7</v>
      </c>
      <c r="V35" s="340">
        <v>10</v>
      </c>
      <c r="W35" s="339" t="e">
        <f t="shared" si="101"/>
        <v>#N/A</v>
      </c>
      <c r="X35" s="340" t="e">
        <f t="shared" si="102"/>
        <v>#N/A</v>
      </c>
      <c r="Y35" s="305"/>
      <c r="Z35" s="305" t="s">
        <v>343</v>
      </c>
      <c r="AA35" s="305">
        <v>6</v>
      </c>
      <c r="AB35" s="305"/>
      <c r="AC35" s="305"/>
      <c r="AD35" s="305"/>
      <c r="AE35" s="305"/>
      <c r="AF35" s="305"/>
      <c r="AG35" s="70">
        <v>6</v>
      </c>
      <c r="AH35" s="411" t="s">
        <v>364</v>
      </c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7"/>
      <c r="AU35" s="305" t="s">
        <v>376</v>
      </c>
      <c r="AV35" s="305"/>
      <c r="AW35" s="305"/>
      <c r="AX35" s="305"/>
      <c r="AY35" s="305"/>
      <c r="AZ35" s="305"/>
    </row>
    <row r="36" spans="1:52" x14ac:dyDescent="0.25">
      <c r="A36" s="305"/>
      <c r="B36" s="29">
        <v>7</v>
      </c>
      <c r="C36" s="51"/>
      <c r="D36" s="58"/>
      <c r="E36" s="31" t="str">
        <f t="shared" si="98"/>
        <v/>
      </c>
      <c r="F36" s="339" t="str">
        <f t="shared" si="95"/>
        <v/>
      </c>
      <c r="G36" s="339" t="str">
        <f t="shared" si="99"/>
        <v/>
      </c>
      <c r="H36" s="8" t="str">
        <f t="shared" si="100"/>
        <v/>
      </c>
      <c r="I36" s="82">
        <v>7</v>
      </c>
      <c r="J36" s="345" t="str">
        <f>IF($C36="","",VLOOKUP($C36,AMABat!$A$10:$BV$140,AD$1,FALSE))</f>
        <v/>
      </c>
      <c r="K36" s="339" t="str">
        <f>IF($C36="","",VLOOKUP($C36,AMABat!$A$10:$BV$140,AE$1,FALSE))</f>
        <v/>
      </c>
      <c r="L36" s="339" t="str">
        <f>IF($C36="","",VLOOKUP($C36,AMABat!$A$10:$BV$140,AF$1,FALSE))</f>
        <v/>
      </c>
      <c r="M36" s="339" t="str">
        <f>IF($C36="","",VLOOKUP($C36,AMABat!$A$10:$BV$140,AG$1,FALSE))</f>
        <v/>
      </c>
      <c r="N36" s="339" t="str">
        <f>IF($C36="","",VLOOKUP($C36,AMABat!$A$10:$BV$140,AH$1,FALSE))</f>
        <v/>
      </c>
      <c r="O36" s="345" t="str">
        <f>IF($C36="","",VLOOKUP($C36,AMABat!$A$10:$BV$140,AI$1,FALSE))</f>
        <v/>
      </c>
      <c r="P36" s="340" t="str">
        <f>IF($C36="","",VLOOKUP($C36,AMABat!$A$10:$BV$140,AJ$1,FALSE))</f>
        <v/>
      </c>
      <c r="Q36" s="108" t="str">
        <f t="shared" si="96"/>
        <v/>
      </c>
      <c r="R36" s="94" t="str">
        <f t="shared" si="97"/>
        <v/>
      </c>
      <c r="S36" s="305"/>
      <c r="T36" s="345" t="s">
        <v>78</v>
      </c>
      <c r="U36" s="345">
        <v>8</v>
      </c>
      <c r="V36" s="340">
        <v>10</v>
      </c>
      <c r="W36" s="339" t="str">
        <f t="shared" si="101"/>
        <v/>
      </c>
      <c r="X36" s="340" t="str">
        <f t="shared" si="102"/>
        <v/>
      </c>
      <c r="Y36" s="305"/>
      <c r="Z36" s="305" t="s">
        <v>344</v>
      </c>
      <c r="AA36" s="305">
        <v>7</v>
      </c>
      <c r="AB36" s="305"/>
      <c r="AC36" s="305"/>
      <c r="AD36" s="305"/>
      <c r="AE36" s="305"/>
      <c r="AF36" s="305"/>
      <c r="AG36" s="70">
        <v>7</v>
      </c>
      <c r="AH36" s="411" t="s">
        <v>365</v>
      </c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7"/>
      <c r="AU36" s="305" t="s">
        <v>367</v>
      </c>
      <c r="AV36" s="305"/>
      <c r="AW36" s="305"/>
      <c r="AX36" s="305"/>
      <c r="AY36" s="305"/>
      <c r="AZ36" s="305"/>
    </row>
    <row r="37" spans="1:52" x14ac:dyDescent="0.25">
      <c r="A37" s="305"/>
      <c r="B37" s="29">
        <v>8</v>
      </c>
      <c r="C37" s="51"/>
      <c r="D37" s="58"/>
      <c r="E37" s="31" t="str">
        <f t="shared" si="98"/>
        <v/>
      </c>
      <c r="F37" s="339" t="str">
        <f t="shared" si="95"/>
        <v/>
      </c>
      <c r="G37" s="339" t="str">
        <f t="shared" si="99"/>
        <v/>
      </c>
      <c r="H37" s="8" t="str">
        <f t="shared" si="100"/>
        <v/>
      </c>
      <c r="I37" s="82">
        <v>8</v>
      </c>
      <c r="J37" s="345" t="str">
        <f>IF($C37="","",VLOOKUP($C37,AMABat!$A$10:$BV$140,AD$1,FALSE))</f>
        <v/>
      </c>
      <c r="K37" s="339" t="str">
        <f>IF($C37="","",VLOOKUP($C37,AMABat!$A$10:$BV$140,AE$1,FALSE))</f>
        <v/>
      </c>
      <c r="L37" s="339" t="str">
        <f>IF($C37="","",VLOOKUP($C37,AMABat!$A$10:$BV$140,AF$1,FALSE))</f>
        <v/>
      </c>
      <c r="M37" s="339" t="str">
        <f>IF($C37="","",VLOOKUP($C37,AMABat!$A$10:$BV$140,AG$1,FALSE))</f>
        <v/>
      </c>
      <c r="N37" s="339" t="str">
        <f>IF($C37="","",VLOOKUP($C37,AMABat!$A$10:$BV$140,AH$1,FALSE))</f>
        <v/>
      </c>
      <c r="O37" s="345" t="str">
        <f>IF($C37="","",VLOOKUP($C37,AMABat!$A$10:$BV$140,AI$1,FALSE))</f>
        <v/>
      </c>
      <c r="P37" s="340" t="str">
        <f>IF($C37="","",VLOOKUP($C37,AMABat!$A$10:$BV$140,AJ$1,FALSE))</f>
        <v/>
      </c>
      <c r="Q37" s="108" t="str">
        <f t="shared" si="96"/>
        <v/>
      </c>
      <c r="R37" s="94" t="str">
        <f t="shared" si="97"/>
        <v/>
      </c>
      <c r="S37" s="305"/>
      <c r="T37" s="47" t="s">
        <v>79</v>
      </c>
      <c r="U37" s="47">
        <v>9</v>
      </c>
      <c r="V37" s="338">
        <v>10</v>
      </c>
      <c r="W37" s="337" t="e">
        <f t="shared" si="101"/>
        <v>#N/A</v>
      </c>
      <c r="X37" s="338" t="e">
        <f t="shared" si="102"/>
        <v>#N/A</v>
      </c>
      <c r="Y37" s="305"/>
      <c r="Z37" s="305" t="s">
        <v>345</v>
      </c>
      <c r="AA37" s="305">
        <v>8</v>
      </c>
      <c r="AB37" s="305"/>
      <c r="AC37" s="305"/>
      <c r="AD37" s="305"/>
      <c r="AE37" s="305"/>
      <c r="AF37" s="305"/>
      <c r="AG37" s="70">
        <v>8</v>
      </c>
      <c r="AH37" s="412" t="s">
        <v>374</v>
      </c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305" t="s">
        <v>375</v>
      </c>
      <c r="AV37" s="305"/>
      <c r="AW37" s="305"/>
      <c r="AX37" s="305"/>
      <c r="AY37" s="305"/>
      <c r="AZ37" s="305"/>
    </row>
    <row r="38" spans="1:52" x14ac:dyDescent="0.25">
      <c r="A38" s="305"/>
      <c r="B38" s="32">
        <v>9</v>
      </c>
      <c r="C38" s="52"/>
      <c r="D38" s="33"/>
      <c r="E38" s="35" t="str">
        <f t="shared" si="98"/>
        <v/>
      </c>
      <c r="F38" s="337" t="str">
        <f t="shared" si="95"/>
        <v/>
      </c>
      <c r="G38" s="337" t="str">
        <f t="shared" si="99"/>
        <v/>
      </c>
      <c r="H38" s="62" t="str">
        <f t="shared" si="100"/>
        <v/>
      </c>
      <c r="I38" s="83">
        <v>9</v>
      </c>
      <c r="J38" s="47" t="str">
        <f>IF($C38="","",VLOOKUP($C38,AMABat!$A$10:$BV$140,AD$1,FALSE))</f>
        <v/>
      </c>
      <c r="K38" s="337" t="str">
        <f>IF($C38="","",VLOOKUP($C38,AMABat!$A$10:$BV$140,AE$1,FALSE))</f>
        <v/>
      </c>
      <c r="L38" s="337" t="str">
        <f>IF($C38="","",VLOOKUP($C38,AMABat!$A$10:$BV$140,AF$1,FALSE))</f>
        <v/>
      </c>
      <c r="M38" s="337" t="str">
        <f>IF($C38="","",VLOOKUP($C38,AMABat!$A$10:$BV$140,AG$1,FALSE))</f>
        <v/>
      </c>
      <c r="N38" s="337" t="str">
        <f>IF($C38="","",VLOOKUP($C38,AMABat!$A$10:$BV$140,AH$1,FALSE))</f>
        <v/>
      </c>
      <c r="O38" s="47" t="str">
        <f>IF($C38="","",VLOOKUP($C38,AMABat!$A$10:$BV$140,AI$1,FALSE))</f>
        <v/>
      </c>
      <c r="P38" s="338" t="str">
        <f>IF($C38="","",VLOOKUP($C38,AMABat!$A$10:$BV$140,AJ$1,FALSE))</f>
        <v/>
      </c>
      <c r="Q38" s="109" t="str">
        <f t="shared" si="96"/>
        <v/>
      </c>
      <c r="R38" s="95" t="str">
        <f t="shared" si="97"/>
        <v/>
      </c>
      <c r="S38" s="305"/>
      <c r="T38" s="305"/>
      <c r="U38" s="305"/>
      <c r="V38" s="305"/>
      <c r="W38" s="305"/>
      <c r="X38" s="305"/>
      <c r="Y38" s="305"/>
      <c r="Z38" s="305" t="s">
        <v>342</v>
      </c>
      <c r="AA38" s="305">
        <v>9</v>
      </c>
      <c r="AB38" s="305"/>
      <c r="AC38" s="305"/>
      <c r="AD38" s="305"/>
      <c r="AE38" s="305"/>
      <c r="AF38" s="305"/>
      <c r="AG38" s="70">
        <v>9</v>
      </c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7"/>
      <c r="AU38" s="305"/>
      <c r="AV38" s="305"/>
      <c r="AW38" s="305"/>
      <c r="AX38" s="305"/>
      <c r="AY38" s="305"/>
      <c r="AZ38" s="305"/>
    </row>
    <row r="39" spans="1:52" x14ac:dyDescent="0.25">
      <c r="A39" s="305"/>
      <c r="B39" s="4"/>
      <c r="C39" s="30"/>
      <c r="D39" s="30"/>
      <c r="E39" s="30"/>
      <c r="F39" s="339"/>
      <c r="G39" s="339"/>
      <c r="H39" s="9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71">
        <v>10</v>
      </c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9"/>
      <c r="AU39" s="305"/>
      <c r="AV39" s="305"/>
      <c r="AW39" s="305"/>
      <c r="AX39" s="305"/>
      <c r="AY39" s="305"/>
      <c r="AZ39" s="305"/>
    </row>
    <row r="40" spans="1:52" x14ac:dyDescent="0.25">
      <c r="A40" s="1"/>
      <c r="B40" s="341" t="s">
        <v>348</v>
      </c>
      <c r="C40" s="37" t="s">
        <v>96</v>
      </c>
      <c r="D40" s="37" t="s">
        <v>97</v>
      </c>
      <c r="E40" s="43" t="s">
        <v>80</v>
      </c>
      <c r="F40" s="342" t="s">
        <v>133</v>
      </c>
      <c r="G40" s="342" t="s">
        <v>137</v>
      </c>
      <c r="H40" s="343" t="s">
        <v>135</v>
      </c>
      <c r="I40" s="81" t="s">
        <v>159</v>
      </c>
      <c r="J40" s="341" t="s">
        <v>71</v>
      </c>
      <c r="K40" s="342" t="s">
        <v>123</v>
      </c>
      <c r="L40" s="342" t="s">
        <v>124</v>
      </c>
      <c r="M40" s="342" t="s">
        <v>180</v>
      </c>
      <c r="N40" s="342" t="s">
        <v>72</v>
      </c>
      <c r="O40" s="341" t="s">
        <v>181</v>
      </c>
      <c r="P40" s="343" t="s">
        <v>182</v>
      </c>
      <c r="Q40" s="341" t="s">
        <v>190</v>
      </c>
      <c r="R40" s="80" t="s">
        <v>203</v>
      </c>
      <c r="S40" s="1"/>
      <c r="T40" s="341" t="s">
        <v>97</v>
      </c>
      <c r="U40" s="341" t="s">
        <v>191</v>
      </c>
      <c r="V40" s="343" t="s">
        <v>204</v>
      </c>
      <c r="W40" s="342" t="s">
        <v>190</v>
      </c>
      <c r="X40" s="343" t="s">
        <v>203</v>
      </c>
      <c r="Y40" s="1"/>
      <c r="Z40" s="1" t="s">
        <v>336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5">
      <c r="A41" s="305"/>
      <c r="B41" s="29">
        <v>1</v>
      </c>
      <c r="C41" s="50"/>
      <c r="D41" s="26" t="s">
        <v>79</v>
      </c>
      <c r="E41" s="31" t="str">
        <f t="shared" ref="E41" si="103">IF($C41="","",VLOOKUP($C41,$C$3:$AK$24,$E$1-2,FALSE))</f>
        <v/>
      </c>
      <c r="F41" s="339" t="str">
        <f t="shared" ref="F41:F49" si="104">IF($C41="","",VLOOKUP($C41,$C$3:$AK$24,18+$B41,FALSE))</f>
        <v/>
      </c>
      <c r="G41" s="339" t="str">
        <f>IF($C41="","",IF(VLOOKUP($C41,$C$3:$AK$24,18+3,FALSE)=1,3,IF(VLOOKUP($C41,$C$3:$AK$24,18+4,FALSE)=1,4,IF(VLOOKUP($C41,$C$3:$AK$24,18+1,FALSE)=1,1,IF(VLOOKUP($C41,$C$3:$AK$24,18+5,FALSE)=1,5,IF(VLOOKUP($C41,$C$3:$AK$24,18+2,FALSE)=1,2,IF(VLOOKUP($C41,$C$3:$AK$24,18+6,FALSE)=1,6,IF(VLOOKUP($C41,$C$3:$AK$24,18+7,FALSE)=1,7,IF(VLOOKUP($C41,$C$3:$AK$24,18+8,FALSE)=1,8,9)))))))))</f>
        <v/>
      </c>
      <c r="H41" s="8" t="str">
        <f>IF($C41="","",VLOOKUP($C41,$C$3:$AK$24,35,FALSE))</f>
        <v/>
      </c>
      <c r="I41" s="82">
        <v>3</v>
      </c>
      <c r="J41" s="345" t="str">
        <f>IF($C41="","",VLOOKUP($C41,$C$3:$AZ$24,17+AD$1,FALSE))</f>
        <v/>
      </c>
      <c r="K41" s="339" t="str">
        <f t="shared" ref="K41:N49" si="105">IF($C41="","",VLOOKUP($C41,$C$3:$AZ$24,17+AE$1,FALSE))</f>
        <v/>
      </c>
      <c r="L41" s="339" t="str">
        <f t="shared" si="105"/>
        <v/>
      </c>
      <c r="M41" s="339" t="str">
        <f t="shared" si="105"/>
        <v/>
      </c>
      <c r="N41" s="339" t="str">
        <f t="shared" si="105"/>
        <v/>
      </c>
      <c r="O41" s="345" t="str">
        <f t="shared" ref="O41:P49" si="106">IF($C41="","",VLOOKUP($C41,$C$3:$AZ$24,1+AI$1,FALSE))</f>
        <v/>
      </c>
      <c r="P41" s="340" t="str">
        <f t="shared" si="106"/>
        <v/>
      </c>
      <c r="Q41" s="107" t="str">
        <f t="shared" ref="Q41:Q49" si="107">IF($C41="","",IF($D41="DH","-",VLOOKUP($C41,$C$2:$AZ$24,9+VLOOKUP($D41,$T$26:$U$34,2,FALSE),FALSE)))</f>
        <v/>
      </c>
      <c r="R41" s="94" t="str">
        <f t="shared" ref="R41:R49" si="108">IF($C41="","",IF($D41="DH","-",VLOOKUP($C41,$C$2:$AZ$24,VLOOKUP($D41,$T$26:$V$34,3,FALSE),FALSE)))</f>
        <v/>
      </c>
      <c r="S41" s="305"/>
      <c r="T41" s="345" t="s">
        <v>71</v>
      </c>
      <c r="U41" s="345">
        <v>2</v>
      </c>
      <c r="V41" s="340">
        <v>8</v>
      </c>
      <c r="W41" s="339" t="str">
        <f>VLOOKUP($T41,$D$37:$R$46,14,FALSE)</f>
        <v/>
      </c>
      <c r="X41" s="340" t="str">
        <f>VLOOKUP($T41,$D$37:$R$46,15,FALSE)</f>
        <v/>
      </c>
      <c r="Y41" s="305"/>
      <c r="Z41" s="305" t="s">
        <v>337</v>
      </c>
      <c r="AA41" s="305">
        <v>1</v>
      </c>
      <c r="AB41" s="305"/>
      <c r="AC41" s="305"/>
      <c r="AD41" s="305"/>
      <c r="AE41" s="305"/>
      <c r="AF41" s="305"/>
      <c r="AG41" s="400" t="s">
        <v>384</v>
      </c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2"/>
      <c r="AU41" s="305"/>
      <c r="AV41" s="305"/>
      <c r="AW41" s="305"/>
      <c r="AX41" s="305"/>
      <c r="AY41" s="305"/>
      <c r="AZ41" s="305"/>
    </row>
    <row r="42" spans="1:52" x14ac:dyDescent="0.25">
      <c r="A42" s="305"/>
      <c r="B42" s="29">
        <v>2</v>
      </c>
      <c r="C42" s="51"/>
      <c r="D42" s="30" t="s">
        <v>78</v>
      </c>
      <c r="E42" s="31" t="str">
        <f>IF($C42="","",VLOOKUP($C42,$C$3:$AK$24,$E$1-2,FALSE))</f>
        <v/>
      </c>
      <c r="F42" s="339" t="str">
        <f t="shared" si="104"/>
        <v/>
      </c>
      <c r="G42" s="339" t="str">
        <f t="shared" ref="G42:G49" si="109">IF($C42="","",IF(VLOOKUP($C42,$C$3:$AK$24,18+3,FALSE)=1,3,IF(VLOOKUP($C42,$C$3:$AK$24,18+4,FALSE)=1,4,IF(VLOOKUP($C42,$C$3:$AK$24,18+1,FALSE)=1,1,IF(VLOOKUP($C42,$C$3:$AK$24,18+5,FALSE)=1,5,IF(VLOOKUP($C42,$C$3:$AK$24,18+2,FALSE)=1,2,IF(VLOOKUP($C42,$C$3:$AK$24,18+6,FALSE)=1,6,IF(VLOOKUP($C42,$C$3:$AK$24,18+7,FALSE)=1,7,IF(VLOOKUP($C42,$C$3:$AK$24,18+8,FALSE)=1,8,9)))))))))</f>
        <v/>
      </c>
      <c r="H42" s="8" t="str">
        <f t="shared" ref="H42:H49" si="110">IF($C42="","",VLOOKUP($C42,$C$3:$AK$24,35,FALSE))</f>
        <v/>
      </c>
      <c r="I42" s="82">
        <v>5</v>
      </c>
      <c r="J42" s="345" t="str">
        <f t="shared" ref="J42:J49" si="111">IF($C42="","",VLOOKUP($C42,$C$3:$AZ$24,17+AD$1,FALSE))</f>
        <v/>
      </c>
      <c r="K42" s="339" t="str">
        <f t="shared" si="105"/>
        <v/>
      </c>
      <c r="L42" s="339" t="str">
        <f t="shared" si="105"/>
        <v/>
      </c>
      <c r="M42" s="339" t="str">
        <f t="shared" si="105"/>
        <v/>
      </c>
      <c r="N42" s="339" t="str">
        <f t="shared" si="105"/>
        <v/>
      </c>
      <c r="O42" s="345" t="str">
        <f t="shared" si="106"/>
        <v/>
      </c>
      <c r="P42" s="340" t="str">
        <f t="shared" si="106"/>
        <v/>
      </c>
      <c r="Q42" s="108" t="str">
        <f t="shared" si="107"/>
        <v/>
      </c>
      <c r="R42" s="94" t="str">
        <f t="shared" si="108"/>
        <v/>
      </c>
      <c r="S42" s="305"/>
      <c r="T42" s="345" t="s">
        <v>73</v>
      </c>
      <c r="U42" s="345">
        <v>3</v>
      </c>
      <c r="V42" s="340">
        <v>9</v>
      </c>
      <c r="W42" s="339" t="str">
        <f t="shared" ref="W42:W48" si="112">VLOOKUP($T42,$D$37:$R$46,14,FALSE)</f>
        <v/>
      </c>
      <c r="X42" s="340" t="str">
        <f t="shared" ref="X42:X48" si="113">VLOOKUP($T42,$D$37:$R$46,15,FALSE)</f>
        <v/>
      </c>
      <c r="Y42" s="305"/>
      <c r="Z42" s="305" t="s">
        <v>338</v>
      </c>
      <c r="AA42" s="305">
        <v>3</v>
      </c>
      <c r="AB42" s="305"/>
      <c r="AC42" s="305"/>
      <c r="AD42" s="305"/>
      <c r="AE42" s="305"/>
      <c r="AF42" s="305"/>
      <c r="AG42" s="192">
        <v>1</v>
      </c>
      <c r="AH42" s="396" t="s">
        <v>368</v>
      </c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4"/>
      <c r="AU42" s="305"/>
      <c r="AV42" s="305"/>
      <c r="AW42" s="305"/>
      <c r="AX42" s="305"/>
      <c r="AY42" s="305"/>
      <c r="AZ42" s="305"/>
    </row>
    <row r="43" spans="1:52" x14ac:dyDescent="0.25">
      <c r="A43" s="305"/>
      <c r="B43" s="29">
        <v>3</v>
      </c>
      <c r="C43" s="51"/>
      <c r="D43" s="58" t="s">
        <v>73</v>
      </c>
      <c r="E43" s="31" t="str">
        <f t="shared" ref="E43:E49" si="114">IF($C43="","",VLOOKUP($C43,$C$3:$AK$24,$E$1-2,FALSE))</f>
        <v/>
      </c>
      <c r="F43" s="339" t="str">
        <f t="shared" si="104"/>
        <v/>
      </c>
      <c r="G43" s="339" t="str">
        <f t="shared" si="109"/>
        <v/>
      </c>
      <c r="H43" s="8" t="str">
        <f t="shared" si="110"/>
        <v/>
      </c>
      <c r="I43" s="82">
        <v>1</v>
      </c>
      <c r="J43" s="345" t="str">
        <f t="shared" si="111"/>
        <v/>
      </c>
      <c r="K43" s="339" t="str">
        <f t="shared" si="105"/>
        <v/>
      </c>
      <c r="L43" s="339" t="str">
        <f t="shared" si="105"/>
        <v/>
      </c>
      <c r="M43" s="339" t="str">
        <f t="shared" si="105"/>
        <v/>
      </c>
      <c r="N43" s="339" t="str">
        <f t="shared" si="105"/>
        <v/>
      </c>
      <c r="O43" s="345" t="str">
        <f t="shared" si="106"/>
        <v/>
      </c>
      <c r="P43" s="340" t="str">
        <f t="shared" si="106"/>
        <v/>
      </c>
      <c r="Q43" s="108" t="str">
        <f t="shared" si="107"/>
        <v/>
      </c>
      <c r="R43" s="94" t="str">
        <f t="shared" si="108"/>
        <v/>
      </c>
      <c r="S43" s="305"/>
      <c r="T43" s="345" t="s">
        <v>74</v>
      </c>
      <c r="U43" s="345">
        <v>4</v>
      </c>
      <c r="V43" s="340">
        <v>9</v>
      </c>
      <c r="W43" s="339" t="e">
        <f t="shared" si="112"/>
        <v>#N/A</v>
      </c>
      <c r="X43" s="340" t="e">
        <f t="shared" si="113"/>
        <v>#N/A</v>
      </c>
      <c r="Y43" s="305"/>
      <c r="Z43" s="305" t="s">
        <v>341</v>
      </c>
      <c r="AA43" s="305">
        <v>5</v>
      </c>
      <c r="AB43" s="305"/>
      <c r="AC43" s="305"/>
      <c r="AD43" s="305"/>
      <c r="AE43" s="305"/>
      <c r="AF43" s="305"/>
      <c r="AG43" s="70">
        <v>2</v>
      </c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4"/>
      <c r="AU43" s="305"/>
      <c r="AV43" s="305"/>
      <c r="AW43" s="305"/>
      <c r="AX43" s="305"/>
      <c r="AY43" s="305"/>
      <c r="AZ43" s="305"/>
    </row>
    <row r="44" spans="1:52" x14ac:dyDescent="0.25">
      <c r="A44" s="305"/>
      <c r="B44" s="29">
        <v>4</v>
      </c>
      <c r="C44" s="51"/>
      <c r="D44" s="58" t="s">
        <v>76</v>
      </c>
      <c r="E44" s="31" t="str">
        <f t="shared" si="114"/>
        <v/>
      </c>
      <c r="F44" s="339" t="str">
        <f t="shared" si="104"/>
        <v/>
      </c>
      <c r="G44" s="339" t="str">
        <f t="shared" si="109"/>
        <v/>
      </c>
      <c r="H44" s="8" t="str">
        <f t="shared" si="110"/>
        <v/>
      </c>
      <c r="I44" s="82">
        <v>2</v>
      </c>
      <c r="J44" s="345" t="str">
        <f t="shared" si="111"/>
        <v/>
      </c>
      <c r="K44" s="339" t="str">
        <f t="shared" si="105"/>
        <v/>
      </c>
      <c r="L44" s="339" t="str">
        <f t="shared" si="105"/>
        <v/>
      </c>
      <c r="M44" s="339" t="str">
        <f t="shared" si="105"/>
        <v/>
      </c>
      <c r="N44" s="339" t="str">
        <f t="shared" si="105"/>
        <v/>
      </c>
      <c r="O44" s="345" t="str">
        <f t="shared" si="106"/>
        <v/>
      </c>
      <c r="P44" s="340" t="str">
        <f t="shared" si="106"/>
        <v/>
      </c>
      <c r="Q44" s="108" t="str">
        <f t="shared" si="107"/>
        <v/>
      </c>
      <c r="R44" s="94" t="str">
        <f t="shared" si="108"/>
        <v/>
      </c>
      <c r="S44" s="305"/>
      <c r="T44" s="345" t="s">
        <v>75</v>
      </c>
      <c r="U44" s="345">
        <v>5</v>
      </c>
      <c r="V44" s="340">
        <v>9</v>
      </c>
      <c r="W44" s="339" t="e">
        <f t="shared" si="112"/>
        <v>#N/A</v>
      </c>
      <c r="X44" s="340" t="e">
        <f t="shared" si="113"/>
        <v>#N/A</v>
      </c>
      <c r="Y44" s="305"/>
      <c r="Z44" s="305" t="s">
        <v>340</v>
      </c>
      <c r="AA44" s="305">
        <v>2</v>
      </c>
      <c r="AB44" s="305"/>
      <c r="AC44" s="305"/>
      <c r="AD44" s="305"/>
      <c r="AE44" s="305"/>
      <c r="AF44" s="305"/>
      <c r="AG44" s="70">
        <v>3</v>
      </c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4"/>
      <c r="AU44" s="305"/>
      <c r="AV44" s="305"/>
      <c r="AW44" s="305"/>
      <c r="AX44" s="305"/>
      <c r="AY44" s="305"/>
      <c r="AZ44" s="305"/>
    </row>
    <row r="45" spans="1:52" x14ac:dyDescent="0.25">
      <c r="A45" s="305"/>
      <c r="B45" s="29">
        <v>5</v>
      </c>
      <c r="C45" s="51"/>
      <c r="D45" s="58" t="s">
        <v>71</v>
      </c>
      <c r="E45" s="31" t="str">
        <f t="shared" si="114"/>
        <v/>
      </c>
      <c r="F45" s="339" t="str">
        <f t="shared" si="104"/>
        <v/>
      </c>
      <c r="G45" s="339" t="str">
        <f t="shared" si="109"/>
        <v/>
      </c>
      <c r="H45" s="8" t="str">
        <f t="shared" si="110"/>
        <v/>
      </c>
      <c r="I45" s="82">
        <v>4</v>
      </c>
      <c r="J45" s="345" t="str">
        <f t="shared" si="111"/>
        <v/>
      </c>
      <c r="K45" s="339" t="str">
        <f t="shared" si="105"/>
        <v/>
      </c>
      <c r="L45" s="339" t="str">
        <f t="shared" si="105"/>
        <v/>
      </c>
      <c r="M45" s="339" t="str">
        <f t="shared" si="105"/>
        <v/>
      </c>
      <c r="N45" s="339" t="str">
        <f t="shared" si="105"/>
        <v/>
      </c>
      <c r="O45" s="345" t="str">
        <f t="shared" si="106"/>
        <v/>
      </c>
      <c r="P45" s="340" t="str">
        <f t="shared" si="106"/>
        <v/>
      </c>
      <c r="Q45" s="108" t="str">
        <f t="shared" si="107"/>
        <v/>
      </c>
      <c r="R45" s="94" t="str">
        <f t="shared" si="108"/>
        <v/>
      </c>
      <c r="S45" s="305"/>
      <c r="T45" s="345" t="s">
        <v>76</v>
      </c>
      <c r="U45" s="345">
        <v>6</v>
      </c>
      <c r="V45" s="340">
        <v>9</v>
      </c>
      <c r="W45" s="339" t="str">
        <f t="shared" si="112"/>
        <v/>
      </c>
      <c r="X45" s="340" t="str">
        <f t="shared" si="113"/>
        <v/>
      </c>
      <c r="Y45" s="305"/>
      <c r="Z45" s="305" t="s">
        <v>339</v>
      </c>
      <c r="AA45" s="305">
        <v>4</v>
      </c>
      <c r="AB45" s="305"/>
      <c r="AC45" s="305"/>
      <c r="AD45" s="305"/>
      <c r="AE45" s="305"/>
      <c r="AF45" s="305"/>
      <c r="AG45" s="70">
        <v>4</v>
      </c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4"/>
      <c r="AU45" s="305"/>
      <c r="AV45" s="305"/>
      <c r="AW45" s="305"/>
      <c r="AX45" s="305"/>
      <c r="AY45" s="305"/>
      <c r="AZ45" s="305"/>
    </row>
    <row r="46" spans="1:52" x14ac:dyDescent="0.25">
      <c r="A46" s="305"/>
      <c r="B46" s="29">
        <v>6</v>
      </c>
      <c r="C46" s="51"/>
      <c r="D46" s="58" t="s">
        <v>77</v>
      </c>
      <c r="E46" s="31" t="str">
        <f t="shared" si="114"/>
        <v/>
      </c>
      <c r="F46" s="339" t="str">
        <f t="shared" si="104"/>
        <v/>
      </c>
      <c r="G46" s="339" t="str">
        <f t="shared" si="109"/>
        <v/>
      </c>
      <c r="H46" s="8" t="str">
        <f t="shared" si="110"/>
        <v/>
      </c>
      <c r="I46" s="82">
        <v>6</v>
      </c>
      <c r="J46" s="345" t="str">
        <f t="shared" si="111"/>
        <v/>
      </c>
      <c r="K46" s="339" t="str">
        <f t="shared" si="105"/>
        <v/>
      </c>
      <c r="L46" s="339" t="str">
        <f t="shared" si="105"/>
        <v/>
      </c>
      <c r="M46" s="339" t="str">
        <f t="shared" si="105"/>
        <v/>
      </c>
      <c r="N46" s="339" t="str">
        <f t="shared" si="105"/>
        <v/>
      </c>
      <c r="O46" s="345" t="str">
        <f t="shared" si="106"/>
        <v/>
      </c>
      <c r="P46" s="340" t="str">
        <f t="shared" si="106"/>
        <v/>
      </c>
      <c r="Q46" s="108" t="str">
        <f t="shared" si="107"/>
        <v/>
      </c>
      <c r="R46" s="94" t="str">
        <f t="shared" si="108"/>
        <v/>
      </c>
      <c r="S46" s="305"/>
      <c r="T46" s="345" t="s">
        <v>77</v>
      </c>
      <c r="U46" s="345">
        <v>7</v>
      </c>
      <c r="V46" s="340">
        <v>10</v>
      </c>
      <c r="W46" s="339" t="str">
        <f t="shared" si="112"/>
        <v/>
      </c>
      <c r="X46" s="340" t="str">
        <f t="shared" si="113"/>
        <v/>
      </c>
      <c r="Y46" s="305"/>
      <c r="Z46" s="305" t="s">
        <v>343</v>
      </c>
      <c r="AA46" s="305">
        <v>6</v>
      </c>
      <c r="AB46" s="305"/>
      <c r="AC46" s="305"/>
      <c r="AD46" s="305"/>
      <c r="AE46" s="305"/>
      <c r="AF46" s="305"/>
      <c r="AG46" s="70">
        <v>5</v>
      </c>
      <c r="AH46" s="403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5"/>
      <c r="AU46" s="305"/>
      <c r="AV46" s="305"/>
      <c r="AW46" s="305"/>
      <c r="AX46" s="305"/>
      <c r="AY46" s="305"/>
      <c r="AZ46" s="305"/>
    </row>
    <row r="47" spans="1:52" x14ac:dyDescent="0.25">
      <c r="A47" s="305"/>
      <c r="B47" s="29">
        <v>7</v>
      </c>
      <c r="C47" s="51"/>
      <c r="D47" s="58" t="s">
        <v>10</v>
      </c>
      <c r="E47" s="31" t="str">
        <f t="shared" si="114"/>
        <v/>
      </c>
      <c r="F47" s="339" t="str">
        <f t="shared" si="104"/>
        <v/>
      </c>
      <c r="G47" s="339" t="str">
        <f t="shared" si="109"/>
        <v/>
      </c>
      <c r="H47" s="8" t="str">
        <f t="shared" si="110"/>
        <v/>
      </c>
      <c r="I47" s="82">
        <v>7</v>
      </c>
      <c r="J47" s="345" t="str">
        <f t="shared" si="111"/>
        <v/>
      </c>
      <c r="K47" s="339" t="str">
        <f t="shared" si="105"/>
        <v/>
      </c>
      <c r="L47" s="339" t="str">
        <f t="shared" si="105"/>
        <v/>
      </c>
      <c r="M47" s="339" t="str">
        <f t="shared" si="105"/>
        <v/>
      </c>
      <c r="N47" s="339" t="str">
        <f t="shared" si="105"/>
        <v/>
      </c>
      <c r="O47" s="345" t="str">
        <f t="shared" si="106"/>
        <v/>
      </c>
      <c r="P47" s="340" t="str">
        <f t="shared" si="106"/>
        <v/>
      </c>
      <c r="Q47" s="108" t="str">
        <f t="shared" si="107"/>
        <v/>
      </c>
      <c r="R47" s="94" t="str">
        <f t="shared" si="108"/>
        <v/>
      </c>
      <c r="S47" s="305"/>
      <c r="T47" s="345" t="s">
        <v>78</v>
      </c>
      <c r="U47" s="345">
        <v>8</v>
      </c>
      <c r="V47" s="340">
        <v>10</v>
      </c>
      <c r="W47" s="339" t="str">
        <f t="shared" si="112"/>
        <v/>
      </c>
      <c r="X47" s="340" t="str">
        <f t="shared" si="113"/>
        <v/>
      </c>
      <c r="Y47" s="305"/>
      <c r="Z47" s="305" t="s">
        <v>344</v>
      </c>
      <c r="AA47" s="305">
        <v>7</v>
      </c>
      <c r="AB47" s="305"/>
      <c r="AC47" s="305"/>
      <c r="AD47" s="305"/>
      <c r="AE47" s="305"/>
      <c r="AF47" s="305"/>
      <c r="AG47" s="70">
        <v>6</v>
      </c>
      <c r="AH47" s="392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4"/>
      <c r="AU47" s="305"/>
      <c r="AV47" s="305"/>
      <c r="AW47" s="305"/>
      <c r="AX47" s="305"/>
      <c r="AY47" s="305"/>
      <c r="AZ47" s="305"/>
    </row>
    <row r="48" spans="1:52" x14ac:dyDescent="0.25">
      <c r="A48" s="305"/>
      <c r="B48" s="29">
        <v>8</v>
      </c>
      <c r="C48" s="51"/>
      <c r="D48" s="58" t="s">
        <v>74</v>
      </c>
      <c r="E48" s="31" t="str">
        <f t="shared" si="114"/>
        <v/>
      </c>
      <c r="F48" s="339" t="str">
        <f t="shared" si="104"/>
        <v/>
      </c>
      <c r="G48" s="339" t="str">
        <f t="shared" si="109"/>
        <v/>
      </c>
      <c r="H48" s="8" t="str">
        <f t="shared" si="110"/>
        <v/>
      </c>
      <c r="I48" s="82">
        <v>8</v>
      </c>
      <c r="J48" s="345" t="str">
        <f t="shared" si="111"/>
        <v/>
      </c>
      <c r="K48" s="339" t="str">
        <f t="shared" si="105"/>
        <v/>
      </c>
      <c r="L48" s="339" t="str">
        <f t="shared" si="105"/>
        <v/>
      </c>
      <c r="M48" s="339" t="str">
        <f t="shared" si="105"/>
        <v/>
      </c>
      <c r="N48" s="339" t="str">
        <f t="shared" si="105"/>
        <v/>
      </c>
      <c r="O48" s="345" t="str">
        <f t="shared" si="106"/>
        <v/>
      </c>
      <c r="P48" s="340" t="str">
        <f t="shared" si="106"/>
        <v/>
      </c>
      <c r="Q48" s="108" t="str">
        <f t="shared" si="107"/>
        <v/>
      </c>
      <c r="R48" s="94" t="str">
        <f t="shared" si="108"/>
        <v/>
      </c>
      <c r="S48" s="305"/>
      <c r="T48" s="47" t="s">
        <v>79</v>
      </c>
      <c r="U48" s="47">
        <v>9</v>
      </c>
      <c r="V48" s="338">
        <v>10</v>
      </c>
      <c r="W48" s="337" t="str">
        <f t="shared" si="112"/>
        <v/>
      </c>
      <c r="X48" s="338" t="str">
        <f t="shared" si="113"/>
        <v/>
      </c>
      <c r="Y48" s="305"/>
      <c r="Z48" s="305" t="s">
        <v>345</v>
      </c>
      <c r="AA48" s="305">
        <v>8</v>
      </c>
      <c r="AB48" s="305"/>
      <c r="AC48" s="305"/>
      <c r="AD48" s="305"/>
      <c r="AE48" s="305"/>
      <c r="AF48" s="305"/>
      <c r="AG48" s="70">
        <v>7</v>
      </c>
      <c r="AH48" s="392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4"/>
      <c r="AU48" s="305"/>
      <c r="AV48" s="305"/>
      <c r="AW48" s="305"/>
      <c r="AX48" s="305"/>
      <c r="AY48" s="305"/>
      <c r="AZ48" s="305"/>
    </row>
    <row r="49" spans="1:52" x14ac:dyDescent="0.25">
      <c r="A49" s="305"/>
      <c r="B49" s="32">
        <v>9</v>
      </c>
      <c r="C49" s="52"/>
      <c r="D49" s="33" t="s">
        <v>75</v>
      </c>
      <c r="E49" s="35" t="str">
        <f t="shared" si="114"/>
        <v/>
      </c>
      <c r="F49" s="337" t="str">
        <f t="shared" si="104"/>
        <v/>
      </c>
      <c r="G49" s="337" t="str">
        <f t="shared" si="109"/>
        <v/>
      </c>
      <c r="H49" s="62" t="str">
        <f t="shared" si="110"/>
        <v/>
      </c>
      <c r="I49" s="83">
        <v>9</v>
      </c>
      <c r="J49" s="47" t="str">
        <f t="shared" si="111"/>
        <v/>
      </c>
      <c r="K49" s="337" t="str">
        <f t="shared" si="105"/>
        <v/>
      </c>
      <c r="L49" s="337" t="str">
        <f t="shared" si="105"/>
        <v/>
      </c>
      <c r="M49" s="337" t="str">
        <f t="shared" si="105"/>
        <v/>
      </c>
      <c r="N49" s="337" t="str">
        <f t="shared" si="105"/>
        <v/>
      </c>
      <c r="O49" s="47" t="str">
        <f t="shared" si="106"/>
        <v/>
      </c>
      <c r="P49" s="338" t="str">
        <f t="shared" si="106"/>
        <v/>
      </c>
      <c r="Q49" s="109" t="str">
        <f t="shared" si="107"/>
        <v/>
      </c>
      <c r="R49" s="95" t="str">
        <f t="shared" si="108"/>
        <v/>
      </c>
      <c r="S49" s="305"/>
      <c r="T49" s="305"/>
      <c r="U49" s="305"/>
      <c r="V49" s="305"/>
      <c r="W49" s="305"/>
      <c r="X49" s="305"/>
      <c r="Y49" s="305"/>
      <c r="Z49" s="305" t="s">
        <v>342</v>
      </c>
      <c r="AA49" s="305">
        <v>9</v>
      </c>
      <c r="AB49" s="305"/>
      <c r="AC49" s="305"/>
      <c r="AD49" s="305"/>
      <c r="AE49" s="305"/>
      <c r="AF49" s="305"/>
      <c r="AG49" s="70">
        <v>8</v>
      </c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05"/>
      <c r="AV49" s="305"/>
      <c r="AW49" s="305"/>
      <c r="AX49" s="305"/>
      <c r="AY49" s="305"/>
      <c r="AZ49" s="305"/>
    </row>
    <row r="50" spans="1:52" s="238" customFormat="1" x14ac:dyDescent="0.25">
      <c r="A50" s="305"/>
      <c r="B50" s="4"/>
      <c r="C50" s="30"/>
      <c r="D50" s="30"/>
      <c r="E50" s="30"/>
      <c r="F50" s="339"/>
      <c r="G50" s="339"/>
      <c r="H50" s="9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70">
        <v>9</v>
      </c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7"/>
      <c r="AU50" s="305"/>
      <c r="AV50" s="305"/>
      <c r="AW50" s="305"/>
      <c r="AX50" s="305"/>
      <c r="AY50" s="305"/>
      <c r="AZ50" s="305"/>
    </row>
    <row r="51" spans="1:52" x14ac:dyDescent="0.25">
      <c r="A51" s="305"/>
      <c r="B51" s="25" t="s">
        <v>171</v>
      </c>
      <c r="C51" s="28">
        <f>COUNTA(C6:C14,C17:C22,C25:C27)</f>
        <v>14</v>
      </c>
      <c r="D51" s="250" t="e">
        <f>C51/$C$50</f>
        <v>#DIV/0!</v>
      </c>
      <c r="E51" s="30"/>
      <c r="F51" s="339"/>
      <c r="G51" s="339"/>
      <c r="H51" s="9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71">
        <v>10</v>
      </c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9"/>
      <c r="AU51" s="305"/>
      <c r="AV51" s="305"/>
      <c r="AW51" s="305"/>
      <c r="AX51" s="305"/>
      <c r="AY51" s="305"/>
      <c r="AZ51" s="305"/>
    </row>
    <row r="52" spans="1:52" x14ac:dyDescent="0.25">
      <c r="A52" s="305"/>
      <c r="B52" s="29" t="s">
        <v>172</v>
      </c>
      <c r="C52" s="31">
        <f>COUNTA(C56:C61,C64:C65,C68:C77)</f>
        <v>13</v>
      </c>
      <c r="D52" s="250" t="e">
        <f>C52/$C$50</f>
        <v>#DIV/0!</v>
      </c>
      <c r="E52" s="30"/>
      <c r="F52" s="339"/>
      <c r="G52" s="339"/>
      <c r="H52" s="9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</row>
    <row r="53" spans="1:52" x14ac:dyDescent="0.25">
      <c r="A53" s="305"/>
      <c r="B53" s="32" t="s">
        <v>173</v>
      </c>
      <c r="C53" s="35">
        <f>C51+C52</f>
        <v>27</v>
      </c>
      <c r="D53" s="30"/>
      <c r="E53" s="30"/>
      <c r="F53" s="339"/>
      <c r="G53" s="339"/>
      <c r="H53" s="9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</row>
    <row r="54" spans="1:52" x14ac:dyDescent="0.25">
      <c r="A54" s="305"/>
      <c r="F54" s="305"/>
      <c r="G54" s="305"/>
      <c r="H54" s="305"/>
      <c r="I54" s="305">
        <v>12</v>
      </c>
      <c r="J54" s="305"/>
      <c r="K54" s="305">
        <v>17</v>
      </c>
      <c r="L54" s="305">
        <v>18</v>
      </c>
      <c r="M54" s="305">
        <v>19</v>
      </c>
      <c r="N54" s="305">
        <v>23</v>
      </c>
      <c r="O54" s="305">
        <v>25</v>
      </c>
      <c r="P54" s="305">
        <v>27</v>
      </c>
      <c r="Q54" s="305">
        <v>29</v>
      </c>
      <c r="R54" s="305">
        <v>31</v>
      </c>
      <c r="S54" s="305">
        <v>33</v>
      </c>
      <c r="T54" s="305">
        <v>35</v>
      </c>
      <c r="U54" s="305">
        <v>37</v>
      </c>
      <c r="V54" s="305">
        <v>39</v>
      </c>
      <c r="W54" s="305">
        <v>41</v>
      </c>
      <c r="X54" s="305">
        <v>43</v>
      </c>
      <c r="Y54" s="305">
        <v>45</v>
      </c>
      <c r="Z54" s="305">
        <v>47</v>
      </c>
      <c r="AA54" s="305">
        <v>48</v>
      </c>
      <c r="AB54" s="305">
        <v>49</v>
      </c>
      <c r="AC54" s="305">
        <v>52</v>
      </c>
      <c r="AD54" s="305">
        <v>20</v>
      </c>
      <c r="AE54" s="305">
        <v>21</v>
      </c>
      <c r="AF54" s="305">
        <v>22</v>
      </c>
      <c r="AG54" s="305">
        <v>54</v>
      </c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</row>
    <row r="55" spans="1:52" ht="74.25" x14ac:dyDescent="0.25">
      <c r="A55" s="66" t="s">
        <v>170</v>
      </c>
      <c r="B55" s="341" t="s">
        <v>104</v>
      </c>
      <c r="C55" s="37" t="s">
        <v>96</v>
      </c>
      <c r="D55" s="37" t="s">
        <v>70</v>
      </c>
      <c r="E55" s="43" t="s">
        <v>81</v>
      </c>
      <c r="F55" s="39" t="s">
        <v>160</v>
      </c>
      <c r="G55" s="39" t="s">
        <v>161</v>
      </c>
      <c r="H55" s="39" t="s">
        <v>162</v>
      </c>
      <c r="I55" s="69" t="s">
        <v>189</v>
      </c>
      <c r="J55" s="69" t="s">
        <v>166</v>
      </c>
      <c r="K55" s="67" t="s">
        <v>163</v>
      </c>
      <c r="L55" s="67" t="s">
        <v>164</v>
      </c>
      <c r="M55" s="68" t="s">
        <v>165</v>
      </c>
      <c r="N55" s="67" t="s">
        <v>40</v>
      </c>
      <c r="O55" s="67" t="s">
        <v>42</v>
      </c>
      <c r="P55" s="67" t="s">
        <v>44</v>
      </c>
      <c r="Q55" s="67" t="s">
        <v>46</v>
      </c>
      <c r="R55" s="67" t="s">
        <v>48</v>
      </c>
      <c r="S55" s="67" t="s">
        <v>87</v>
      </c>
      <c r="T55" s="67" t="s">
        <v>51</v>
      </c>
      <c r="U55" s="67" t="s">
        <v>53</v>
      </c>
      <c r="V55" s="67" t="s">
        <v>55</v>
      </c>
      <c r="W55" s="67" t="s">
        <v>57</v>
      </c>
      <c r="X55" s="67" t="s">
        <v>59</v>
      </c>
      <c r="Y55" s="68" t="s">
        <v>61</v>
      </c>
      <c r="Z55" s="72" t="s">
        <v>176</v>
      </c>
      <c r="AA55" s="67" t="s">
        <v>175</v>
      </c>
      <c r="AB55" s="68" t="s">
        <v>177</v>
      </c>
      <c r="AC55" s="251" t="s">
        <v>354</v>
      </c>
      <c r="AD55" s="67" t="s">
        <v>163</v>
      </c>
      <c r="AE55" s="67" t="s">
        <v>164</v>
      </c>
      <c r="AF55" s="68" t="s">
        <v>165</v>
      </c>
      <c r="AG55" s="251" t="s">
        <v>174</v>
      </c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  <c r="AT55" s="339"/>
      <c r="AU55" s="339"/>
      <c r="AV55" s="339"/>
      <c r="AW55" s="339"/>
      <c r="AX55" s="339"/>
      <c r="AY55" s="339"/>
      <c r="AZ55" s="339"/>
    </row>
    <row r="56" spans="1:52" x14ac:dyDescent="0.25">
      <c r="A56" s="339">
        <v>1</v>
      </c>
      <c r="B56" s="29" t="s">
        <v>87</v>
      </c>
      <c r="C56" s="344" t="s">
        <v>527</v>
      </c>
      <c r="D56" s="30" t="e">
        <f>IF($C56="","",VLOOKUP($C56,AMAPit!$A$10:$BJ$122,D$4-2,FALSE))</f>
        <v>#N/A</v>
      </c>
      <c r="E56" s="31" t="e">
        <f>IF($C56="","",VLOOKUP($C56,AMAPit!$A$10:$BJ$122,E$4-1,FALSE))</f>
        <v>#N/A</v>
      </c>
      <c r="F56" s="339" t="e">
        <f t="shared" ref="F56:F61" si="115">IF($C56="","",IF(AVERAGE(K56:M56)&gt;7,1,0))</f>
        <v>#N/A</v>
      </c>
      <c r="G56" s="339" t="e">
        <f t="shared" ref="G56:G61" si="116">IF($C56="","",IF(AVERAGE(K56:M56)&gt;6.5,1,0))</f>
        <v>#N/A</v>
      </c>
      <c r="H56" s="339" t="e">
        <f t="shared" ref="H56:H61" si="117">IF($C56="","",IF(AVERAGE(K56:M56)&gt;6,1,0))</f>
        <v>#N/A</v>
      </c>
      <c r="I56" s="91" t="e">
        <f>IF($C56="","",VLOOKUP($C56,AMAPit!$A$10:$BJ$122,I$54,FALSE))</f>
        <v>#N/A</v>
      </c>
      <c r="J56" s="70">
        <f t="shared" ref="J56:J61" si="118">IF($C56="","",COUNT(N56:Y56))</f>
        <v>0</v>
      </c>
      <c r="K56" s="339" t="e">
        <f>IF($C56="","",VLOOKUP($C56,AMAPit!$A$10:$BJ$122,K$54,FALSE))</f>
        <v>#N/A</v>
      </c>
      <c r="L56" s="339" t="e">
        <f>IF($C56="","",VLOOKUP($C56,AMAPit!$A$10:$BJ$122,L$54,FALSE))</f>
        <v>#N/A</v>
      </c>
      <c r="M56" s="340" t="e">
        <f>IF($C56="","",VLOOKUP($C56,AMAPit!$A$10:$BJ$122,M$54,FALSE))</f>
        <v>#N/A</v>
      </c>
      <c r="N56" s="339" t="e">
        <f>IF($C56="","",VLOOKUP($C56,AMAPit!$A$10:$BJ$122,N$54,FALSE))</f>
        <v>#N/A</v>
      </c>
      <c r="O56" s="339" t="e">
        <f>IF($C56="","",VLOOKUP($C56,AMAPit!$A$10:$BJ$122,O$54,FALSE))</f>
        <v>#N/A</v>
      </c>
      <c r="P56" s="339" t="e">
        <f>IF($C56="","",VLOOKUP($C56,AMAPit!$A$10:$BJ$122,P$54,FALSE))</f>
        <v>#N/A</v>
      </c>
      <c r="Q56" s="339" t="e">
        <f>IF($C56="","",VLOOKUP($C56,AMAPit!$A$10:$BJ$122,Q$54,FALSE))</f>
        <v>#N/A</v>
      </c>
      <c r="R56" s="339" t="e">
        <f>IF($C56="","",VLOOKUP($C56,AMAPit!$A$10:$BJ$122,R$54,FALSE))</f>
        <v>#N/A</v>
      </c>
      <c r="S56" s="339" t="e">
        <f>IF($C56="","",VLOOKUP($C56,AMAPit!$A$10:$BJ$122,S$54,FALSE))</f>
        <v>#N/A</v>
      </c>
      <c r="T56" s="339" t="e">
        <f>IF($C56="","",VLOOKUP($C56,AMAPit!$A$10:$BJ$122,T$54,FALSE))</f>
        <v>#N/A</v>
      </c>
      <c r="U56" s="339" t="e">
        <f>IF($C56="","",VLOOKUP($C56,AMAPit!$A$10:$BJ$122,U$54,FALSE))</f>
        <v>#N/A</v>
      </c>
      <c r="V56" s="339" t="e">
        <f>IF($C56="","",VLOOKUP($C56,AMAPit!$A$10:$BJ$122,V$54,FALSE))</f>
        <v>#N/A</v>
      </c>
      <c r="W56" s="339" t="e">
        <f>IF($C56="","",VLOOKUP($C56,AMAPit!$A$10:$BJ$122,W$54,FALSE))</f>
        <v>#N/A</v>
      </c>
      <c r="X56" s="339" t="e">
        <f>IF($C56="","",VLOOKUP($C56,AMAPit!$A$10:$BJ$122,X$54,FALSE))</f>
        <v>#N/A</v>
      </c>
      <c r="Y56" s="340" t="e">
        <f>IF($C56="","",VLOOKUP($C56,AMAPit!$A$10:$BJ$122,Y$54,FALSE))</f>
        <v>#N/A</v>
      </c>
      <c r="Z56" s="345" t="e">
        <f>IF($C56="","",VLOOKUP($C56,AMAPit!$A$10:$BJ$122,Z$54,FALSE))</f>
        <v>#N/A</v>
      </c>
      <c r="AA56" s="339" t="e">
        <f>IF($C56="","",VLOOKUP($C56,AMAPit!$A$10:$BJ$122,AA$54,FALSE))</f>
        <v>#N/A</v>
      </c>
      <c r="AB56" s="73" t="e">
        <f>IF($C56="","",VLOOKUP($C56,AMAPit!$A$10:$BJ$122,AB$54,FALSE))</f>
        <v>#N/A</v>
      </c>
      <c r="AC56" s="252" t="e">
        <f>IF($C56="","",VLOOKUP($C56,AMAPit!$A$10:$BJ$122,AC$54,FALSE))</f>
        <v>#N/A</v>
      </c>
      <c r="AD56" s="339" t="e">
        <f>IF($C56="","",VLOOKUP($C56,AMAPit!$A$10:$BJ$122,AD$54,FALSE))</f>
        <v>#N/A</v>
      </c>
      <c r="AE56" s="339" t="e">
        <f>IF($C56="","",VLOOKUP($C56,AMAPit!$A$10:$BJ$122,AE$54,FALSE))</f>
        <v>#N/A</v>
      </c>
      <c r="AF56" s="340" t="e">
        <f>IF($C56="","",VLOOKUP($C56,AMAPit!$A$10:$BJ$122,AF$54,FALSE))</f>
        <v>#N/A</v>
      </c>
      <c r="AG56" s="252" t="e">
        <f>IF($C56="","",VLOOKUP($C56,AMAPit!$A$10:$BJ$122,AG$54,FALSE))</f>
        <v>#N/A</v>
      </c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</row>
    <row r="57" spans="1:52" x14ac:dyDescent="0.25">
      <c r="A57" s="339">
        <v>2</v>
      </c>
      <c r="B57" s="29" t="s">
        <v>87</v>
      </c>
      <c r="C57" s="344" t="s">
        <v>536</v>
      </c>
      <c r="D57" s="30" t="e">
        <f>IF($C57="","",VLOOKUP($C57,AMAPit!$A$10:$BJ$122,D$4-2,FALSE))</f>
        <v>#N/A</v>
      </c>
      <c r="E57" s="31" t="e">
        <f>IF($C57="","",VLOOKUP($C57,AMAPit!$A$10:$BJ$122,E$4-1,FALSE))</f>
        <v>#N/A</v>
      </c>
      <c r="F57" s="339" t="e">
        <f t="shared" si="115"/>
        <v>#N/A</v>
      </c>
      <c r="G57" s="339" t="e">
        <f t="shared" si="116"/>
        <v>#N/A</v>
      </c>
      <c r="H57" s="339" t="e">
        <f t="shared" si="117"/>
        <v>#N/A</v>
      </c>
      <c r="I57" s="92" t="e">
        <f>IF($C57="","",VLOOKUP($C57,AMAPit!$A$10:$BJ$122,I$54,FALSE))</f>
        <v>#N/A</v>
      </c>
      <c r="J57" s="70">
        <f t="shared" si="118"/>
        <v>0</v>
      </c>
      <c r="K57" s="339" t="e">
        <f>IF($C57="","",VLOOKUP($C57,AMAPit!$A$10:$BJ$122,K$54,FALSE))</f>
        <v>#N/A</v>
      </c>
      <c r="L57" s="339" t="e">
        <f>IF($C57="","",VLOOKUP($C57,AMAPit!$A$10:$BJ$122,L$54,FALSE))</f>
        <v>#N/A</v>
      </c>
      <c r="M57" s="340" t="e">
        <f>IF($C57="","",VLOOKUP($C57,AMAPit!$A$10:$BJ$122,M$54,FALSE))</f>
        <v>#N/A</v>
      </c>
      <c r="N57" s="339" t="e">
        <f>IF($C57="","",VLOOKUP($C57,AMAPit!$A$10:$BJ$122,N$54,FALSE))</f>
        <v>#N/A</v>
      </c>
      <c r="O57" s="339" t="e">
        <f>IF($C57="","",VLOOKUP($C57,AMAPit!$A$10:$BJ$122,O$54,FALSE))</f>
        <v>#N/A</v>
      </c>
      <c r="P57" s="339" t="e">
        <f>IF($C57="","",VLOOKUP($C57,AMAPit!$A$10:$BJ$122,P$54,FALSE))</f>
        <v>#N/A</v>
      </c>
      <c r="Q57" s="339" t="e">
        <f>IF($C57="","",VLOOKUP($C57,AMAPit!$A$10:$BJ$122,Q$54,FALSE))</f>
        <v>#N/A</v>
      </c>
      <c r="R57" s="339" t="e">
        <f>IF($C57="","",VLOOKUP($C57,AMAPit!$A$10:$BJ$122,R$54,FALSE))</f>
        <v>#N/A</v>
      </c>
      <c r="S57" s="339" t="e">
        <f>IF($C57="","",VLOOKUP($C57,AMAPit!$A$10:$BJ$122,S$54,FALSE))</f>
        <v>#N/A</v>
      </c>
      <c r="T57" s="339" t="e">
        <f>IF($C57="","",VLOOKUP($C57,AMAPit!$A$10:$BJ$122,T$54,FALSE))</f>
        <v>#N/A</v>
      </c>
      <c r="U57" s="339" t="e">
        <f>IF($C57="","",VLOOKUP($C57,AMAPit!$A$10:$BJ$122,U$54,FALSE))</f>
        <v>#N/A</v>
      </c>
      <c r="V57" s="339" t="e">
        <f>IF($C57="","",VLOOKUP($C57,AMAPit!$A$10:$BJ$122,V$54,FALSE))</f>
        <v>#N/A</v>
      </c>
      <c r="W57" s="339" t="e">
        <f>IF($C57="","",VLOOKUP($C57,AMAPit!$A$10:$BJ$122,W$54,FALSE))</f>
        <v>#N/A</v>
      </c>
      <c r="X57" s="339" t="e">
        <f>IF($C57="","",VLOOKUP($C57,AMAPit!$A$10:$BJ$122,X$54,FALSE))</f>
        <v>#N/A</v>
      </c>
      <c r="Y57" s="340" t="e">
        <f>IF($C57="","",VLOOKUP($C57,AMAPit!$A$10:$BJ$122,Y$54,FALSE))</f>
        <v>#N/A</v>
      </c>
      <c r="Z57" s="345" t="e">
        <f>IF($C57="","",VLOOKUP($C57,AMAPit!$A$10:$BJ$122,Z$54,FALSE))</f>
        <v>#N/A</v>
      </c>
      <c r="AA57" s="339" t="e">
        <f>IF($C57="","",VLOOKUP($C57,AMAPit!$A$10:$BJ$122,AA$54,FALSE))</f>
        <v>#N/A</v>
      </c>
      <c r="AB57" s="73" t="e">
        <f>IF($C57="","",VLOOKUP($C57,AMAPit!$A$10:$BJ$122,AB$54,FALSE))</f>
        <v>#N/A</v>
      </c>
      <c r="AC57" s="60" t="e">
        <f>IF($C57="","",VLOOKUP($C57,AMAPit!$A$10:$BJ$122,AC$54,FALSE))</f>
        <v>#N/A</v>
      </c>
      <c r="AD57" s="339" t="e">
        <f>IF($C57="","",VLOOKUP($C57,AMAPit!$A$10:$BJ$122,AD$54,FALSE))</f>
        <v>#N/A</v>
      </c>
      <c r="AE57" s="339" t="e">
        <f>IF($C57="","",VLOOKUP($C57,AMAPit!$A$10:$BJ$122,AE$54,FALSE))</f>
        <v>#N/A</v>
      </c>
      <c r="AF57" s="340" t="e">
        <f>IF($C57="","",VLOOKUP($C57,AMAPit!$A$10:$BJ$122,AF$54,FALSE))</f>
        <v>#N/A</v>
      </c>
      <c r="AG57" s="60" t="e">
        <f>IF($C57="","",VLOOKUP($C57,AMAPit!$A$10:$BJ$122,AG$54,FALSE))</f>
        <v>#N/A</v>
      </c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</row>
    <row r="58" spans="1:52" x14ac:dyDescent="0.25">
      <c r="A58" s="339">
        <v>3</v>
      </c>
      <c r="B58" s="29" t="s">
        <v>87</v>
      </c>
      <c r="C58" s="344" t="s">
        <v>742</v>
      </c>
      <c r="D58" s="30">
        <f>IF($C58="","",VLOOKUP($C58,AMAPit!$A$10:$BJ$122,D$4-2,FALSE))</f>
        <v>24</v>
      </c>
      <c r="E58" s="31" t="str">
        <f>IF($C58="","",VLOOKUP($C58,AMAPit!$A$10:$BJ$122,E$4-1,FALSE))</f>
        <v>R</v>
      </c>
      <c r="F58" s="339">
        <f t="shared" si="115"/>
        <v>0</v>
      </c>
      <c r="G58" s="339">
        <f t="shared" si="116"/>
        <v>1</v>
      </c>
      <c r="H58" s="339">
        <f t="shared" si="117"/>
        <v>1</v>
      </c>
      <c r="I58" s="92" t="str">
        <f>IF($C58="","",VLOOKUP($C58,AMAPit!$A$10:$BJ$122,I$54,FALSE))</f>
        <v>R</v>
      </c>
      <c r="J58" s="70">
        <f t="shared" si="118"/>
        <v>5</v>
      </c>
      <c r="K58" s="339">
        <f>IF($C58="","",VLOOKUP($C58,AMAPit!$A$10:$BJ$122,K$54,FALSE))</f>
        <v>9</v>
      </c>
      <c r="L58" s="339">
        <f>IF($C58="","",VLOOKUP($C58,AMAPit!$A$10:$BJ$122,L$54,FALSE))</f>
        <v>4</v>
      </c>
      <c r="M58" s="340">
        <f>IF($C58="","",VLOOKUP($C58,AMAPit!$A$10:$BJ$122,M$54,FALSE))</f>
        <v>7</v>
      </c>
      <c r="N58" s="339">
        <f>IF($C58="","",VLOOKUP($C58,AMAPit!$A$10:$BJ$122,N$54,FALSE))</f>
        <v>8</v>
      </c>
      <c r="O58" s="339">
        <f>IF($C58="","",VLOOKUP($C58,AMAPit!$A$10:$BJ$122,O$54,FALSE))</f>
        <v>5</v>
      </c>
      <c r="P58" s="339">
        <f>IF($C58="","",VLOOKUP($C58,AMAPit!$A$10:$BJ$122,P$54,FALSE))</f>
        <v>10</v>
      </c>
      <c r="Q58" s="339">
        <f>IF($C58="","",VLOOKUP($C58,AMAPit!$A$10:$BJ$122,Q$54,FALSE))</f>
        <v>3</v>
      </c>
      <c r="R58" s="339" t="str">
        <f>IF($C58="","",VLOOKUP($C58,AMAPit!$A$10:$BJ$122,R$54,FALSE))</f>
        <v>-</v>
      </c>
      <c r="S58" s="339" t="str">
        <f>IF($C58="","",VLOOKUP($C58,AMAPit!$A$10:$BJ$122,S$54,FALSE))</f>
        <v>-</v>
      </c>
      <c r="T58" s="339">
        <f>IF($C58="","",VLOOKUP($C58,AMAPit!$A$10:$BJ$122,T$54,FALSE))</f>
        <v>8</v>
      </c>
      <c r="U58" s="339" t="str">
        <f>IF($C58="","",VLOOKUP($C58,AMAPit!$A$10:$BJ$122,U$54,FALSE))</f>
        <v>-</v>
      </c>
      <c r="V58" s="339" t="str">
        <f>IF($C58="","",VLOOKUP($C58,AMAPit!$A$10:$BJ$122,V$54,FALSE))</f>
        <v>-</v>
      </c>
      <c r="W58" s="339" t="str">
        <f>IF($C58="","",VLOOKUP($C58,AMAPit!$A$10:$BJ$122,W$54,FALSE))</f>
        <v>-</v>
      </c>
      <c r="X58" s="339" t="str">
        <f>IF($C58="","",VLOOKUP($C58,AMAPit!$A$10:$BJ$122,X$54,FALSE))</f>
        <v>-</v>
      </c>
      <c r="Y58" s="340" t="str">
        <f>IF($C58="","",VLOOKUP($C58,AMAPit!$A$10:$BJ$122,Y$54,FALSE))</f>
        <v>-</v>
      </c>
      <c r="Z58" s="345" t="str">
        <f>IF($C58="","",VLOOKUP($C58,AMAPit!$A$10:$BJ$122,Z$54,FALSE))</f>
        <v>93-95 Mph</v>
      </c>
      <c r="AA58" s="339">
        <f>IF($C58="","",VLOOKUP($C58,AMAPit!$A$10:$BJ$122,AA$54,FALSE))</f>
        <v>6</v>
      </c>
      <c r="AB58" s="73" t="str">
        <f>IF($C58="","",VLOOKUP($C58,AMAPit!$A$10:$BJ$122,AB$54,FALSE))</f>
        <v>NEU</v>
      </c>
      <c r="AC58" s="60" t="str">
        <f>IF($C58="","",VLOOKUP($C58,AMAPit!$A$10:$BJ$122,AC$54,FALSE))</f>
        <v>Average</v>
      </c>
      <c r="AD58" s="339">
        <f>IF($C58="","",VLOOKUP($C58,AMAPit!$A$10:$BJ$122,AD$54,FALSE))</f>
        <v>9</v>
      </c>
      <c r="AE58" s="339">
        <f>IF($C58="","",VLOOKUP($C58,AMAPit!$A$10:$BJ$122,AE$54,FALSE))</f>
        <v>4</v>
      </c>
      <c r="AF58" s="340">
        <f>IF($C58="","",VLOOKUP($C58,AMAPit!$A$10:$BJ$122,AF$54,FALSE))</f>
        <v>8</v>
      </c>
      <c r="AG58" s="60" t="str">
        <f>IF($C58="","",VLOOKUP($C58,AMAPit!$A$10:$BJ$122,AG$54,FALSE))</f>
        <v>GoodReg</v>
      </c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</row>
    <row r="59" spans="1:52" x14ac:dyDescent="0.25">
      <c r="A59" s="339">
        <v>4</v>
      </c>
      <c r="B59" s="29" t="s">
        <v>87</v>
      </c>
      <c r="C59" s="58" t="s">
        <v>574</v>
      </c>
      <c r="D59" s="30" t="e">
        <f>IF($C59="","",VLOOKUP($C59,AMAPit!$A$10:$BJ$122,D$4-2,FALSE))</f>
        <v>#N/A</v>
      </c>
      <c r="E59" s="31" t="e">
        <f>IF($C59="","",VLOOKUP($C59,AMAPit!$A$10:$BJ$122,E$4-1,FALSE))</f>
        <v>#N/A</v>
      </c>
      <c r="F59" s="339" t="e">
        <f t="shared" si="115"/>
        <v>#N/A</v>
      </c>
      <c r="G59" s="339" t="e">
        <f t="shared" si="116"/>
        <v>#N/A</v>
      </c>
      <c r="H59" s="339" t="e">
        <f t="shared" si="117"/>
        <v>#N/A</v>
      </c>
      <c r="I59" s="92" t="e">
        <f>IF($C59="","",VLOOKUP($C59,AMAPit!$A$10:$BJ$122,I$54,FALSE))</f>
        <v>#N/A</v>
      </c>
      <c r="J59" s="70">
        <f t="shared" si="118"/>
        <v>0</v>
      </c>
      <c r="K59" s="339" t="e">
        <f>IF($C59="","",VLOOKUP($C59,AMAPit!$A$10:$BJ$122,K$54,FALSE))</f>
        <v>#N/A</v>
      </c>
      <c r="L59" s="339" t="e">
        <f>IF($C59="","",VLOOKUP($C59,AMAPit!$A$10:$BJ$122,L$54,FALSE))</f>
        <v>#N/A</v>
      </c>
      <c r="M59" s="340" t="e">
        <f>IF($C59="","",VLOOKUP($C59,AMAPit!$A$10:$BJ$122,M$54,FALSE))</f>
        <v>#N/A</v>
      </c>
      <c r="N59" s="339" t="e">
        <f>IF($C59="","",VLOOKUP($C59,AMAPit!$A$10:$BJ$122,N$54,FALSE))</f>
        <v>#N/A</v>
      </c>
      <c r="O59" s="339" t="e">
        <f>IF($C59="","",VLOOKUP($C59,AMAPit!$A$10:$BJ$122,O$54,FALSE))</f>
        <v>#N/A</v>
      </c>
      <c r="P59" s="339" t="e">
        <f>IF($C59="","",VLOOKUP($C59,AMAPit!$A$10:$BJ$122,P$54,FALSE))</f>
        <v>#N/A</v>
      </c>
      <c r="Q59" s="339" t="e">
        <f>IF($C59="","",VLOOKUP($C59,AMAPit!$A$10:$BJ$122,Q$54,FALSE))</f>
        <v>#N/A</v>
      </c>
      <c r="R59" s="339" t="e">
        <f>IF($C59="","",VLOOKUP($C59,AMAPit!$A$10:$BJ$122,R$54,FALSE))</f>
        <v>#N/A</v>
      </c>
      <c r="S59" s="339" t="e">
        <f>IF($C59="","",VLOOKUP($C59,AMAPit!$A$10:$BJ$122,S$54,FALSE))</f>
        <v>#N/A</v>
      </c>
      <c r="T59" s="339" t="e">
        <f>IF($C59="","",VLOOKUP($C59,AMAPit!$A$10:$BJ$122,T$54,FALSE))</f>
        <v>#N/A</v>
      </c>
      <c r="U59" s="339" t="e">
        <f>IF($C59="","",VLOOKUP($C59,AMAPit!$A$10:$BJ$122,U$54,FALSE))</f>
        <v>#N/A</v>
      </c>
      <c r="V59" s="339" t="e">
        <f>IF($C59="","",VLOOKUP($C59,AMAPit!$A$10:$BJ$122,V$54,FALSE))</f>
        <v>#N/A</v>
      </c>
      <c r="W59" s="339" t="e">
        <f>IF($C59="","",VLOOKUP($C59,AMAPit!$A$10:$BJ$122,W$54,FALSE))</f>
        <v>#N/A</v>
      </c>
      <c r="X59" s="339" t="e">
        <f>IF($C59="","",VLOOKUP($C59,AMAPit!$A$10:$BJ$122,X$54,FALSE))</f>
        <v>#N/A</v>
      </c>
      <c r="Y59" s="340" t="e">
        <f>IF($C59="","",VLOOKUP($C59,AMAPit!$A$10:$BJ$122,Y$54,FALSE))</f>
        <v>#N/A</v>
      </c>
      <c r="Z59" s="345" t="e">
        <f>IF($C59="","",VLOOKUP($C59,AMAPit!$A$10:$BJ$122,Z$54,FALSE))</f>
        <v>#N/A</v>
      </c>
      <c r="AA59" s="339" t="e">
        <f>IF($C59="","",VLOOKUP($C59,AMAPit!$A$10:$BJ$122,AA$54,FALSE))</f>
        <v>#N/A</v>
      </c>
      <c r="AB59" s="73" t="e">
        <f>IF($C59="","",VLOOKUP($C59,AMAPit!$A$10:$BJ$122,AB$54,FALSE))</f>
        <v>#N/A</v>
      </c>
      <c r="AC59" s="60" t="e">
        <f>IF($C59="","",VLOOKUP($C59,AMAPit!$A$10:$BJ$122,AC$54,FALSE))</f>
        <v>#N/A</v>
      </c>
      <c r="AD59" s="339" t="e">
        <f>IF($C59="","",VLOOKUP($C59,AMAPit!$A$10:$BJ$122,AD$54,FALSE))</f>
        <v>#N/A</v>
      </c>
      <c r="AE59" s="339" t="e">
        <f>IF($C59="","",VLOOKUP($C59,AMAPit!$A$10:$BJ$122,AE$54,FALSE))</f>
        <v>#N/A</v>
      </c>
      <c r="AF59" s="340" t="e">
        <f>IF($C59="","",VLOOKUP($C59,AMAPit!$A$10:$BJ$122,AF$54,FALSE))</f>
        <v>#N/A</v>
      </c>
      <c r="AG59" s="60" t="e">
        <f>IF($C59="","",VLOOKUP($C59,AMAPit!$A$10:$BJ$122,AG$54,FALSE))</f>
        <v>#N/A</v>
      </c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</row>
    <row r="60" spans="1:52" x14ac:dyDescent="0.25">
      <c r="A60" s="339">
        <v>5</v>
      </c>
      <c r="B60" s="29" t="s">
        <v>87</v>
      </c>
      <c r="C60" s="58" t="s">
        <v>743</v>
      </c>
      <c r="D60" s="30" t="e">
        <f>IF($C60="","",VLOOKUP($C60,AMAPit!$A$10:$BJ$122,D$4-2,FALSE))</f>
        <v>#N/A</v>
      </c>
      <c r="E60" s="31" t="e">
        <f>IF($C60="","",VLOOKUP($C60,AMAPit!$A$10:$BJ$122,E$4-1,FALSE))</f>
        <v>#N/A</v>
      </c>
      <c r="F60" s="339" t="e">
        <f t="shared" si="115"/>
        <v>#N/A</v>
      </c>
      <c r="G60" s="339" t="e">
        <f t="shared" si="116"/>
        <v>#N/A</v>
      </c>
      <c r="H60" s="339" t="e">
        <f t="shared" si="117"/>
        <v>#N/A</v>
      </c>
      <c r="I60" s="92" t="e">
        <f>IF($C60="","",VLOOKUP($C60,AMAPit!$A$10:$BJ$122,I$54,FALSE))</f>
        <v>#N/A</v>
      </c>
      <c r="J60" s="70">
        <f t="shared" si="118"/>
        <v>0</v>
      </c>
      <c r="K60" s="339" t="e">
        <f>IF($C60="","",VLOOKUP($C60,AMAPit!$A$10:$BJ$122,K$54,FALSE))</f>
        <v>#N/A</v>
      </c>
      <c r="L60" s="339" t="e">
        <f>IF($C60="","",VLOOKUP($C60,AMAPit!$A$10:$BJ$122,L$54,FALSE))</f>
        <v>#N/A</v>
      </c>
      <c r="M60" s="340" t="e">
        <f>IF($C60="","",VLOOKUP($C60,AMAPit!$A$10:$BJ$122,M$54,FALSE))</f>
        <v>#N/A</v>
      </c>
      <c r="N60" s="339" t="e">
        <f>IF($C60="","",VLOOKUP($C60,AMAPit!$A$10:$BJ$122,N$54,FALSE))</f>
        <v>#N/A</v>
      </c>
      <c r="O60" s="339" t="e">
        <f>IF($C60="","",VLOOKUP($C60,AMAPit!$A$10:$BJ$122,O$54,FALSE))</f>
        <v>#N/A</v>
      </c>
      <c r="P60" s="339" t="e">
        <f>IF($C60="","",VLOOKUP($C60,AMAPit!$A$10:$BJ$122,P$54,FALSE))</f>
        <v>#N/A</v>
      </c>
      <c r="Q60" s="339" t="e">
        <f>IF($C60="","",VLOOKUP($C60,AMAPit!$A$10:$BJ$122,Q$54,FALSE))</f>
        <v>#N/A</v>
      </c>
      <c r="R60" s="339" t="e">
        <f>IF($C60="","",VLOOKUP($C60,AMAPit!$A$10:$BJ$122,R$54,FALSE))</f>
        <v>#N/A</v>
      </c>
      <c r="S60" s="339" t="e">
        <f>IF($C60="","",VLOOKUP($C60,AMAPit!$A$10:$BJ$122,S$54,FALSE))</f>
        <v>#N/A</v>
      </c>
      <c r="T60" s="339" t="e">
        <f>IF($C60="","",VLOOKUP($C60,AMAPit!$A$10:$BJ$122,T$54,FALSE))</f>
        <v>#N/A</v>
      </c>
      <c r="U60" s="339" t="e">
        <f>IF($C60="","",VLOOKUP($C60,AMAPit!$A$10:$BJ$122,U$54,FALSE))</f>
        <v>#N/A</v>
      </c>
      <c r="V60" s="339" t="e">
        <f>IF($C60="","",VLOOKUP($C60,AMAPit!$A$10:$BJ$122,V$54,FALSE))</f>
        <v>#N/A</v>
      </c>
      <c r="W60" s="339" t="e">
        <f>IF($C60="","",VLOOKUP($C60,AMAPit!$A$10:$BJ$122,W$54,FALSE))</f>
        <v>#N/A</v>
      </c>
      <c r="X60" s="339" t="e">
        <f>IF($C60="","",VLOOKUP($C60,AMAPit!$A$10:$BJ$122,X$54,FALSE))</f>
        <v>#N/A</v>
      </c>
      <c r="Y60" s="340" t="e">
        <f>IF($C60="","",VLOOKUP($C60,AMAPit!$A$10:$BJ$122,Y$54,FALSE))</f>
        <v>#N/A</v>
      </c>
      <c r="Z60" s="345" t="e">
        <f>IF($C60="","",VLOOKUP($C60,AMAPit!$A$10:$BJ$122,Z$54,FALSE))</f>
        <v>#N/A</v>
      </c>
      <c r="AA60" s="339" t="e">
        <f>IF($C60="","",VLOOKUP($C60,AMAPit!$A$10:$BJ$122,AA$54,FALSE))</f>
        <v>#N/A</v>
      </c>
      <c r="AB60" s="73" t="e">
        <f>IF($C60="","",VLOOKUP($C60,AMAPit!$A$10:$BJ$122,AB$54,FALSE))</f>
        <v>#N/A</v>
      </c>
      <c r="AC60" s="60" t="e">
        <f>IF($C60="","",VLOOKUP($C60,AMAPit!$A$10:$BJ$122,AC$54,FALSE))</f>
        <v>#N/A</v>
      </c>
      <c r="AD60" s="339" t="e">
        <f>IF($C60="","",VLOOKUP($C60,AMAPit!$A$10:$BJ$122,AD$54,FALSE))</f>
        <v>#N/A</v>
      </c>
      <c r="AE60" s="339" t="e">
        <f>IF($C60="","",VLOOKUP($C60,AMAPit!$A$10:$BJ$122,AE$54,FALSE))</f>
        <v>#N/A</v>
      </c>
      <c r="AF60" s="340" t="e">
        <f>IF($C60="","",VLOOKUP($C60,AMAPit!$A$10:$BJ$122,AF$54,FALSE))</f>
        <v>#N/A</v>
      </c>
      <c r="AG60" s="60" t="e">
        <f>IF($C60="","",VLOOKUP($C60,AMAPit!$A$10:$BJ$122,AG$54,FALSE))</f>
        <v>#N/A</v>
      </c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</row>
    <row r="61" spans="1:52" x14ac:dyDescent="0.25">
      <c r="A61" s="339">
        <v>6</v>
      </c>
      <c r="B61" s="32" t="s">
        <v>105</v>
      </c>
      <c r="C61" s="279"/>
      <c r="D61" s="33" t="str">
        <f>IF($C61="","",VLOOKUP($C61,AMAPit!$A$10:$BJ$122,D$4-2,FALSE))</f>
        <v/>
      </c>
      <c r="E61" s="35" t="str">
        <f>IF($C61="","",VLOOKUP($C61,AMAPit!$A$10:$BJ$125,E$4-1,FALSE))</f>
        <v/>
      </c>
      <c r="F61" s="337" t="str">
        <f t="shared" si="115"/>
        <v/>
      </c>
      <c r="G61" s="337" t="str">
        <f t="shared" si="116"/>
        <v/>
      </c>
      <c r="H61" s="337" t="str">
        <f t="shared" si="117"/>
        <v/>
      </c>
      <c r="I61" s="93" t="str">
        <f>IF($C61="","",VLOOKUP($C61,AMAPit!$A$10:$BJ$122,I$54,FALSE))</f>
        <v/>
      </c>
      <c r="J61" s="71" t="str">
        <f t="shared" si="118"/>
        <v/>
      </c>
      <c r="K61" s="337" t="str">
        <f>IF($C61="","",VLOOKUP($C61,AMAPit!$A$10:$BJ$122,K$54,FALSE))</f>
        <v/>
      </c>
      <c r="L61" s="337" t="str">
        <f>IF($C61="","",VLOOKUP($C61,AMAPit!$A$10:$BJ$122,L$54,FALSE))</f>
        <v/>
      </c>
      <c r="M61" s="338" t="str">
        <f>IF($C61="","",VLOOKUP($C61,AMAPit!$A$10:$BJ$122,M$54,FALSE))</f>
        <v/>
      </c>
      <c r="N61" s="337" t="str">
        <f>IF($C61="","",VLOOKUP($C61,AMAPit!$A$10:$BJ$122,N$54,FALSE))</f>
        <v/>
      </c>
      <c r="O61" s="337" t="str">
        <f>IF($C61="","",VLOOKUP($C61,AMAPit!$A$10:$BJ$122,O$54,FALSE))</f>
        <v/>
      </c>
      <c r="P61" s="337" t="str">
        <f>IF($C61="","",VLOOKUP($C61,AMAPit!$A$10:$BJ$122,P$54,FALSE))</f>
        <v/>
      </c>
      <c r="Q61" s="337" t="str">
        <f>IF($C61="","",VLOOKUP($C61,AMAPit!$A$10:$BJ$122,Q$54,FALSE))</f>
        <v/>
      </c>
      <c r="R61" s="337" t="str">
        <f>IF($C61="","",VLOOKUP($C61,AMAPit!$A$10:$BJ$122,R$54,FALSE))</f>
        <v/>
      </c>
      <c r="S61" s="337" t="str">
        <f>IF($C61="","",VLOOKUP($C61,AMAPit!$A$10:$BJ$122,S$54,FALSE))</f>
        <v/>
      </c>
      <c r="T61" s="337" t="str">
        <f>IF($C61="","",VLOOKUP($C61,AMAPit!$A$10:$BJ$122,T$54,FALSE))</f>
        <v/>
      </c>
      <c r="U61" s="337" t="str">
        <f>IF($C61="","",VLOOKUP($C61,AMAPit!$A$10:$BJ$122,U$54,FALSE))</f>
        <v/>
      </c>
      <c r="V61" s="337" t="str">
        <f>IF($C61="","",VLOOKUP($C61,AMAPit!$A$10:$BJ$122,V$54,FALSE))</f>
        <v/>
      </c>
      <c r="W61" s="337" t="str">
        <f>IF($C61="","",VLOOKUP($C61,AMAPit!$A$10:$BJ$122,W$54,FALSE))</f>
        <v/>
      </c>
      <c r="X61" s="337" t="str">
        <f>IF($C61="","",VLOOKUP($C61,AMAPit!$A$10:$BJ$122,X$54,FALSE))</f>
        <v/>
      </c>
      <c r="Y61" s="338" t="str">
        <f>IF($C61="","",VLOOKUP($C61,AMAPit!$A$10:$BJ$122,Y$54,FALSE))</f>
        <v/>
      </c>
      <c r="Z61" s="47" t="str">
        <f>IF($C61="","",VLOOKUP($C61,AMAPit!$A$10:$BJ$122,Z$54,FALSE))</f>
        <v/>
      </c>
      <c r="AA61" s="337" t="str">
        <f>IF($C61="","",VLOOKUP($C61,AMAPit!$A$10:$BJ$122,AA$54,FALSE))</f>
        <v/>
      </c>
      <c r="AB61" s="74" t="str">
        <f>IF($C61="","",VLOOKUP($C61,AMAPit!$A$10:$BJ$122,AB$54,FALSE))</f>
        <v/>
      </c>
      <c r="AC61" s="61" t="str">
        <f>IF($C61="","",VLOOKUP($C61,AMAPit!$A$10:$BJ$122,AC$54,FALSE))</f>
        <v/>
      </c>
      <c r="AD61" s="337" t="str">
        <f>IF($C61="","",VLOOKUP($C61,AMAPit!$A$10:$BJ$122,AD$54,FALSE))</f>
        <v/>
      </c>
      <c r="AE61" s="337" t="str">
        <f>IF($C61="","",VLOOKUP($C61,AMAPit!$A$10:$BJ$122,AE$54,FALSE))</f>
        <v/>
      </c>
      <c r="AF61" s="338" t="str">
        <f>IF($C61="","",VLOOKUP($C61,AMAPit!$A$10:$BJ$122,AF$54,FALSE))</f>
        <v/>
      </c>
      <c r="AG61" s="61" t="str">
        <f>IF($C61="","",VLOOKUP($C61,AMAPit!$A$10:$BJ$122,AG$54,FALSE))</f>
        <v/>
      </c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</row>
    <row r="62" spans="1:52" x14ac:dyDescent="0.25">
      <c r="A62" s="305"/>
      <c r="C62" s="280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39"/>
      <c r="AA62" s="339"/>
      <c r="AB62" s="339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</row>
    <row r="63" spans="1:52" ht="57" x14ac:dyDescent="0.25">
      <c r="A63" s="18" t="s">
        <v>170</v>
      </c>
      <c r="B63" s="341" t="s">
        <v>106</v>
      </c>
      <c r="C63" s="281" t="s">
        <v>96</v>
      </c>
      <c r="D63" s="37" t="s">
        <v>70</v>
      </c>
      <c r="E63" s="37" t="s">
        <v>81</v>
      </c>
      <c r="F63" s="48" t="s">
        <v>167</v>
      </c>
      <c r="G63" s="40" t="s">
        <v>168</v>
      </c>
      <c r="H63" s="49" t="s">
        <v>169</v>
      </c>
      <c r="I63" s="69" t="s">
        <v>189</v>
      </c>
      <c r="J63" s="40" t="s">
        <v>166</v>
      </c>
      <c r="K63" s="72" t="s">
        <v>163</v>
      </c>
      <c r="L63" s="67" t="s">
        <v>164</v>
      </c>
      <c r="M63" s="68" t="s">
        <v>165</v>
      </c>
      <c r="N63" s="67" t="s">
        <v>40</v>
      </c>
      <c r="O63" s="67" t="s">
        <v>42</v>
      </c>
      <c r="P63" s="67" t="s">
        <v>44</v>
      </c>
      <c r="Q63" s="67" t="s">
        <v>46</v>
      </c>
      <c r="R63" s="67" t="s">
        <v>48</v>
      </c>
      <c r="S63" s="67" t="s">
        <v>87</v>
      </c>
      <c r="T63" s="67" t="s">
        <v>51</v>
      </c>
      <c r="U63" s="67" t="s">
        <v>53</v>
      </c>
      <c r="V63" s="67" t="s">
        <v>55</v>
      </c>
      <c r="W63" s="67" t="s">
        <v>57</v>
      </c>
      <c r="X63" s="67" t="s">
        <v>59</v>
      </c>
      <c r="Y63" s="68" t="s">
        <v>61</v>
      </c>
      <c r="Z63" s="72" t="s">
        <v>176</v>
      </c>
      <c r="AA63" s="67" t="s">
        <v>175</v>
      </c>
      <c r="AB63" s="68" t="s">
        <v>177</v>
      </c>
      <c r="AC63" s="251" t="s">
        <v>354</v>
      </c>
      <c r="AD63" s="67" t="s">
        <v>163</v>
      </c>
      <c r="AE63" s="67" t="s">
        <v>164</v>
      </c>
      <c r="AF63" s="68" t="s">
        <v>165</v>
      </c>
      <c r="AG63" s="251" t="s">
        <v>174</v>
      </c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</row>
    <row r="64" spans="1:52" x14ac:dyDescent="0.25">
      <c r="A64" s="305">
        <v>1</v>
      </c>
      <c r="B64" s="29" t="s">
        <v>88</v>
      </c>
      <c r="C64" s="58" t="s">
        <v>745</v>
      </c>
      <c r="D64" s="30" t="e">
        <f>IF($C64="","",VLOOKUP($C64,AMAPit!$A$10:$BJ$122,D$4-2,FALSE))</f>
        <v>#N/A</v>
      </c>
      <c r="E64" s="30" t="e">
        <f>IF($C64="","",VLOOKUP($C64,AMAPit!$A$10:$BJ$122,E$4-1,FALSE))</f>
        <v>#N/A</v>
      </c>
      <c r="F64" s="345" t="e">
        <f t="shared" ref="F64:F65" si="119">IF($C64="","",IF(AVERAGE(K64:M64)&gt;7,1,0))</f>
        <v>#N/A</v>
      </c>
      <c r="G64" s="339" t="e">
        <f t="shared" ref="G64:G65" si="120">IF($C64="","",IF(AVERAGE(K64:M64)&gt;6.5,1,0))</f>
        <v>#N/A</v>
      </c>
      <c r="H64" s="340" t="e">
        <f t="shared" ref="H64:H65" si="121">IF($C64="","",IF(AVERAGE(K64:M64)&gt;6,1,0))</f>
        <v>#N/A</v>
      </c>
      <c r="I64" s="91" t="e">
        <f>IF($C64="","",VLOOKUP($C64,AMAPit!$A$10:$BJ$122,I$54,FALSE))</f>
        <v>#N/A</v>
      </c>
      <c r="J64" s="339">
        <f t="shared" ref="J64:J65" si="122">IF($C64="","",COUNT(N64:Y64))</f>
        <v>0</v>
      </c>
      <c r="K64" s="345" t="e">
        <f>IF($C64="","",VLOOKUP($C64,AMAPit!$A$10:$BJ$122,K$54,FALSE))</f>
        <v>#N/A</v>
      </c>
      <c r="L64" s="339" t="e">
        <f>IF($C64="","",VLOOKUP($C64,AMAPit!$A$10:$BJ$122,L$54,FALSE))</f>
        <v>#N/A</v>
      </c>
      <c r="M64" s="340" t="e">
        <f>IF($C64="","",VLOOKUP($C64,AMAPit!$A$10:$BJ$122,M$54,FALSE))</f>
        <v>#N/A</v>
      </c>
      <c r="N64" s="339" t="e">
        <f>IF($C64="","",VLOOKUP($C64,AMAPit!$A$10:$BJ$122,N$54,FALSE))</f>
        <v>#N/A</v>
      </c>
      <c r="O64" s="339" t="e">
        <f>IF($C64="","",VLOOKUP($C64,AMAPit!$A$10:$BJ$122,O$54,FALSE))</f>
        <v>#N/A</v>
      </c>
      <c r="P64" s="339" t="e">
        <f>IF($C64="","",VLOOKUP($C64,AMAPit!$A$10:$BJ$122,P$54,FALSE))</f>
        <v>#N/A</v>
      </c>
      <c r="Q64" s="339" t="e">
        <f>IF($C64="","",VLOOKUP($C64,AMAPit!$A$10:$BJ$122,Q$54,FALSE))</f>
        <v>#N/A</v>
      </c>
      <c r="R64" s="339" t="e">
        <f>IF($C64="","",VLOOKUP($C64,AMAPit!$A$10:$BJ$122,R$54,FALSE))</f>
        <v>#N/A</v>
      </c>
      <c r="S64" s="339" t="e">
        <f>IF($C64="","",VLOOKUP($C64,AMAPit!$A$10:$BJ$122,S$54,FALSE))</f>
        <v>#N/A</v>
      </c>
      <c r="T64" s="339" t="e">
        <f>IF($C64="","",VLOOKUP($C64,AMAPit!$A$10:$BJ$122,T$54,FALSE))</f>
        <v>#N/A</v>
      </c>
      <c r="U64" s="339" t="e">
        <f>IF($C64="","",VLOOKUP($C64,AMAPit!$A$10:$BJ$122,U$54,FALSE))</f>
        <v>#N/A</v>
      </c>
      <c r="V64" s="339" t="e">
        <f>IF($C64="","",VLOOKUP($C64,AMAPit!$A$10:$BJ$122,V$54,FALSE))</f>
        <v>#N/A</v>
      </c>
      <c r="W64" s="339" t="e">
        <f>IF($C64="","",VLOOKUP($C64,AMAPit!$A$10:$BJ$122,W$54,FALSE))</f>
        <v>#N/A</v>
      </c>
      <c r="X64" s="339" t="e">
        <f>IF($C64="","",VLOOKUP($C64,AMAPit!$A$10:$BJ$122,X$54,FALSE))</f>
        <v>#N/A</v>
      </c>
      <c r="Y64" s="340" t="e">
        <f>IF($C64="","",VLOOKUP($C64,AMAPit!$A$10:$BJ$122,Y$54,FALSE))</f>
        <v>#N/A</v>
      </c>
      <c r="Z64" s="345" t="e">
        <f>IF($C64="","",VLOOKUP($C64,AMAPit!$A$10:$BJ$122,Z$54,FALSE))</f>
        <v>#N/A</v>
      </c>
      <c r="AA64" s="339" t="e">
        <f>IF($C64="","",VLOOKUP($C64,AMAPit!$A$10:$BJ$122,AA$54,FALSE))</f>
        <v>#N/A</v>
      </c>
      <c r="AB64" s="73" t="e">
        <f>IF($C64="","",VLOOKUP($C64,AMAPit!$A$10:$BJ$122,AB$54,FALSE))</f>
        <v>#N/A</v>
      </c>
      <c r="AC64" s="252" t="e">
        <f>IF($C64="","",VLOOKUP($C64,AMAPit!$A$10:$BJ$122,AC$54,FALSE))</f>
        <v>#N/A</v>
      </c>
      <c r="AD64" s="339" t="e">
        <f>IF($C64="","",VLOOKUP($C64,AMAPit!$A$10:$BJ$122,AD$54,FALSE))</f>
        <v>#N/A</v>
      </c>
      <c r="AE64" s="339" t="e">
        <f>IF($C64="","",VLOOKUP($C64,AMAPit!$A$10:$BJ$122,AE$54,FALSE))</f>
        <v>#N/A</v>
      </c>
      <c r="AF64" s="340" t="e">
        <f>IF($C64="","",VLOOKUP($C64,AMAPit!$A$10:$BJ$122,AF$54,FALSE))</f>
        <v>#N/A</v>
      </c>
      <c r="AG64" s="252" t="e">
        <f>IF($C64="","",VLOOKUP($C64,AMAPit!$A$10:$BJ$122,AG$54,FALSE))</f>
        <v>#N/A</v>
      </c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</row>
    <row r="65" spans="1:52" x14ac:dyDescent="0.25">
      <c r="A65" s="305">
        <v>2</v>
      </c>
      <c r="B65" s="32" t="s">
        <v>107</v>
      </c>
      <c r="C65" s="282"/>
      <c r="D65" s="33" t="str">
        <f>IF($C65="","",VLOOKUP($C65,AMAPit!$A$10:$BJ$122,D$4-2,FALSE))</f>
        <v/>
      </c>
      <c r="E65" s="33" t="str">
        <f>IF($C65="","",VLOOKUP($C65,AMAPit!$A$10:$BJ$125,E$4-1,FALSE))</f>
        <v/>
      </c>
      <c r="F65" s="47" t="str">
        <f t="shared" si="119"/>
        <v/>
      </c>
      <c r="G65" s="337" t="str">
        <f t="shared" si="120"/>
        <v/>
      </c>
      <c r="H65" s="338" t="str">
        <f t="shared" si="121"/>
        <v/>
      </c>
      <c r="I65" s="93" t="str">
        <f>IF($C65="","",VLOOKUP($C65,AMAPit!$A$10:$BJ$122,I$54,FALSE))</f>
        <v/>
      </c>
      <c r="J65" s="337" t="str">
        <f t="shared" si="122"/>
        <v/>
      </c>
      <c r="K65" s="47" t="str">
        <f>IF($C65="","",VLOOKUP($C65,AMAPit!$A$10:$BJ$122,K$54,FALSE))</f>
        <v/>
      </c>
      <c r="L65" s="337" t="str">
        <f>IF($C65="","",VLOOKUP($C65,AMAPit!$A$10:$BJ$122,L$54,FALSE))</f>
        <v/>
      </c>
      <c r="M65" s="338" t="str">
        <f>IF($C65="","",VLOOKUP($C65,AMAPit!$A$10:$BJ$122,M$54,FALSE))</f>
        <v/>
      </c>
      <c r="N65" s="337" t="str">
        <f>IF($C65="","",VLOOKUP($C65,AMAPit!$A$10:$BJ$122,N$54,FALSE))</f>
        <v/>
      </c>
      <c r="O65" s="337" t="str">
        <f>IF($C65="","",VLOOKUP($C65,AMAPit!$A$10:$BJ$122,O$54,FALSE))</f>
        <v/>
      </c>
      <c r="P65" s="337" t="str">
        <f>IF($C65="","",VLOOKUP($C65,AMAPit!$A$10:$BJ$122,P$54,FALSE))</f>
        <v/>
      </c>
      <c r="Q65" s="337" t="str">
        <f>IF($C65="","",VLOOKUP($C65,AMAPit!$A$10:$BJ$122,Q$54,FALSE))</f>
        <v/>
      </c>
      <c r="R65" s="337" t="str">
        <f>IF($C65="","",VLOOKUP($C65,AMAPit!$A$10:$BJ$122,R$54,FALSE))</f>
        <v/>
      </c>
      <c r="S65" s="337" t="str">
        <f>IF($C65="","",VLOOKUP($C65,AMAPit!$A$10:$BJ$122,S$54,FALSE))</f>
        <v/>
      </c>
      <c r="T65" s="337" t="str">
        <f>IF($C65="","",VLOOKUP($C65,AMAPit!$A$10:$BJ$122,T$54,FALSE))</f>
        <v/>
      </c>
      <c r="U65" s="337" t="str">
        <f>IF($C65="","",VLOOKUP($C65,AMAPit!$A$10:$BJ$122,U$54,FALSE))</f>
        <v/>
      </c>
      <c r="V65" s="337" t="str">
        <f>IF($C65="","",VLOOKUP($C65,AMAPit!$A$10:$BJ$122,V$54,FALSE))</f>
        <v/>
      </c>
      <c r="W65" s="337" t="str">
        <f>IF($C65="","",VLOOKUP($C65,AMAPit!$A$10:$BJ$122,W$54,FALSE))</f>
        <v/>
      </c>
      <c r="X65" s="337" t="str">
        <f>IF($C65="","",VLOOKUP($C65,AMAPit!$A$10:$BJ$122,X$54,FALSE))</f>
        <v/>
      </c>
      <c r="Y65" s="338" t="str">
        <f>IF($C65="","",VLOOKUP($C65,AMAPit!$A$10:$BJ$122,Y$54,FALSE))</f>
        <v/>
      </c>
      <c r="Z65" s="47" t="str">
        <f>IF($C65="","",VLOOKUP($C65,AMAPit!$A$10:$BJ$122,Z$54,FALSE))</f>
        <v/>
      </c>
      <c r="AA65" s="337" t="str">
        <f>IF($C65="","",VLOOKUP($C65,AMAPit!$A$10:$BJ$122,AA$54,FALSE))</f>
        <v/>
      </c>
      <c r="AB65" s="74" t="str">
        <f>IF($C65="","",VLOOKUP($C65,AMAPit!$A$10:$BJ$122,AB$54,FALSE))</f>
        <v/>
      </c>
      <c r="AC65" s="61" t="str">
        <f>IF($C65="","",VLOOKUP($C65,AMAPit!$A$10:$BJ$122,AC$54,FALSE))</f>
        <v/>
      </c>
      <c r="AD65" s="337" t="str">
        <f>IF($C65="","",VLOOKUP($C65,AMAPit!$A$10:$BJ$122,AD$54,FALSE))</f>
        <v/>
      </c>
      <c r="AE65" s="337" t="str">
        <f>IF($C65="","",VLOOKUP($C65,AMAPit!$A$10:$BJ$122,AE$54,FALSE))</f>
        <v/>
      </c>
      <c r="AF65" s="338" t="str">
        <f>IF($C65="","",VLOOKUP($C65,AMAPit!$A$10:$BJ$122,AF$54,FALSE))</f>
        <v/>
      </c>
      <c r="AG65" s="61" t="str">
        <f>IF($C65="","",VLOOKUP($C65,AMAPit!$A$10:$BJ$122,AG$54,FALSE))</f>
        <v/>
      </c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</row>
    <row r="66" spans="1:52" x14ac:dyDescent="0.25">
      <c r="A66" s="305"/>
      <c r="C66" s="280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39"/>
      <c r="AA66" s="339"/>
      <c r="AB66" s="339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</row>
    <row r="67" spans="1:52" ht="57" x14ac:dyDescent="0.25">
      <c r="A67" s="18" t="s">
        <v>170</v>
      </c>
      <c r="B67" s="341" t="s">
        <v>108</v>
      </c>
      <c r="C67" s="281" t="s">
        <v>96</v>
      </c>
      <c r="D67" s="37" t="s">
        <v>70</v>
      </c>
      <c r="E67" s="37" t="s">
        <v>81</v>
      </c>
      <c r="F67" s="48" t="s">
        <v>167</v>
      </c>
      <c r="G67" s="40" t="s">
        <v>168</v>
      </c>
      <c r="H67" s="49" t="s">
        <v>169</v>
      </c>
      <c r="I67" s="69" t="s">
        <v>189</v>
      </c>
      <c r="J67" s="40" t="s">
        <v>166</v>
      </c>
      <c r="K67" s="72" t="s">
        <v>163</v>
      </c>
      <c r="L67" s="67" t="s">
        <v>164</v>
      </c>
      <c r="M67" s="68" t="s">
        <v>165</v>
      </c>
      <c r="N67" s="67" t="s">
        <v>40</v>
      </c>
      <c r="O67" s="67" t="s">
        <v>42</v>
      </c>
      <c r="P67" s="67" t="s">
        <v>44</v>
      </c>
      <c r="Q67" s="67" t="s">
        <v>46</v>
      </c>
      <c r="R67" s="67" t="s">
        <v>48</v>
      </c>
      <c r="S67" s="67" t="s">
        <v>87</v>
      </c>
      <c r="T67" s="67" t="s">
        <v>51</v>
      </c>
      <c r="U67" s="67" t="s">
        <v>53</v>
      </c>
      <c r="V67" s="67" t="s">
        <v>55</v>
      </c>
      <c r="W67" s="67" t="s">
        <v>57</v>
      </c>
      <c r="X67" s="67" t="s">
        <v>59</v>
      </c>
      <c r="Y67" s="68" t="s">
        <v>61</v>
      </c>
      <c r="Z67" s="72" t="s">
        <v>176</v>
      </c>
      <c r="AA67" s="67" t="s">
        <v>175</v>
      </c>
      <c r="AB67" s="68" t="s">
        <v>177</v>
      </c>
      <c r="AC67" s="251" t="s">
        <v>354</v>
      </c>
      <c r="AD67" s="67" t="s">
        <v>163</v>
      </c>
      <c r="AE67" s="67" t="s">
        <v>164</v>
      </c>
      <c r="AF67" s="68" t="s">
        <v>165</v>
      </c>
      <c r="AG67" s="251" t="s">
        <v>174</v>
      </c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</row>
    <row r="68" spans="1:52" x14ac:dyDescent="0.25">
      <c r="A68" s="305">
        <v>1</v>
      </c>
      <c r="B68" s="29" t="s">
        <v>109</v>
      </c>
      <c r="C68" s="58" t="s">
        <v>571</v>
      </c>
      <c r="D68" s="30" t="e">
        <f>IF($C68="","",VLOOKUP($C68,AMAPit!$A$10:$BJ$122,D$4-2,FALSE))</f>
        <v>#N/A</v>
      </c>
      <c r="E68" s="30" t="e">
        <f>IF($C68="","",VLOOKUP($C68,AMAPit!$A$10:$BJ$122,E$4-1,FALSE))</f>
        <v>#N/A</v>
      </c>
      <c r="F68" s="345" t="e">
        <f t="shared" ref="F68:F77" si="123">IF($C68="","",IF(AVERAGE(K68:M68)&gt;7,1,0))</f>
        <v>#N/A</v>
      </c>
      <c r="G68" s="339" t="e">
        <f t="shared" ref="G68:G77" si="124">IF($C68="","",IF(AVERAGE(K68:M68)&gt;6.5,1,0))</f>
        <v>#N/A</v>
      </c>
      <c r="H68" s="340" t="e">
        <f t="shared" ref="H68:H77" si="125">IF($C68="","",IF(AVERAGE(K68:M68)&gt;6,1,0))</f>
        <v>#N/A</v>
      </c>
      <c r="I68" s="92" t="e">
        <f>IF($C68="","",VLOOKUP($C68,AMAPit!$A$10:$BJ$122,I$54,FALSE))</f>
        <v>#N/A</v>
      </c>
      <c r="J68" s="339">
        <f t="shared" ref="J68:J77" si="126">IF($C68="","",COUNT(N68:Y68))</f>
        <v>0</v>
      </c>
      <c r="K68" s="345" t="e">
        <f>IF($C68="","",VLOOKUP($C68,AMAPit!$A$10:$BJ$122,K$54,FALSE))</f>
        <v>#N/A</v>
      </c>
      <c r="L68" s="339" t="e">
        <f>IF($C68="","",VLOOKUP($C68,AMAPit!$A$10:$BJ$122,L$54,FALSE))</f>
        <v>#N/A</v>
      </c>
      <c r="M68" s="340" t="e">
        <f>IF($C68="","",VLOOKUP($C68,AMAPit!$A$10:$BJ$122,M$54,FALSE))</f>
        <v>#N/A</v>
      </c>
      <c r="N68" s="339" t="e">
        <f>IF($C68="","",VLOOKUP($C68,AMAPit!$A$10:$BJ$122,N$54,FALSE))</f>
        <v>#N/A</v>
      </c>
      <c r="O68" s="339" t="e">
        <f>IF($C68="","",VLOOKUP($C68,AMAPit!$A$10:$BJ$122,O$54,FALSE))</f>
        <v>#N/A</v>
      </c>
      <c r="P68" s="339" t="e">
        <f>IF($C68="","",VLOOKUP($C68,AMAPit!$A$10:$BJ$122,P$54,FALSE))</f>
        <v>#N/A</v>
      </c>
      <c r="Q68" s="339" t="e">
        <f>IF($C68="","",VLOOKUP($C68,AMAPit!$A$10:$BJ$122,Q$54,FALSE))</f>
        <v>#N/A</v>
      </c>
      <c r="R68" s="339" t="e">
        <f>IF($C68="","",VLOOKUP($C68,AMAPit!$A$10:$BJ$122,R$54,FALSE))</f>
        <v>#N/A</v>
      </c>
      <c r="S68" s="339" t="e">
        <f>IF($C68="","",VLOOKUP($C68,AMAPit!$A$10:$BJ$122,S$54,FALSE))</f>
        <v>#N/A</v>
      </c>
      <c r="T68" s="339" t="e">
        <f>IF($C68="","",VLOOKUP($C68,AMAPit!$A$10:$BJ$122,T$54,FALSE))</f>
        <v>#N/A</v>
      </c>
      <c r="U68" s="339" t="e">
        <f>IF($C68="","",VLOOKUP($C68,AMAPit!$A$10:$BJ$122,U$54,FALSE))</f>
        <v>#N/A</v>
      </c>
      <c r="V68" s="339" t="e">
        <f>IF($C68="","",VLOOKUP($C68,AMAPit!$A$10:$BJ$122,V$54,FALSE))</f>
        <v>#N/A</v>
      </c>
      <c r="W68" s="339" t="e">
        <f>IF($C68="","",VLOOKUP($C68,AMAPit!$A$10:$BJ$122,W$54,FALSE))</f>
        <v>#N/A</v>
      </c>
      <c r="X68" s="339" t="e">
        <f>IF($C68="","",VLOOKUP($C68,AMAPit!$A$10:$BJ$122,X$54,FALSE))</f>
        <v>#N/A</v>
      </c>
      <c r="Y68" s="340" t="e">
        <f>IF($C68="","",VLOOKUP($C68,AMAPit!$A$10:$BJ$122,Y$54,FALSE))</f>
        <v>#N/A</v>
      </c>
      <c r="Z68" s="345" t="e">
        <f>IF($C68="","",VLOOKUP($C68,AMAPit!$A$10:$BJ$122,Z$54,FALSE))</f>
        <v>#N/A</v>
      </c>
      <c r="AA68" s="339" t="e">
        <f>IF($C68="","",VLOOKUP($C68,AMAPit!$A$10:$BJ$122,AA$54,FALSE))</f>
        <v>#N/A</v>
      </c>
      <c r="AB68" s="73" t="e">
        <f>IF($C68="","",VLOOKUP($C68,AMAPit!$A$10:$BJ$122,AB$54,FALSE))</f>
        <v>#N/A</v>
      </c>
      <c r="AC68" s="252" t="e">
        <f>IF($C68="","",VLOOKUP($C68,AMAPit!$A$10:$BJ$122,AC$54,FALSE))</f>
        <v>#N/A</v>
      </c>
      <c r="AD68" s="339" t="e">
        <f>IF($C68="","",VLOOKUP($C68,AMAPit!$A$10:$BJ$122,AD$54,FALSE))</f>
        <v>#N/A</v>
      </c>
      <c r="AE68" s="339" t="e">
        <f>IF($C68="","",VLOOKUP($C68,AMAPit!$A$10:$BJ$122,AE$54,FALSE))</f>
        <v>#N/A</v>
      </c>
      <c r="AF68" s="340" t="e">
        <f>IF($C68="","",VLOOKUP($C68,AMAPit!$A$10:$BJ$122,AF$54,FALSE))</f>
        <v>#N/A</v>
      </c>
      <c r="AG68" s="252" t="e">
        <f>IF($C68="","",VLOOKUP($C68,AMAPit!$A$10:$BJ$122,AG$54,FALSE))</f>
        <v>#N/A</v>
      </c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</row>
    <row r="69" spans="1:52" x14ac:dyDescent="0.25">
      <c r="A69" s="305">
        <v>2</v>
      </c>
      <c r="B69" s="29" t="s">
        <v>110</v>
      </c>
      <c r="C69" s="58" t="s">
        <v>562</v>
      </c>
      <c r="D69" s="30" t="e">
        <f>IF($C69="","",VLOOKUP($C69,AMAPit!$A$10:$BJ$122,D$4-2,FALSE))</f>
        <v>#N/A</v>
      </c>
      <c r="E69" s="30" t="e">
        <f>IF($C69="","",VLOOKUP($C69,AMAPit!$A$10:$BJ$122,E$4-1,FALSE))</f>
        <v>#N/A</v>
      </c>
      <c r="F69" s="345" t="e">
        <f t="shared" si="123"/>
        <v>#N/A</v>
      </c>
      <c r="G69" s="339" t="e">
        <f t="shared" si="124"/>
        <v>#N/A</v>
      </c>
      <c r="H69" s="340" t="e">
        <f t="shared" si="125"/>
        <v>#N/A</v>
      </c>
      <c r="I69" s="92" t="e">
        <f>IF($C69="","",VLOOKUP($C69,AMAPit!$A$10:$BJ$122,I$54,FALSE))</f>
        <v>#N/A</v>
      </c>
      <c r="J69" s="339">
        <f t="shared" si="126"/>
        <v>0</v>
      </c>
      <c r="K69" s="345" t="e">
        <f>IF($C69="","",VLOOKUP($C69,AMAPit!$A$10:$BJ$122,K$54,FALSE))</f>
        <v>#N/A</v>
      </c>
      <c r="L69" s="339" t="e">
        <f>IF($C69="","",VLOOKUP($C69,AMAPit!$A$10:$BJ$122,L$54,FALSE))</f>
        <v>#N/A</v>
      </c>
      <c r="M69" s="340" t="e">
        <f>IF($C69="","",VLOOKUP($C69,AMAPit!$A$10:$BJ$122,M$54,FALSE))</f>
        <v>#N/A</v>
      </c>
      <c r="N69" s="339" t="e">
        <f>IF($C69="","",VLOOKUP($C69,AMAPit!$A$10:$BJ$122,N$54,FALSE))</f>
        <v>#N/A</v>
      </c>
      <c r="O69" s="339" t="e">
        <f>IF($C69="","",VLOOKUP($C69,AMAPit!$A$10:$BJ$122,O$54,FALSE))</f>
        <v>#N/A</v>
      </c>
      <c r="P69" s="339" t="e">
        <f>IF($C69="","",VLOOKUP($C69,AMAPit!$A$10:$BJ$122,P$54,FALSE))</f>
        <v>#N/A</v>
      </c>
      <c r="Q69" s="339" t="e">
        <f>IF($C69="","",VLOOKUP($C69,AMAPit!$A$10:$BJ$122,Q$54,FALSE))</f>
        <v>#N/A</v>
      </c>
      <c r="R69" s="339" t="e">
        <f>IF($C69="","",VLOOKUP($C69,AMAPit!$A$10:$BJ$122,R$54,FALSE))</f>
        <v>#N/A</v>
      </c>
      <c r="S69" s="339" t="e">
        <f>IF($C69="","",VLOOKUP($C69,AMAPit!$A$10:$BJ$122,S$54,FALSE))</f>
        <v>#N/A</v>
      </c>
      <c r="T69" s="339" t="e">
        <f>IF($C69="","",VLOOKUP($C69,AMAPit!$A$10:$BJ$122,T$54,FALSE))</f>
        <v>#N/A</v>
      </c>
      <c r="U69" s="339" t="e">
        <f>IF($C69="","",VLOOKUP($C69,AMAPit!$A$10:$BJ$122,U$54,FALSE))</f>
        <v>#N/A</v>
      </c>
      <c r="V69" s="339" t="e">
        <f>IF($C69="","",VLOOKUP($C69,AMAPit!$A$10:$BJ$122,V$54,FALSE))</f>
        <v>#N/A</v>
      </c>
      <c r="W69" s="339" t="e">
        <f>IF($C69="","",VLOOKUP($C69,AMAPit!$A$10:$BJ$122,W$54,FALSE))</f>
        <v>#N/A</v>
      </c>
      <c r="X69" s="339" t="e">
        <f>IF($C69="","",VLOOKUP($C69,AMAPit!$A$10:$BJ$122,X$54,FALSE))</f>
        <v>#N/A</v>
      </c>
      <c r="Y69" s="340" t="e">
        <f>IF($C69="","",VLOOKUP($C69,AMAPit!$A$10:$BJ$122,Y$54,FALSE))</f>
        <v>#N/A</v>
      </c>
      <c r="Z69" s="345" t="e">
        <f>IF($C69="","",VLOOKUP($C69,AMAPit!$A$10:$BJ$122,Z$54,FALSE))</f>
        <v>#N/A</v>
      </c>
      <c r="AA69" s="339" t="e">
        <f>IF($C69="","",VLOOKUP($C69,AMAPit!$A$10:$BJ$122,AA$54,FALSE))</f>
        <v>#N/A</v>
      </c>
      <c r="AB69" s="73" t="e">
        <f>IF($C69="","",VLOOKUP($C69,AMAPit!$A$10:$BJ$122,AB$54,FALSE))</f>
        <v>#N/A</v>
      </c>
      <c r="AC69" s="60" t="e">
        <f>IF($C69="","",VLOOKUP($C69,AMAPit!$A$10:$BJ$122,AC$54,FALSE))</f>
        <v>#N/A</v>
      </c>
      <c r="AD69" s="339" t="e">
        <f>IF($C69="","",VLOOKUP($C69,AMAPit!$A$10:$BJ$122,AD$54,FALSE))</f>
        <v>#N/A</v>
      </c>
      <c r="AE69" s="339" t="e">
        <f>IF($C69="","",VLOOKUP($C69,AMAPit!$A$10:$BJ$122,AE$54,FALSE))</f>
        <v>#N/A</v>
      </c>
      <c r="AF69" s="340" t="e">
        <f>IF($C69="","",VLOOKUP($C69,AMAPit!$A$10:$BJ$122,AF$54,FALSE))</f>
        <v>#N/A</v>
      </c>
      <c r="AG69" s="60" t="e">
        <f>IF($C69="","",VLOOKUP($C69,AMAPit!$A$10:$BJ$122,AG$54,FALSE))</f>
        <v>#N/A</v>
      </c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</row>
    <row r="70" spans="1:52" x14ac:dyDescent="0.25">
      <c r="A70" s="305">
        <v>3</v>
      </c>
      <c r="B70" s="29" t="s">
        <v>11</v>
      </c>
      <c r="C70" s="58" t="s">
        <v>744</v>
      </c>
      <c r="D70" s="30" t="e">
        <f>IF($C70="","",VLOOKUP($C70,AMAPit!$A$10:$BJ$122,D$4-2,FALSE))</f>
        <v>#N/A</v>
      </c>
      <c r="E70" s="30" t="e">
        <f>IF($C70="","",VLOOKUP($C70,AMAPit!$A$10:$BJ$122,E$4-1,FALSE))</f>
        <v>#N/A</v>
      </c>
      <c r="F70" s="345" t="e">
        <f t="shared" si="123"/>
        <v>#N/A</v>
      </c>
      <c r="G70" s="339" t="e">
        <f t="shared" si="124"/>
        <v>#N/A</v>
      </c>
      <c r="H70" s="340" t="e">
        <f t="shared" si="125"/>
        <v>#N/A</v>
      </c>
      <c r="I70" s="92" t="e">
        <f>IF($C70="","",VLOOKUP($C70,AMAPit!$A$10:$BJ$122,I$54,FALSE))</f>
        <v>#N/A</v>
      </c>
      <c r="J70" s="339">
        <f t="shared" si="126"/>
        <v>0</v>
      </c>
      <c r="K70" s="345" t="e">
        <f>IF($C70="","",VLOOKUP($C70,AMAPit!$A$10:$BJ$122,K$54,FALSE))</f>
        <v>#N/A</v>
      </c>
      <c r="L70" s="339" t="e">
        <f>IF($C70="","",VLOOKUP($C70,AMAPit!$A$10:$BJ$122,L$54,FALSE))</f>
        <v>#N/A</v>
      </c>
      <c r="M70" s="340" t="e">
        <f>IF($C70="","",VLOOKUP($C70,AMAPit!$A$10:$BJ$122,M$54,FALSE))</f>
        <v>#N/A</v>
      </c>
      <c r="N70" s="339" t="e">
        <f>IF($C70="","",VLOOKUP($C70,AMAPit!$A$10:$BJ$122,N$54,FALSE))</f>
        <v>#N/A</v>
      </c>
      <c r="O70" s="339" t="e">
        <f>IF($C70="","",VLOOKUP($C70,AMAPit!$A$10:$BJ$122,O$54,FALSE))</f>
        <v>#N/A</v>
      </c>
      <c r="P70" s="339" t="e">
        <f>IF($C70="","",VLOOKUP($C70,AMAPit!$A$10:$BJ$122,P$54,FALSE))</f>
        <v>#N/A</v>
      </c>
      <c r="Q70" s="339" t="e">
        <f>IF($C70="","",VLOOKUP($C70,AMAPit!$A$10:$BJ$122,Q$54,FALSE))</f>
        <v>#N/A</v>
      </c>
      <c r="R70" s="339" t="e">
        <f>IF($C70="","",VLOOKUP($C70,AMAPit!$A$10:$BJ$122,R$54,FALSE))</f>
        <v>#N/A</v>
      </c>
      <c r="S70" s="339" t="e">
        <f>IF($C70="","",VLOOKUP($C70,AMAPit!$A$10:$BJ$122,S$54,FALSE))</f>
        <v>#N/A</v>
      </c>
      <c r="T70" s="339" t="e">
        <f>IF($C70="","",VLOOKUP($C70,AMAPit!$A$10:$BJ$122,T$54,FALSE))</f>
        <v>#N/A</v>
      </c>
      <c r="U70" s="339" t="e">
        <f>IF($C70="","",VLOOKUP($C70,AMAPit!$A$10:$BJ$122,U$54,FALSE))</f>
        <v>#N/A</v>
      </c>
      <c r="V70" s="339" t="e">
        <f>IF($C70="","",VLOOKUP($C70,AMAPit!$A$10:$BJ$122,V$54,FALSE))</f>
        <v>#N/A</v>
      </c>
      <c r="W70" s="339" t="e">
        <f>IF($C70="","",VLOOKUP($C70,AMAPit!$A$10:$BJ$122,W$54,FALSE))</f>
        <v>#N/A</v>
      </c>
      <c r="X70" s="339" t="e">
        <f>IF($C70="","",VLOOKUP($C70,AMAPit!$A$10:$BJ$122,X$54,FALSE))</f>
        <v>#N/A</v>
      </c>
      <c r="Y70" s="340" t="e">
        <f>IF($C70="","",VLOOKUP($C70,AMAPit!$A$10:$BJ$122,Y$54,FALSE))</f>
        <v>#N/A</v>
      </c>
      <c r="Z70" s="345" t="e">
        <f>IF($C70="","",VLOOKUP($C70,AMAPit!$A$10:$BJ$122,Z$54,FALSE))</f>
        <v>#N/A</v>
      </c>
      <c r="AA70" s="339" t="e">
        <f>IF($C70="","",VLOOKUP($C70,AMAPit!$A$10:$BJ$122,AA$54,FALSE))</f>
        <v>#N/A</v>
      </c>
      <c r="AB70" s="73" t="e">
        <f>IF($C70="","",VLOOKUP($C70,AMAPit!$A$10:$BJ$122,AB$54,FALSE))</f>
        <v>#N/A</v>
      </c>
      <c r="AC70" s="60" t="e">
        <f>IF($C70="","",VLOOKUP($C70,AMAPit!$A$10:$BJ$122,AC$54,FALSE))</f>
        <v>#N/A</v>
      </c>
      <c r="AD70" s="339" t="e">
        <f>IF($C70="","",VLOOKUP($C70,AMAPit!$A$10:$BJ$122,AD$54,FALSE))</f>
        <v>#N/A</v>
      </c>
      <c r="AE70" s="339" t="e">
        <f>IF($C70="","",VLOOKUP($C70,AMAPit!$A$10:$BJ$122,AE$54,FALSE))</f>
        <v>#N/A</v>
      </c>
      <c r="AF70" s="340" t="e">
        <f>IF($C70="","",VLOOKUP($C70,AMAPit!$A$10:$BJ$122,AF$54,FALSE))</f>
        <v>#N/A</v>
      </c>
      <c r="AG70" s="60" t="e">
        <f>IF($C70="","",VLOOKUP($C70,AMAPit!$A$10:$BJ$122,AG$54,FALSE))</f>
        <v>#N/A</v>
      </c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</row>
    <row r="71" spans="1:52" x14ac:dyDescent="0.25">
      <c r="A71" s="305">
        <v>4</v>
      </c>
      <c r="B71" s="29" t="s">
        <v>11</v>
      </c>
      <c r="C71" s="58" t="s">
        <v>746</v>
      </c>
      <c r="D71" s="30" t="e">
        <f>IF($C71="","",VLOOKUP($C71,AMAPit!$A$10:$BJ$122,D$4-2,FALSE))</f>
        <v>#N/A</v>
      </c>
      <c r="E71" s="30" t="e">
        <f>IF($C71="","",VLOOKUP($C71,AMAPit!$A$10:$BJ$122,E$4-1,FALSE))</f>
        <v>#N/A</v>
      </c>
      <c r="F71" s="345" t="e">
        <f t="shared" si="123"/>
        <v>#N/A</v>
      </c>
      <c r="G71" s="339" t="e">
        <f t="shared" si="124"/>
        <v>#N/A</v>
      </c>
      <c r="H71" s="340" t="e">
        <f t="shared" si="125"/>
        <v>#N/A</v>
      </c>
      <c r="I71" s="92" t="e">
        <f>IF($C71="","",VLOOKUP($C71,AMAPit!$A$10:$BJ$122,I$54,FALSE))</f>
        <v>#N/A</v>
      </c>
      <c r="J71" s="339">
        <f t="shared" si="126"/>
        <v>0</v>
      </c>
      <c r="K71" s="345" t="e">
        <f>IF($C71="","",VLOOKUP($C71,AMAPit!$A$10:$BJ$122,K$54,FALSE))</f>
        <v>#N/A</v>
      </c>
      <c r="L71" s="339" t="e">
        <f>IF($C71="","",VLOOKUP($C71,AMAPit!$A$10:$BJ$122,L$54,FALSE))</f>
        <v>#N/A</v>
      </c>
      <c r="M71" s="340" t="e">
        <f>IF($C71="","",VLOOKUP($C71,AMAPit!$A$10:$BJ$122,M$54,FALSE))</f>
        <v>#N/A</v>
      </c>
      <c r="N71" s="339" t="e">
        <f>IF($C71="","",VLOOKUP($C71,AMAPit!$A$10:$BJ$122,N$54,FALSE))</f>
        <v>#N/A</v>
      </c>
      <c r="O71" s="339" t="e">
        <f>IF($C71="","",VLOOKUP($C71,AMAPit!$A$10:$BJ$122,O$54,FALSE))</f>
        <v>#N/A</v>
      </c>
      <c r="P71" s="339" t="e">
        <f>IF($C71="","",VLOOKUP($C71,AMAPit!$A$10:$BJ$122,P$54,FALSE))</f>
        <v>#N/A</v>
      </c>
      <c r="Q71" s="339" t="e">
        <f>IF($C71="","",VLOOKUP($C71,AMAPit!$A$10:$BJ$122,Q$54,FALSE))</f>
        <v>#N/A</v>
      </c>
      <c r="R71" s="339" t="e">
        <f>IF($C71="","",VLOOKUP($C71,AMAPit!$A$10:$BJ$122,R$54,FALSE))</f>
        <v>#N/A</v>
      </c>
      <c r="S71" s="339" t="e">
        <f>IF($C71="","",VLOOKUP($C71,AMAPit!$A$10:$BJ$122,S$54,FALSE))</f>
        <v>#N/A</v>
      </c>
      <c r="T71" s="339" t="e">
        <f>IF($C71="","",VLOOKUP($C71,AMAPit!$A$10:$BJ$122,T$54,FALSE))</f>
        <v>#N/A</v>
      </c>
      <c r="U71" s="339" t="e">
        <f>IF($C71="","",VLOOKUP($C71,AMAPit!$A$10:$BJ$122,U$54,FALSE))</f>
        <v>#N/A</v>
      </c>
      <c r="V71" s="339" t="e">
        <f>IF($C71="","",VLOOKUP($C71,AMAPit!$A$10:$BJ$122,V$54,FALSE))</f>
        <v>#N/A</v>
      </c>
      <c r="W71" s="339" t="e">
        <f>IF($C71="","",VLOOKUP($C71,AMAPit!$A$10:$BJ$122,W$54,FALSE))</f>
        <v>#N/A</v>
      </c>
      <c r="X71" s="339" t="e">
        <f>IF($C71="","",VLOOKUP($C71,AMAPit!$A$10:$BJ$122,X$54,FALSE))</f>
        <v>#N/A</v>
      </c>
      <c r="Y71" s="340" t="e">
        <f>IF($C71="","",VLOOKUP($C71,AMAPit!$A$10:$BJ$122,Y$54,FALSE))</f>
        <v>#N/A</v>
      </c>
      <c r="Z71" s="345" t="e">
        <f>IF($C71="","",VLOOKUP($C71,AMAPit!$A$10:$BJ$122,Z$54,FALSE))</f>
        <v>#N/A</v>
      </c>
      <c r="AA71" s="339" t="e">
        <f>IF($C71="","",VLOOKUP($C71,AMAPit!$A$10:$BJ$122,AA$54,FALSE))</f>
        <v>#N/A</v>
      </c>
      <c r="AB71" s="73" t="e">
        <f>IF($C71="","",VLOOKUP($C71,AMAPit!$A$10:$BJ$122,AB$54,FALSE))</f>
        <v>#N/A</v>
      </c>
      <c r="AC71" s="60" t="e">
        <f>IF($C71="","",VLOOKUP($C71,AMAPit!$A$10:$BJ$122,AC$54,FALSE))</f>
        <v>#N/A</v>
      </c>
      <c r="AD71" s="339" t="e">
        <f>IF($C71="","",VLOOKUP($C71,AMAPit!$A$10:$BJ$122,AD$54,FALSE))</f>
        <v>#N/A</v>
      </c>
      <c r="AE71" s="339" t="e">
        <f>IF($C71="","",VLOOKUP($C71,AMAPit!$A$10:$BJ$122,AE$54,FALSE))</f>
        <v>#N/A</v>
      </c>
      <c r="AF71" s="340" t="e">
        <f>IF($C71="","",VLOOKUP($C71,AMAPit!$A$10:$BJ$122,AF$54,FALSE))</f>
        <v>#N/A</v>
      </c>
      <c r="AG71" s="60" t="e">
        <f>IF($C71="","",VLOOKUP($C71,AMAPit!$A$10:$BJ$122,AG$54,FALSE))</f>
        <v>#N/A</v>
      </c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</row>
    <row r="72" spans="1:52" x14ac:dyDescent="0.25">
      <c r="A72" s="305">
        <v>5</v>
      </c>
      <c r="B72" s="29" t="s">
        <v>11</v>
      </c>
      <c r="C72" s="58" t="s">
        <v>747</v>
      </c>
      <c r="D72" s="30" t="e">
        <f>IF($C72="","",VLOOKUP($C72,AMAPit!$A$10:$BJ$122,D$4-2,FALSE))</f>
        <v>#N/A</v>
      </c>
      <c r="E72" s="30" t="e">
        <f>IF($C72="","",VLOOKUP($C72,AMAPit!$A$10:$BJ$122,E$4-1,FALSE))</f>
        <v>#N/A</v>
      </c>
      <c r="F72" s="345" t="e">
        <f t="shared" si="123"/>
        <v>#N/A</v>
      </c>
      <c r="G72" s="339" t="e">
        <f t="shared" si="124"/>
        <v>#N/A</v>
      </c>
      <c r="H72" s="340" t="e">
        <f t="shared" si="125"/>
        <v>#N/A</v>
      </c>
      <c r="I72" s="92" t="e">
        <f>IF($C72="","",VLOOKUP($C72,AMAPit!$A$10:$BJ$122,I$54,FALSE))</f>
        <v>#N/A</v>
      </c>
      <c r="J72" s="339">
        <f t="shared" si="126"/>
        <v>0</v>
      </c>
      <c r="K72" s="345" t="e">
        <f>IF($C72="","",VLOOKUP($C72,AMAPit!$A$10:$BJ$122,K$54,FALSE))</f>
        <v>#N/A</v>
      </c>
      <c r="L72" s="339" t="e">
        <f>IF($C72="","",VLOOKUP($C72,AMAPit!$A$10:$BJ$122,L$54,FALSE))</f>
        <v>#N/A</v>
      </c>
      <c r="M72" s="340" t="e">
        <f>IF($C72="","",VLOOKUP($C72,AMAPit!$A$10:$BJ$122,M$54,FALSE))</f>
        <v>#N/A</v>
      </c>
      <c r="N72" s="339" t="e">
        <f>IF($C72="","",VLOOKUP($C72,AMAPit!$A$10:$BJ$122,N$54,FALSE))</f>
        <v>#N/A</v>
      </c>
      <c r="O72" s="339" t="e">
        <f>IF($C72="","",VLOOKUP($C72,AMAPit!$A$10:$BJ$122,O$54,FALSE))</f>
        <v>#N/A</v>
      </c>
      <c r="P72" s="339" t="e">
        <f>IF($C72="","",VLOOKUP($C72,AMAPit!$A$10:$BJ$122,P$54,FALSE))</f>
        <v>#N/A</v>
      </c>
      <c r="Q72" s="339" t="e">
        <f>IF($C72="","",VLOOKUP($C72,AMAPit!$A$10:$BJ$122,Q$54,FALSE))</f>
        <v>#N/A</v>
      </c>
      <c r="R72" s="339" t="e">
        <f>IF($C72="","",VLOOKUP($C72,AMAPit!$A$10:$BJ$122,R$54,FALSE))</f>
        <v>#N/A</v>
      </c>
      <c r="S72" s="339" t="e">
        <f>IF($C72="","",VLOOKUP($C72,AMAPit!$A$10:$BJ$122,S$54,FALSE))</f>
        <v>#N/A</v>
      </c>
      <c r="T72" s="339" t="e">
        <f>IF($C72="","",VLOOKUP($C72,AMAPit!$A$10:$BJ$122,T$54,FALSE))</f>
        <v>#N/A</v>
      </c>
      <c r="U72" s="339" t="e">
        <f>IF($C72="","",VLOOKUP($C72,AMAPit!$A$10:$BJ$122,U$54,FALSE))</f>
        <v>#N/A</v>
      </c>
      <c r="V72" s="339" t="e">
        <f>IF($C72="","",VLOOKUP($C72,AMAPit!$A$10:$BJ$122,V$54,FALSE))</f>
        <v>#N/A</v>
      </c>
      <c r="W72" s="339" t="e">
        <f>IF($C72="","",VLOOKUP($C72,AMAPit!$A$10:$BJ$122,W$54,FALSE))</f>
        <v>#N/A</v>
      </c>
      <c r="X72" s="339" t="e">
        <f>IF($C72="","",VLOOKUP($C72,AMAPit!$A$10:$BJ$122,X$54,FALSE))</f>
        <v>#N/A</v>
      </c>
      <c r="Y72" s="340" t="e">
        <f>IF($C72="","",VLOOKUP($C72,AMAPit!$A$10:$BJ$122,Y$54,FALSE))</f>
        <v>#N/A</v>
      </c>
      <c r="Z72" s="345" t="e">
        <f>IF($C72="","",VLOOKUP($C72,AMAPit!$A$10:$BJ$122,Z$54,FALSE))</f>
        <v>#N/A</v>
      </c>
      <c r="AA72" s="339" t="e">
        <f>IF($C72="","",VLOOKUP($C72,AMAPit!$A$10:$BJ$122,AA$54,FALSE))</f>
        <v>#N/A</v>
      </c>
      <c r="AB72" s="73" t="e">
        <f>IF($C72="","",VLOOKUP($C72,AMAPit!$A$10:$BJ$122,AB$54,FALSE))</f>
        <v>#N/A</v>
      </c>
      <c r="AC72" s="60" t="e">
        <f>IF($C72="","",VLOOKUP($C72,AMAPit!$A$10:$BJ$122,AC$54,FALSE))</f>
        <v>#N/A</v>
      </c>
      <c r="AD72" s="339" t="e">
        <f>IF($C72="","",VLOOKUP($C72,AMAPit!$A$10:$BJ$122,AD$54,FALSE))</f>
        <v>#N/A</v>
      </c>
      <c r="AE72" s="339" t="e">
        <f>IF($C72="","",VLOOKUP($C72,AMAPit!$A$10:$BJ$122,AE$54,FALSE))</f>
        <v>#N/A</v>
      </c>
      <c r="AF72" s="340" t="e">
        <f>IF($C72="","",VLOOKUP($C72,AMAPit!$A$10:$BJ$122,AF$54,FALSE))</f>
        <v>#N/A</v>
      </c>
      <c r="AG72" s="60" t="e">
        <f>IF($C72="","",VLOOKUP($C72,AMAPit!$A$10:$BJ$122,AG$54,FALSE))</f>
        <v>#N/A</v>
      </c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</row>
    <row r="73" spans="1:52" x14ac:dyDescent="0.25">
      <c r="A73" s="305">
        <v>6</v>
      </c>
      <c r="B73" s="29" t="s">
        <v>11</v>
      </c>
      <c r="C73" s="58" t="s">
        <v>577</v>
      </c>
      <c r="D73" s="30" t="e">
        <f>IF($C73="","",VLOOKUP($C73,AMAPit!$A$10:$BJ$122,D$4-2,FALSE))</f>
        <v>#N/A</v>
      </c>
      <c r="E73" s="30" t="e">
        <f>IF($C73="","",VLOOKUP($C73,AMAPit!$A$10:$BJ$122,E$4-1,FALSE))</f>
        <v>#N/A</v>
      </c>
      <c r="F73" s="345" t="e">
        <f t="shared" si="123"/>
        <v>#N/A</v>
      </c>
      <c r="G73" s="339" t="e">
        <f t="shared" si="124"/>
        <v>#N/A</v>
      </c>
      <c r="H73" s="340" t="e">
        <f t="shared" si="125"/>
        <v>#N/A</v>
      </c>
      <c r="I73" s="92" t="e">
        <f>IF($C73="","",VLOOKUP($C73,AMAPit!$A$10:$BJ$122,I$54,FALSE))</f>
        <v>#N/A</v>
      </c>
      <c r="J73" s="339">
        <f t="shared" si="126"/>
        <v>0</v>
      </c>
      <c r="K73" s="345" t="e">
        <f>IF($C73="","",VLOOKUP($C73,AMAPit!$A$10:$BJ$122,K$54,FALSE))</f>
        <v>#N/A</v>
      </c>
      <c r="L73" s="339" t="e">
        <f>IF($C73="","",VLOOKUP($C73,AMAPit!$A$10:$BJ$122,L$54,FALSE))</f>
        <v>#N/A</v>
      </c>
      <c r="M73" s="340" t="e">
        <f>IF($C73="","",VLOOKUP($C73,AMAPit!$A$10:$BJ$122,M$54,FALSE))</f>
        <v>#N/A</v>
      </c>
      <c r="N73" s="339" t="e">
        <f>IF($C73="","",VLOOKUP($C73,AMAPit!$A$10:$BJ$122,N$54,FALSE))</f>
        <v>#N/A</v>
      </c>
      <c r="O73" s="339" t="e">
        <f>IF($C73="","",VLOOKUP($C73,AMAPit!$A$10:$BJ$122,O$54,FALSE))</f>
        <v>#N/A</v>
      </c>
      <c r="P73" s="339" t="e">
        <f>IF($C73="","",VLOOKUP($C73,AMAPit!$A$10:$BJ$122,P$54,FALSE))</f>
        <v>#N/A</v>
      </c>
      <c r="Q73" s="339" t="e">
        <f>IF($C73="","",VLOOKUP($C73,AMAPit!$A$10:$BJ$122,Q$54,FALSE))</f>
        <v>#N/A</v>
      </c>
      <c r="R73" s="339" t="e">
        <f>IF($C73="","",VLOOKUP($C73,AMAPit!$A$10:$BJ$122,R$54,FALSE))</f>
        <v>#N/A</v>
      </c>
      <c r="S73" s="339" t="e">
        <f>IF($C73="","",VLOOKUP($C73,AMAPit!$A$10:$BJ$122,S$54,FALSE))</f>
        <v>#N/A</v>
      </c>
      <c r="T73" s="339" t="e">
        <f>IF($C73="","",VLOOKUP($C73,AMAPit!$A$10:$BJ$122,T$54,FALSE))</f>
        <v>#N/A</v>
      </c>
      <c r="U73" s="339" t="e">
        <f>IF($C73="","",VLOOKUP($C73,AMAPit!$A$10:$BJ$122,U$54,FALSE))</f>
        <v>#N/A</v>
      </c>
      <c r="V73" s="339" t="e">
        <f>IF($C73="","",VLOOKUP($C73,AMAPit!$A$10:$BJ$122,V$54,FALSE))</f>
        <v>#N/A</v>
      </c>
      <c r="W73" s="339" t="e">
        <f>IF($C73="","",VLOOKUP($C73,AMAPit!$A$10:$BJ$122,W$54,FALSE))</f>
        <v>#N/A</v>
      </c>
      <c r="X73" s="339" t="e">
        <f>IF($C73="","",VLOOKUP($C73,AMAPit!$A$10:$BJ$122,X$54,FALSE))</f>
        <v>#N/A</v>
      </c>
      <c r="Y73" s="340" t="e">
        <f>IF($C73="","",VLOOKUP($C73,AMAPit!$A$10:$BJ$122,Y$54,FALSE))</f>
        <v>#N/A</v>
      </c>
      <c r="Z73" s="345" t="e">
        <f>IF($C73="","",VLOOKUP($C73,AMAPit!$A$10:$BJ$122,Z$54,FALSE))</f>
        <v>#N/A</v>
      </c>
      <c r="AA73" s="339" t="e">
        <f>IF($C73="","",VLOOKUP($C73,AMAPit!$A$10:$BJ$122,AA$54,FALSE))</f>
        <v>#N/A</v>
      </c>
      <c r="AB73" s="73" t="e">
        <f>IF($C73="","",VLOOKUP($C73,AMAPit!$A$10:$BJ$122,AB$54,FALSE))</f>
        <v>#N/A</v>
      </c>
      <c r="AC73" s="60" t="e">
        <f>IF($C73="","",VLOOKUP($C73,AMAPit!$A$10:$BJ$122,AC$54,FALSE))</f>
        <v>#N/A</v>
      </c>
      <c r="AD73" s="339" t="e">
        <f>IF($C73="","",VLOOKUP($C73,AMAPit!$A$10:$BJ$122,AD$54,FALSE))</f>
        <v>#N/A</v>
      </c>
      <c r="AE73" s="339" t="e">
        <f>IF($C73="","",VLOOKUP($C73,AMAPit!$A$10:$BJ$122,AE$54,FALSE))</f>
        <v>#N/A</v>
      </c>
      <c r="AF73" s="340" t="e">
        <f>IF($C73="","",VLOOKUP($C73,AMAPit!$A$10:$BJ$122,AF$54,FALSE))</f>
        <v>#N/A</v>
      </c>
      <c r="AG73" s="60" t="e">
        <f>IF($C73="","",VLOOKUP($C73,AMAPit!$A$10:$BJ$122,AG$54,FALSE))</f>
        <v>#N/A</v>
      </c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</row>
    <row r="74" spans="1:52" x14ac:dyDescent="0.25">
      <c r="A74" s="305">
        <v>7</v>
      </c>
      <c r="B74" s="29" t="s">
        <v>11</v>
      </c>
      <c r="C74" s="58" t="s">
        <v>748</v>
      </c>
      <c r="D74" s="30" t="e">
        <f>IF($C74="","",VLOOKUP($C74,AMAPit!$A$10:$BJ$122,D$4-2,FALSE))</f>
        <v>#N/A</v>
      </c>
      <c r="E74" s="30" t="e">
        <f>IF($C74="","",VLOOKUP($C74,AMAPit!$A$10:$BJ$122,E$4-1,FALSE))</f>
        <v>#N/A</v>
      </c>
      <c r="F74" s="345" t="e">
        <f t="shared" si="123"/>
        <v>#N/A</v>
      </c>
      <c r="G74" s="339" t="e">
        <f t="shared" si="124"/>
        <v>#N/A</v>
      </c>
      <c r="H74" s="340" t="e">
        <f t="shared" si="125"/>
        <v>#N/A</v>
      </c>
      <c r="I74" s="92" t="e">
        <f>IF($C74="","",VLOOKUP($C74,AMAPit!$A$10:$BJ$122,I$54,FALSE))</f>
        <v>#N/A</v>
      </c>
      <c r="J74" s="339">
        <f t="shared" si="126"/>
        <v>0</v>
      </c>
      <c r="K74" s="345" t="e">
        <f>IF($C74="","",VLOOKUP($C74,AMAPit!$A$10:$BJ$122,K$54,FALSE))</f>
        <v>#N/A</v>
      </c>
      <c r="L74" s="339" t="e">
        <f>IF($C74="","",VLOOKUP($C74,AMAPit!$A$10:$BJ$122,L$54,FALSE))</f>
        <v>#N/A</v>
      </c>
      <c r="M74" s="340" t="e">
        <f>IF($C74="","",VLOOKUP($C74,AMAPit!$A$10:$BJ$122,M$54,FALSE))</f>
        <v>#N/A</v>
      </c>
      <c r="N74" s="339" t="e">
        <f>IF($C74="","",VLOOKUP($C74,AMAPit!$A$10:$BJ$122,N$54,FALSE))</f>
        <v>#N/A</v>
      </c>
      <c r="O74" s="339" t="e">
        <f>IF($C74="","",VLOOKUP($C74,AMAPit!$A$10:$BJ$122,O$54,FALSE))</f>
        <v>#N/A</v>
      </c>
      <c r="P74" s="339" t="e">
        <f>IF($C74="","",VLOOKUP($C74,AMAPit!$A$10:$BJ$122,P$54,FALSE))</f>
        <v>#N/A</v>
      </c>
      <c r="Q74" s="339" t="e">
        <f>IF($C74="","",VLOOKUP($C74,AMAPit!$A$10:$BJ$122,Q$54,FALSE))</f>
        <v>#N/A</v>
      </c>
      <c r="R74" s="339" t="e">
        <f>IF($C74="","",VLOOKUP($C74,AMAPit!$A$10:$BJ$122,R$54,FALSE))</f>
        <v>#N/A</v>
      </c>
      <c r="S74" s="339" t="e">
        <f>IF($C74="","",VLOOKUP($C74,AMAPit!$A$10:$BJ$122,S$54,FALSE))</f>
        <v>#N/A</v>
      </c>
      <c r="T74" s="339" t="e">
        <f>IF($C74="","",VLOOKUP($C74,AMAPit!$A$10:$BJ$122,T$54,FALSE))</f>
        <v>#N/A</v>
      </c>
      <c r="U74" s="339" t="e">
        <f>IF($C74="","",VLOOKUP($C74,AMAPit!$A$10:$BJ$122,U$54,FALSE))</f>
        <v>#N/A</v>
      </c>
      <c r="V74" s="339" t="e">
        <f>IF($C74="","",VLOOKUP($C74,AMAPit!$A$10:$BJ$122,V$54,FALSE))</f>
        <v>#N/A</v>
      </c>
      <c r="W74" s="339" t="e">
        <f>IF($C74="","",VLOOKUP($C74,AMAPit!$A$10:$BJ$122,W$54,FALSE))</f>
        <v>#N/A</v>
      </c>
      <c r="X74" s="339" t="e">
        <f>IF($C74="","",VLOOKUP($C74,AMAPit!$A$10:$BJ$122,X$54,FALSE))</f>
        <v>#N/A</v>
      </c>
      <c r="Y74" s="340" t="e">
        <f>IF($C74="","",VLOOKUP($C74,AMAPit!$A$10:$BJ$122,Y$54,FALSE))</f>
        <v>#N/A</v>
      </c>
      <c r="Z74" s="345" t="e">
        <f>IF($C74="","",VLOOKUP($C74,AMAPit!$A$10:$BJ$122,Z$54,FALSE))</f>
        <v>#N/A</v>
      </c>
      <c r="AA74" s="339" t="e">
        <f>IF($C74="","",VLOOKUP($C74,AMAPit!$A$10:$BJ$122,AA$54,FALSE))</f>
        <v>#N/A</v>
      </c>
      <c r="AB74" s="73" t="e">
        <f>IF($C74="","",VLOOKUP($C74,AMAPit!$A$10:$BJ$122,AB$54,FALSE))</f>
        <v>#N/A</v>
      </c>
      <c r="AC74" s="60" t="e">
        <f>IF($C74="","",VLOOKUP($C74,AMAPit!$A$10:$BJ$122,AC$54,FALSE))</f>
        <v>#N/A</v>
      </c>
      <c r="AD74" s="339" t="e">
        <f>IF($C74="","",VLOOKUP($C74,AMAPit!$A$10:$BJ$122,AD$54,FALSE))</f>
        <v>#N/A</v>
      </c>
      <c r="AE74" s="339" t="e">
        <f>IF($C74="","",VLOOKUP($C74,AMAPit!$A$10:$BJ$122,AE$54,FALSE))</f>
        <v>#N/A</v>
      </c>
      <c r="AF74" s="340" t="e">
        <f>IF($C74="","",VLOOKUP($C74,AMAPit!$A$10:$BJ$122,AF$54,FALSE))</f>
        <v>#N/A</v>
      </c>
      <c r="AG74" s="60" t="e">
        <f>IF($C74="","",VLOOKUP($C74,AMAPit!$A$10:$BJ$122,AG$54,FALSE))</f>
        <v>#N/A</v>
      </c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</row>
    <row r="75" spans="1:52" x14ac:dyDescent="0.25">
      <c r="A75" s="305">
        <v>8</v>
      </c>
      <c r="B75" s="29" t="s">
        <v>11</v>
      </c>
      <c r="C75" s="58"/>
      <c r="D75" s="30" t="str">
        <f>IF($C75="","",VLOOKUP($C75,AMAPit!$A$10:$BJ$122,D$4-2,FALSE))</f>
        <v/>
      </c>
      <c r="E75" s="30" t="str">
        <f>IF($C75="","",VLOOKUP($C75,AMAPit!$A$10:$BJ$125,E$4-1,FALSE))</f>
        <v/>
      </c>
      <c r="F75" s="345" t="str">
        <f t="shared" si="123"/>
        <v/>
      </c>
      <c r="G75" s="339" t="str">
        <f t="shared" si="124"/>
        <v/>
      </c>
      <c r="H75" s="340" t="str">
        <f t="shared" si="125"/>
        <v/>
      </c>
      <c r="I75" s="92" t="str">
        <f>IF($C75="","",VLOOKUP($C75,AMAPit!$A$10:$BJ$122,I$54,FALSE))</f>
        <v/>
      </c>
      <c r="J75" s="339" t="str">
        <f t="shared" si="126"/>
        <v/>
      </c>
      <c r="K75" s="345" t="str">
        <f>IF($C75="","",VLOOKUP($C75,AMAPit!$A$10:$BJ$122,K$54,FALSE))</f>
        <v/>
      </c>
      <c r="L75" s="339" t="str">
        <f>IF($C75="","",VLOOKUP($C75,AMAPit!$A$10:$BJ$122,L$54,FALSE))</f>
        <v/>
      </c>
      <c r="M75" s="340" t="str">
        <f>IF($C75="","",VLOOKUP($C75,AMAPit!$A$10:$BJ$122,M$54,FALSE))</f>
        <v/>
      </c>
      <c r="N75" s="339" t="str">
        <f>IF($C75="","",VLOOKUP($C75,AMAPit!$A$10:$BJ$122,N$54,FALSE))</f>
        <v/>
      </c>
      <c r="O75" s="339" t="str">
        <f>IF($C75="","",VLOOKUP($C75,AMAPit!$A$10:$BJ$122,O$54,FALSE))</f>
        <v/>
      </c>
      <c r="P75" s="339" t="str">
        <f>IF($C75="","",VLOOKUP($C75,AMAPit!$A$10:$BJ$122,P$54,FALSE))</f>
        <v/>
      </c>
      <c r="Q75" s="339" t="str">
        <f>IF($C75="","",VLOOKUP($C75,AMAPit!$A$10:$BJ$122,Q$54,FALSE))</f>
        <v/>
      </c>
      <c r="R75" s="339" t="str">
        <f>IF($C75="","",VLOOKUP($C75,AMAPit!$A$10:$BJ$122,R$54,FALSE))</f>
        <v/>
      </c>
      <c r="S75" s="339" t="str">
        <f>IF($C75="","",VLOOKUP($C75,AMAPit!$A$10:$BJ$122,S$54,FALSE))</f>
        <v/>
      </c>
      <c r="T75" s="339" t="str">
        <f>IF($C75="","",VLOOKUP($C75,AMAPit!$A$10:$BJ$122,T$54,FALSE))</f>
        <v/>
      </c>
      <c r="U75" s="339" t="str">
        <f>IF($C75="","",VLOOKUP($C75,AMAPit!$A$10:$BJ$122,U$54,FALSE))</f>
        <v/>
      </c>
      <c r="V75" s="339" t="str">
        <f>IF($C75="","",VLOOKUP($C75,AMAPit!$A$10:$BJ$122,V$54,FALSE))</f>
        <v/>
      </c>
      <c r="W75" s="339" t="str">
        <f>IF($C75="","",VLOOKUP($C75,AMAPit!$A$10:$BJ$122,W$54,FALSE))</f>
        <v/>
      </c>
      <c r="X75" s="339" t="str">
        <f>IF($C75="","",VLOOKUP($C75,AMAPit!$A$10:$BJ$122,X$54,FALSE))</f>
        <v/>
      </c>
      <c r="Y75" s="340" t="str">
        <f>IF($C75="","",VLOOKUP($C75,AMAPit!$A$10:$BJ$122,Y$54,FALSE))</f>
        <v/>
      </c>
      <c r="Z75" s="345" t="str">
        <f>IF($C75="","",VLOOKUP($C75,AMAPit!$A$10:$BJ$122,Z$54,FALSE))</f>
        <v/>
      </c>
      <c r="AA75" s="339" t="str">
        <f>IF($C75="","",VLOOKUP($C75,AMAPit!$A$10:$BJ$122,AA$54,FALSE))</f>
        <v/>
      </c>
      <c r="AB75" s="73" t="str">
        <f>IF($C75="","",VLOOKUP($C75,AMAPit!$A$10:$BJ$122,AB$54,FALSE))</f>
        <v/>
      </c>
      <c r="AC75" s="60" t="str">
        <f>IF($C75="","",VLOOKUP($C75,AMAPit!$A$10:$BJ$122,AC$54,FALSE))</f>
        <v/>
      </c>
      <c r="AD75" s="339" t="str">
        <f>IF($C75="","",VLOOKUP($C75,AMAPit!$A$10:$BJ$122,AD$54,FALSE))</f>
        <v/>
      </c>
      <c r="AE75" s="339" t="str">
        <f>IF($C75="","",VLOOKUP($C75,AMAPit!$A$10:$BJ$122,AE$54,FALSE))</f>
        <v/>
      </c>
      <c r="AF75" s="340" t="str">
        <f>IF($C75="","",VLOOKUP($C75,AMAPit!$A$10:$BJ$122,AF$54,FALSE))</f>
        <v/>
      </c>
      <c r="AG75" s="60" t="str">
        <f>IF($C75="","",VLOOKUP($C75,AMAPit!$A$10:$BJ$122,AG$54,FALSE))</f>
        <v/>
      </c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</row>
    <row r="76" spans="1:52" x14ac:dyDescent="0.25">
      <c r="A76" s="305">
        <v>9</v>
      </c>
      <c r="B76" s="29" t="s">
        <v>11</v>
      </c>
      <c r="C76" s="58"/>
      <c r="D76" s="30" t="str">
        <f>IF($C76="","",VLOOKUP($C76,AMAPit!$A$10:$BJ$122,D$4-2,FALSE))</f>
        <v/>
      </c>
      <c r="E76" s="30" t="str">
        <f>IF($C76="","",VLOOKUP($C76,AMAPit!$A$10:$BJ$125,E$4-1,FALSE))</f>
        <v/>
      </c>
      <c r="F76" s="345" t="str">
        <f t="shared" si="123"/>
        <v/>
      </c>
      <c r="G76" s="339" t="str">
        <f t="shared" si="124"/>
        <v/>
      </c>
      <c r="H76" s="340" t="str">
        <f t="shared" si="125"/>
        <v/>
      </c>
      <c r="I76" s="92" t="str">
        <f>IF($C76="","",VLOOKUP($C76,AMAPit!$A$10:$BJ$122,I$54,FALSE))</f>
        <v/>
      </c>
      <c r="J76" s="339" t="str">
        <f t="shared" si="126"/>
        <v/>
      </c>
      <c r="K76" s="345" t="str">
        <f>IF($C76="","",VLOOKUP($C76,AMAPit!$A$10:$BJ$122,K$54,FALSE))</f>
        <v/>
      </c>
      <c r="L76" s="339" t="str">
        <f>IF($C76="","",VLOOKUP($C76,AMAPit!$A$10:$BJ$122,L$54,FALSE))</f>
        <v/>
      </c>
      <c r="M76" s="340" t="str">
        <f>IF($C76="","",VLOOKUP($C76,AMAPit!$A$10:$BJ$122,M$54,FALSE))</f>
        <v/>
      </c>
      <c r="N76" s="339" t="str">
        <f>IF($C76="","",VLOOKUP($C76,AMAPit!$A$10:$BJ$122,N$54,FALSE))</f>
        <v/>
      </c>
      <c r="O76" s="339" t="str">
        <f>IF($C76="","",VLOOKUP($C76,AMAPit!$A$10:$BJ$122,O$54,FALSE))</f>
        <v/>
      </c>
      <c r="P76" s="339" t="str">
        <f>IF($C76="","",VLOOKUP($C76,AMAPit!$A$10:$BJ$122,P$54,FALSE))</f>
        <v/>
      </c>
      <c r="Q76" s="339" t="str">
        <f>IF($C76="","",VLOOKUP($C76,AMAPit!$A$10:$BJ$122,Q$54,FALSE))</f>
        <v/>
      </c>
      <c r="R76" s="339" t="str">
        <f>IF($C76="","",VLOOKUP($C76,AMAPit!$A$10:$BJ$122,R$54,FALSE))</f>
        <v/>
      </c>
      <c r="S76" s="339" t="str">
        <f>IF($C76="","",VLOOKUP($C76,AMAPit!$A$10:$BJ$122,S$54,FALSE))</f>
        <v/>
      </c>
      <c r="T76" s="339" t="str">
        <f>IF($C76="","",VLOOKUP($C76,AMAPit!$A$10:$BJ$122,T$54,FALSE))</f>
        <v/>
      </c>
      <c r="U76" s="339" t="str">
        <f>IF($C76="","",VLOOKUP($C76,AMAPit!$A$10:$BJ$122,U$54,FALSE))</f>
        <v/>
      </c>
      <c r="V76" s="339" t="str">
        <f>IF($C76="","",VLOOKUP($C76,AMAPit!$A$10:$BJ$122,V$54,FALSE))</f>
        <v/>
      </c>
      <c r="W76" s="339" t="str">
        <f>IF($C76="","",VLOOKUP($C76,AMAPit!$A$10:$BJ$122,W$54,FALSE))</f>
        <v/>
      </c>
      <c r="X76" s="339" t="str">
        <f>IF($C76="","",VLOOKUP($C76,AMAPit!$A$10:$BJ$122,X$54,FALSE))</f>
        <v/>
      </c>
      <c r="Y76" s="340" t="str">
        <f>IF($C76="","",VLOOKUP($C76,AMAPit!$A$10:$BJ$122,Y$54,FALSE))</f>
        <v/>
      </c>
      <c r="Z76" s="345" t="str">
        <f>IF($C76="","",VLOOKUP($C76,AMAPit!$A$10:$BJ$122,Z$54,FALSE))</f>
        <v/>
      </c>
      <c r="AA76" s="339" t="str">
        <f>IF($C76="","",VLOOKUP($C76,AMAPit!$A$10:$BJ$122,AA$54,FALSE))</f>
        <v/>
      </c>
      <c r="AB76" s="73" t="str">
        <f>IF($C76="","",VLOOKUP($C76,AMAPit!$A$10:$BJ$122,AB$54,FALSE))</f>
        <v/>
      </c>
      <c r="AC76" s="60" t="str">
        <f>IF($C76="","",VLOOKUP($C76,AMAPit!$A$10:$BJ$122,AC$54,FALSE))</f>
        <v/>
      </c>
      <c r="AD76" s="339" t="str">
        <f>IF($C76="","",VLOOKUP($C76,AMAPit!$A$10:$BJ$122,AD$54,FALSE))</f>
        <v/>
      </c>
      <c r="AE76" s="339" t="str">
        <f>IF($C76="","",VLOOKUP($C76,AMAPit!$A$10:$BJ$122,AE$54,FALSE))</f>
        <v/>
      </c>
      <c r="AF76" s="340" t="str">
        <f>IF($C76="","",VLOOKUP($C76,AMAPit!$A$10:$BJ$122,AF$54,FALSE))</f>
        <v/>
      </c>
      <c r="AG76" s="60" t="str">
        <f>IF($C76="","",VLOOKUP($C76,AMAPit!$A$10:$BJ$122,AG$54,FALSE))</f>
        <v/>
      </c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</row>
    <row r="77" spans="1:52" x14ac:dyDescent="0.25">
      <c r="A77" s="305">
        <v>10</v>
      </c>
      <c r="B77" s="32" t="s">
        <v>11</v>
      </c>
      <c r="C77" s="33"/>
      <c r="D77" s="33" t="str">
        <f>IF($C77="","",VLOOKUP($C77,AMAPit!$A$10:$BJ$122,D$4-2,FALSE))</f>
        <v/>
      </c>
      <c r="E77" s="33" t="str">
        <f>IF($C77="","",VLOOKUP($C77,AMAPit!$A$10:$BJ$125,E$4-1,FALSE))</f>
        <v/>
      </c>
      <c r="F77" s="47" t="str">
        <f t="shared" si="123"/>
        <v/>
      </c>
      <c r="G77" s="337" t="str">
        <f t="shared" si="124"/>
        <v/>
      </c>
      <c r="H77" s="338" t="str">
        <f t="shared" si="125"/>
        <v/>
      </c>
      <c r="I77" s="93" t="str">
        <f>IF($C77="","",VLOOKUP($C77,AMAPit!$A$10:$BJ$122,I$54,FALSE))</f>
        <v/>
      </c>
      <c r="J77" s="337" t="str">
        <f t="shared" si="126"/>
        <v/>
      </c>
      <c r="K77" s="47" t="str">
        <f>IF($C77="","",VLOOKUP($C77,AMAPit!$A$10:$BJ$122,K$54,FALSE))</f>
        <v/>
      </c>
      <c r="L77" s="337" t="str">
        <f>IF($C77="","",VLOOKUP($C77,AMAPit!$A$10:$BJ$122,L$54,FALSE))</f>
        <v/>
      </c>
      <c r="M77" s="338" t="str">
        <f>IF($C77="","",VLOOKUP($C77,AMAPit!$A$10:$BJ$122,M$54,FALSE))</f>
        <v/>
      </c>
      <c r="N77" s="337" t="str">
        <f>IF($C77="","",VLOOKUP($C77,AMAPit!$A$10:$BJ$122,N$54,FALSE))</f>
        <v/>
      </c>
      <c r="O77" s="337" t="str">
        <f>IF($C77="","",VLOOKUP($C77,AMAPit!$A$10:$BJ$122,O$54,FALSE))</f>
        <v/>
      </c>
      <c r="P77" s="337" t="str">
        <f>IF($C77="","",VLOOKUP($C77,AMAPit!$A$10:$BJ$122,P$54,FALSE))</f>
        <v/>
      </c>
      <c r="Q77" s="337" t="str">
        <f>IF($C77="","",VLOOKUP($C77,AMAPit!$A$10:$BJ$122,Q$54,FALSE))</f>
        <v/>
      </c>
      <c r="R77" s="337" t="str">
        <f>IF($C77="","",VLOOKUP($C77,AMAPit!$A$10:$BJ$122,R$54,FALSE))</f>
        <v/>
      </c>
      <c r="S77" s="337" t="str">
        <f>IF($C77="","",VLOOKUP($C77,AMAPit!$A$10:$BJ$122,S$54,FALSE))</f>
        <v/>
      </c>
      <c r="T77" s="337" t="str">
        <f>IF($C77="","",VLOOKUP($C77,AMAPit!$A$10:$BJ$122,T$54,FALSE))</f>
        <v/>
      </c>
      <c r="U77" s="337" t="str">
        <f>IF($C77="","",VLOOKUP($C77,AMAPit!$A$10:$BJ$122,U$54,FALSE))</f>
        <v/>
      </c>
      <c r="V77" s="337" t="str">
        <f>IF($C77="","",VLOOKUP($C77,AMAPit!$A$10:$BJ$122,V$54,FALSE))</f>
        <v/>
      </c>
      <c r="W77" s="337" t="str">
        <f>IF($C77="","",VLOOKUP($C77,AMAPit!$A$10:$BJ$122,W$54,FALSE))</f>
        <v/>
      </c>
      <c r="X77" s="337" t="str">
        <f>IF($C77="","",VLOOKUP($C77,AMAPit!$A$10:$BJ$122,X$54,FALSE))</f>
        <v/>
      </c>
      <c r="Y77" s="338" t="str">
        <f>IF($C77="","",VLOOKUP($C77,AMAPit!$A$10:$BJ$122,Y$54,FALSE))</f>
        <v/>
      </c>
      <c r="Z77" s="47" t="str">
        <f>IF($C77="","",VLOOKUP($C77,AMAPit!$A$10:$BJ$122,Z$54,FALSE))</f>
        <v/>
      </c>
      <c r="AA77" s="337" t="str">
        <f>IF($C77="","",VLOOKUP($C77,AMAPit!$A$10:$BJ$122,AA$54,FALSE))</f>
        <v/>
      </c>
      <c r="AB77" s="74" t="str">
        <f>IF($C77="","",VLOOKUP($C77,AMAPit!$A$10:$BJ$122,AB$54,FALSE))</f>
        <v/>
      </c>
      <c r="AC77" s="61" t="str">
        <f>IF($C77="","",VLOOKUP($C77,AMAPit!$A$10:$BJ$122,AC$54,FALSE))</f>
        <v/>
      </c>
      <c r="AD77" s="337" t="str">
        <f>IF($C77="","",VLOOKUP($C77,AMAPit!$A$10:$BJ$122,AD$54,FALSE))</f>
        <v/>
      </c>
      <c r="AE77" s="337" t="str">
        <f>IF($C77="","",VLOOKUP($C77,AMAPit!$A$10:$BJ$122,AE$54,FALSE))</f>
        <v/>
      </c>
      <c r="AF77" s="338" t="str">
        <f>IF($C77="","",VLOOKUP($C77,AMAPit!$A$10:$BJ$122,AF$54,FALSE))</f>
        <v/>
      </c>
      <c r="AG77" s="61" t="str">
        <f>IF($C77="","",VLOOKUP($C77,AMAPit!$A$10:$BJ$122,AG$54,FALSE))</f>
        <v/>
      </c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</row>
  </sheetData>
  <mergeCells count="22">
    <mergeCell ref="AH49:AT49"/>
    <mergeCell ref="AH50:AT50"/>
    <mergeCell ref="AH51:AT51"/>
    <mergeCell ref="AH44:AT44"/>
    <mergeCell ref="AH45:AT45"/>
    <mergeCell ref="AH46:AT46"/>
    <mergeCell ref="AH47:AT47"/>
    <mergeCell ref="AH48:AT48"/>
    <mergeCell ref="AH34:AT34"/>
    <mergeCell ref="AH35:AT35"/>
    <mergeCell ref="AG41:AT41"/>
    <mergeCell ref="AH42:AT42"/>
    <mergeCell ref="AH43:AT43"/>
    <mergeCell ref="AH36:AT36"/>
    <mergeCell ref="AH37:AT37"/>
    <mergeCell ref="AH38:AT38"/>
    <mergeCell ref="AH39:AT39"/>
    <mergeCell ref="AG29:AT29"/>
    <mergeCell ref="AH30:AT30"/>
    <mergeCell ref="AH31:AT31"/>
    <mergeCell ref="AH32:AT32"/>
    <mergeCell ref="AH33:AT33"/>
  </mergeCells>
  <conditionalFormatting sqref="G16">
    <cfRule type="expression" dxfId="61" priority="15">
      <formula>IF(SUM(G17:G22)&gt;1,1,0)</formula>
    </cfRule>
  </conditionalFormatting>
  <conditionalFormatting sqref="H16">
    <cfRule type="expression" dxfId="60" priority="14">
      <formula>IF(SUM(H17:H22)&gt;1,1,0)</formula>
    </cfRule>
  </conditionalFormatting>
  <conditionalFormatting sqref="F16">
    <cfRule type="expression" dxfId="59" priority="13">
      <formula>IF(SUM(F17:F22)&gt;1,1,0)</formula>
    </cfRule>
  </conditionalFormatting>
  <conditionalFormatting sqref="I5">
    <cfRule type="expression" dxfId="58" priority="12">
      <formula>-IF(SUM(I6:I14)&gt;1,1,0)</formula>
    </cfRule>
  </conditionalFormatting>
  <conditionalFormatting sqref="H5">
    <cfRule type="expression" dxfId="57" priority="11">
      <formula>-IF(SUM(H6:H14)&gt;1,1,0)</formula>
    </cfRule>
  </conditionalFormatting>
  <conditionalFormatting sqref="F24">
    <cfRule type="expression" dxfId="56" priority="10">
      <formula>IF(SUM($F$22:$F$24)&gt;1,1,0)</formula>
    </cfRule>
  </conditionalFormatting>
  <conditionalFormatting sqref="F55">
    <cfRule type="expression" dxfId="55" priority="9">
      <formula>IF(SUM($F$53:$F$58)&gt;1,1,0)</formula>
    </cfRule>
  </conditionalFormatting>
  <conditionalFormatting sqref="H55">
    <cfRule type="expression" dxfId="54" priority="8">
      <formula>IF(SUM($H$53:$H$58)&gt;3,1,0)</formula>
    </cfRule>
  </conditionalFormatting>
  <conditionalFormatting sqref="G55">
    <cfRule type="expression" dxfId="53" priority="7">
      <formula>IF(SUM($G$53:$G$58)&gt;2,1,0)</formula>
    </cfRule>
  </conditionalFormatting>
  <conditionalFormatting sqref="C25:C27 C17:C22 C6:C14">
    <cfRule type="expression" dxfId="52" priority="5">
      <formula>IF($AK6&lt;4.5,1,0)</formula>
    </cfRule>
    <cfRule type="expression" dxfId="51" priority="6">
      <formula>IF($AK6&gt;7,1,0)</formula>
    </cfRule>
  </conditionalFormatting>
  <conditionalFormatting sqref="C18">
    <cfRule type="expression" dxfId="50" priority="3">
      <formula>IF($AK18&lt;4.5,1,0)</formula>
    </cfRule>
    <cfRule type="expression" dxfId="49" priority="4">
      <formula>IF($AK18&gt;7,1,0)</formula>
    </cfRule>
  </conditionalFormatting>
  <conditionalFormatting sqref="F5">
    <cfRule type="expression" dxfId="48" priority="2">
      <formula>IF(SUM(F6:F14)&gt;1,1,0)</formula>
    </cfRule>
  </conditionalFormatting>
  <conditionalFormatting sqref="G5">
    <cfRule type="expression" dxfId="47" priority="1">
      <formula>IF(SUM(G6:G14)&gt;1,1,0)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rgb="FFFFC000"/>
  </sheetPr>
  <dimension ref="A1:AZ77"/>
  <sheetViews>
    <sheetView topLeftCell="A54" zoomScale="85" zoomScaleNormal="85" workbookViewId="0">
      <selection activeCell="C58" sqref="C58"/>
    </sheetView>
  </sheetViews>
  <sheetFormatPr defaultRowHeight="15" x14ac:dyDescent="0.25"/>
  <cols>
    <col min="1" max="1" width="3.140625" customWidth="1"/>
    <col min="2" max="2" width="10.7109375" style="1" bestFit="1" customWidth="1"/>
    <col min="3" max="3" width="20" style="19" bestFit="1" customWidth="1"/>
    <col min="4" max="4" width="4.5703125" style="19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C1" s="253" t="s">
        <v>355</v>
      </c>
      <c r="D1" s="253" t="s">
        <v>356</v>
      </c>
    </row>
    <row r="2" spans="1:52" x14ac:dyDescent="0.25">
      <c r="B2" s="253" t="s">
        <v>357</v>
      </c>
      <c r="C2" s="254">
        <v>4.5</v>
      </c>
      <c r="D2" s="254">
        <v>4</v>
      </c>
    </row>
    <row r="3" spans="1:52" x14ac:dyDescent="0.25">
      <c r="B3" s="253" t="s">
        <v>358</v>
      </c>
      <c r="C3" s="254">
        <v>5</v>
      </c>
      <c r="D3" s="254">
        <v>4</v>
      </c>
    </row>
    <row r="4" spans="1:52" x14ac:dyDescent="0.25">
      <c r="A4" s="305"/>
      <c r="D4" s="19">
        <v>12</v>
      </c>
      <c r="E4" s="19">
        <v>13</v>
      </c>
      <c r="F4" s="305"/>
      <c r="G4" s="305"/>
      <c r="H4" s="305"/>
      <c r="I4" s="305"/>
      <c r="J4" s="305">
        <v>31</v>
      </c>
      <c r="K4" s="305">
        <v>29</v>
      </c>
      <c r="L4" s="305">
        <v>30</v>
      </c>
      <c r="M4" s="305">
        <v>32</v>
      </c>
      <c r="N4" s="305">
        <v>33</v>
      </c>
      <c r="O4" s="305">
        <v>34</v>
      </c>
      <c r="P4" s="305">
        <v>35</v>
      </c>
      <c r="Q4" s="305">
        <v>36</v>
      </c>
      <c r="R4" s="305">
        <v>37</v>
      </c>
      <c r="S4" s="305">
        <v>38</v>
      </c>
      <c r="T4" s="305">
        <v>39</v>
      </c>
      <c r="U4" s="305"/>
      <c r="V4" s="305"/>
      <c r="W4" s="305"/>
      <c r="X4" s="305"/>
      <c r="Y4" s="305"/>
      <c r="Z4" s="305"/>
      <c r="AA4" s="305"/>
      <c r="AB4" s="305"/>
      <c r="AC4" s="305"/>
      <c r="AD4" s="305">
        <v>19</v>
      </c>
      <c r="AE4" s="305">
        <v>20</v>
      </c>
      <c r="AF4" s="305">
        <v>21</v>
      </c>
      <c r="AG4" s="305">
        <v>22</v>
      </c>
      <c r="AH4" s="305">
        <v>23</v>
      </c>
      <c r="AI4" s="305">
        <v>40</v>
      </c>
      <c r="AJ4" s="305">
        <v>41</v>
      </c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>
        <v>24</v>
      </c>
      <c r="AV4" s="305">
        <v>25</v>
      </c>
      <c r="AW4" s="305">
        <v>26</v>
      </c>
      <c r="AX4" s="305">
        <v>27</v>
      </c>
      <c r="AY4" s="305">
        <v>28</v>
      </c>
      <c r="AZ4" s="305"/>
    </row>
    <row r="5" spans="1:52" s="17" customFormat="1" ht="215.25" customHeight="1" x14ac:dyDescent="0.25">
      <c r="A5" s="18" t="s">
        <v>170</v>
      </c>
      <c r="B5" s="341" t="s">
        <v>102</v>
      </c>
      <c r="C5" s="37" t="str">
        <f>"Player ("&amp;COUNTA(C6:C14)&amp;")"</f>
        <v>Player (2)</v>
      </c>
      <c r="D5" s="37" t="s">
        <v>70</v>
      </c>
      <c r="E5" s="37" t="s">
        <v>80</v>
      </c>
      <c r="F5" s="44" t="e">
        <f>"Only 1 guy who plays only 1B ("&amp;SUM(F6:F14)&amp;")"</f>
        <v>#N/A</v>
      </c>
      <c r="G5" s="38" t="e">
        <f>"Only 1 guy who can only play 1B or LF ("&amp;SUM(G6:G14)&amp;")"</f>
        <v>#N/A</v>
      </c>
      <c r="H5" s="39" t="e">
        <f>"2 guys with RF arms ("&amp;SUM(H6:H14)&amp;")"</f>
        <v>#N/A</v>
      </c>
      <c r="I5" s="39" t="str">
        <f>"2 guys with CF range ("&amp;SUM(I6:I14)&amp;")"</f>
        <v>2 guys with CF range (0)</v>
      </c>
      <c r="J5" s="48" t="s">
        <v>114</v>
      </c>
      <c r="K5" s="40" t="s">
        <v>112</v>
      </c>
      <c r="L5" s="49" t="s">
        <v>113</v>
      </c>
      <c r="M5" s="41" t="s">
        <v>71</v>
      </c>
      <c r="N5" s="41" t="s">
        <v>73</v>
      </c>
      <c r="O5" s="41" t="s">
        <v>74</v>
      </c>
      <c r="P5" s="41" t="s">
        <v>75</v>
      </c>
      <c r="Q5" s="41" t="s">
        <v>76</v>
      </c>
      <c r="R5" s="41" t="s">
        <v>77</v>
      </c>
      <c r="S5" s="41" t="s">
        <v>78</v>
      </c>
      <c r="T5" s="42" t="s">
        <v>79</v>
      </c>
      <c r="U5" s="44" t="s">
        <v>115</v>
      </c>
      <c r="V5" s="38" t="s">
        <v>158</v>
      </c>
      <c r="W5" s="38" t="s">
        <v>116</v>
      </c>
      <c r="X5" s="38" t="s">
        <v>132</v>
      </c>
      <c r="Y5" s="38" t="s">
        <v>131</v>
      </c>
      <c r="Z5" s="38" t="s">
        <v>119</v>
      </c>
      <c r="AA5" s="38" t="s">
        <v>120</v>
      </c>
      <c r="AB5" s="38" t="s">
        <v>136</v>
      </c>
      <c r="AC5" s="53" t="s">
        <v>121</v>
      </c>
      <c r="AD5" s="41" t="s">
        <v>125</v>
      </c>
      <c r="AE5" s="41" t="s">
        <v>126</v>
      </c>
      <c r="AF5" s="41" t="s">
        <v>127</v>
      </c>
      <c r="AG5" s="41" t="s">
        <v>128</v>
      </c>
      <c r="AH5" s="41" t="s">
        <v>21</v>
      </c>
      <c r="AI5" s="56" t="s">
        <v>129</v>
      </c>
      <c r="AJ5" s="42" t="s">
        <v>130</v>
      </c>
      <c r="AK5" s="59" t="s">
        <v>134</v>
      </c>
      <c r="AL5" s="44" t="s">
        <v>115</v>
      </c>
      <c r="AM5" s="38" t="s">
        <v>158</v>
      </c>
      <c r="AN5" s="38" t="s">
        <v>116</v>
      </c>
      <c r="AO5" s="38" t="s">
        <v>132</v>
      </c>
      <c r="AP5" s="38" t="s">
        <v>131</v>
      </c>
      <c r="AQ5" s="38" t="s">
        <v>119</v>
      </c>
      <c r="AR5" s="38" t="s">
        <v>120</v>
      </c>
      <c r="AS5" s="38" t="s">
        <v>136</v>
      </c>
      <c r="AT5" s="53" t="s">
        <v>121</v>
      </c>
      <c r="AU5" s="56" t="s">
        <v>125</v>
      </c>
      <c r="AV5" s="41" t="s">
        <v>126</v>
      </c>
      <c r="AW5" s="41" t="s">
        <v>127</v>
      </c>
      <c r="AX5" s="41" t="s">
        <v>128</v>
      </c>
      <c r="AY5" s="42" t="s">
        <v>21</v>
      </c>
      <c r="AZ5" s="59" t="s">
        <v>174</v>
      </c>
    </row>
    <row r="6" spans="1:52" x14ac:dyDescent="0.25">
      <c r="A6" s="305">
        <v>1</v>
      </c>
      <c r="B6" s="25" t="s">
        <v>73</v>
      </c>
      <c r="C6" s="30"/>
      <c r="D6" s="26" t="str">
        <f>IF($C6="","",VLOOKUP($C6,AMABat!$A$10:$BV$140,D$4,FALSE))</f>
        <v/>
      </c>
      <c r="E6" s="26" t="str">
        <f>IF($C6="","",VLOOKUP($C6,AMABat!$A$10:$BV$140,E$4,FALSE))</f>
        <v/>
      </c>
      <c r="F6" s="45" t="str">
        <f t="shared" ref="F6:F14" si="0">IF($C6="","",IF(AND(O6&gt;0,O6=SUM(M6:T6)),1,0))</f>
        <v/>
      </c>
      <c r="G6" s="27" t="str">
        <f t="shared" ref="G6:G14" si="1">IF($C6="","",IF(Q6&lt;&gt;"-",1,0))</f>
        <v/>
      </c>
      <c r="H6" s="27" t="str">
        <f t="shared" ref="H6:H14" si="2">IF($C6="","",IF(AND(K6&gt;5,P6&lt;&gt;"-"),1,0))</f>
        <v/>
      </c>
      <c r="I6" s="27" t="str">
        <f t="shared" ref="I6:I14" si="3">IF($C6="","","-")</f>
        <v/>
      </c>
      <c r="J6" s="50" t="str">
        <f>IF($C6="","",VLOOKUP($C6,AMABat!$A$10:$BV$140,J$4,FALSE))</f>
        <v/>
      </c>
      <c r="K6" s="26" t="str">
        <f>IF($C6="","",VLOOKUP($C6,AMABat!$A$10:$BV$140,K$4,FALSE))</f>
        <v/>
      </c>
      <c r="L6" s="28" t="str">
        <f>IF($C6="","",VLOOKUP($C6,AMABat!$A$10:$BV$140,L$4,FALSE))</f>
        <v/>
      </c>
      <c r="M6" s="26" t="str">
        <f>IF($C6="","",VLOOKUP($C6,AMABat!$A$10:$BV$140,M$4,FALSE))</f>
        <v/>
      </c>
      <c r="N6" s="26" t="str">
        <f>IF($C6="","",VLOOKUP($C6,AMABat!$A$10:$BV$140,N$4,FALSE))</f>
        <v/>
      </c>
      <c r="O6" s="26" t="str">
        <f>IF($C6="","",VLOOKUP($C6,AMABat!$A$10:$BV$140,O$4,FALSE))</f>
        <v/>
      </c>
      <c r="P6" s="26" t="str">
        <f>IF($C6="","",VLOOKUP($C6,AMABat!$A$10:$BV$140,P$4,FALSE))</f>
        <v/>
      </c>
      <c r="Q6" s="26" t="str">
        <f>IF($C6="","",VLOOKUP($C6,AMABat!$A$10:$BV$140,Q$4,FALSE))</f>
        <v/>
      </c>
      <c r="R6" s="26" t="str">
        <f>IF($C6="","",VLOOKUP($C6,AMABat!$A$10:$BV$140,R$4,FALSE))</f>
        <v/>
      </c>
      <c r="S6" s="26" t="str">
        <f>IF($C6="","",VLOOKUP($C6,AMABat!$A$10:$BV$140,S$4,FALSE))</f>
        <v/>
      </c>
      <c r="T6" s="28" t="str">
        <f>IF($C6="","",VLOOKUP($C6,AMABat!$A$10:$BV$140,T$4,FALSE))</f>
        <v/>
      </c>
      <c r="U6" s="345" t="str">
        <f t="shared" ref="U6:U14" si="4">IF($C6="","",IF(OR(AD6+AG6&gt;14,AND(OR(AD6+AG6&gt;12,AND(AD6&gt;6,AG6&gt;6)),AI6&gt;6,OR(AJ6&gt;=AI6,AJ6&gt;6))),1,0))</f>
        <v/>
      </c>
      <c r="V6" s="339" t="str">
        <f t="shared" ref="V6:V14" si="5">IF($C6="","",IF(OR(AND(AD6&gt;6,AH6&gt;6),AD6+AG6&gt;12),1,0))</f>
        <v/>
      </c>
      <c r="W6" s="27" t="str">
        <f t="shared" ref="W6:W14" si="6">IF($C6="","",IF(AND(AD6&gt;6,AF6&gt;6,AG6&gt;6),1,0))</f>
        <v/>
      </c>
      <c r="X6" s="27" t="str">
        <f t="shared" ref="X6:X14" si="7">IF($C6="","",IF(AND(AF6&gt;7,OR(AD6&gt;6,AG6&gt;6)),1,0))</f>
        <v/>
      </c>
      <c r="Y6" s="27" t="str">
        <f t="shared" ref="Y6:Y14" si="8">IF($C6="","",IF(AND(AF6&gt;6,OR(AD6&gt;6,AG6&gt;6)),1,0))</f>
        <v/>
      </c>
      <c r="Z6" s="27" t="str">
        <f t="shared" ref="Z6:Z14" si="9">IF($C6="","",IF(AND(OR(AD6&gt;6,AF6&gt;6),OR(AD6&gt;6,AG6&gt;6)),1,0))</f>
        <v/>
      </c>
      <c r="AA6" s="27" t="str">
        <f t="shared" ref="AA6:AA14" si="10">IF($C6="","",IF(AND(AD6&gt;4,OR(AD6&gt;6,AF6&gt;6,AG6&gt;6)),1,0))</f>
        <v/>
      </c>
      <c r="AB6" s="27" t="str">
        <f t="shared" ref="AB6:AB14" si="11">IF($C6="","",IF(AND(AD6&gt;4,OR(AD6&gt;6,AE6&gt;6,AF6&gt;6,AG6&gt;6)),1,0))</f>
        <v/>
      </c>
      <c r="AC6" s="54" t="str">
        <f t="shared" ref="AC6:AC14" si="12">IF($C6="","",IF(AND(AD6&gt;4,MAX(AD6:AH6)&gt;6),1,0))</f>
        <v/>
      </c>
      <c r="AD6" s="26" t="str">
        <f>IF($C6="","",VLOOKUP($C6,AMABat!$A$10:$BV$140,AD$4,FALSE))</f>
        <v/>
      </c>
      <c r="AE6" s="26" t="str">
        <f>IF($C6="","",VLOOKUP($C6,AMABat!$A$10:$BV$140,AE$4,FALSE))</f>
        <v/>
      </c>
      <c r="AF6" s="26" t="str">
        <f>IF($C6="","",VLOOKUP($C6,AMABat!$A$10:$BV$140,AF$4,FALSE))</f>
        <v/>
      </c>
      <c r="AG6" s="26" t="str">
        <f>IF($C6="","",VLOOKUP($C6,AMABat!$A$10:$BV$140,AG$4,FALSE))</f>
        <v/>
      </c>
      <c r="AH6" s="26" t="str">
        <f>IF($C6="","",VLOOKUP($C6,AMABat!$A$10:$BV$140,AH$4,FALSE))</f>
        <v/>
      </c>
      <c r="AI6" s="50" t="str">
        <f>IF($C6="","",VLOOKUP($C6,AMABat!$A$10:$BV$140,AI$4,FALSE))</f>
        <v/>
      </c>
      <c r="AJ6" s="28" t="str">
        <f>IF($C6="","",VLOOKUP($C6,AMABat!$A$10:$BV$140,AJ$4,FALSE))</f>
        <v/>
      </c>
      <c r="AK6" s="60" t="str">
        <f t="shared" ref="AK6:AK14" si="13">IF($C6="","",(5*AD6+4*AF6+3*AG6+2*AE6+1*AH6+0.5*(AVERAGE(AD6:AE6))+0.5*AVERAGE(AD6,AH6)+1*(AVERAGE(AD6,AF6))+1*AVERAGE(AD6,AG6))/(5+4+3+2+1+0.5+0.5+1+1))</f>
        <v/>
      </c>
      <c r="AL6" s="45" t="str">
        <f t="shared" ref="AL6:AL14" si="14">IF($C6="","",IF(AND(OR(AU6+AX6&gt;12,AND(AU6&gt;6,AX6&gt;6)),AI6&gt;6,OR(AJ6&gt;=AI6,AJ6&gt;6)),1,0))</f>
        <v/>
      </c>
      <c r="AM6" s="27" t="str">
        <f t="shared" ref="AM6:AM14" si="15">IF($C6="","",IF(OR(AND(AU6&gt;6,AY6&gt;6),AU6+AX6&gt;12),1,0))</f>
        <v/>
      </c>
      <c r="AN6" s="27" t="str">
        <f t="shared" ref="AN6:AN14" si="16">IF($C6="","",IF(AND(AU6&gt;6,AW6&gt;6,AX6&gt;6),1,0))</f>
        <v/>
      </c>
      <c r="AO6" s="27" t="str">
        <f t="shared" ref="AO6:AO14" si="17">IF($C6="","",IF(AND(AW6&gt;7,OR(AU6&gt;6,AX6&gt;6)),1,0))</f>
        <v/>
      </c>
      <c r="AP6" s="27" t="str">
        <f t="shared" ref="AP6:AP14" si="18">IF($C6="","",IF(AND(AW6&gt;6,OR(AU6&gt;6,AX6&gt;6)),1,0))</f>
        <v/>
      </c>
      <c r="AQ6" s="27" t="str">
        <f t="shared" ref="AQ6:AQ14" si="19">IF($C6="","",IF(AND(OR(AU6&gt;6,AW6&gt;6),OR(AU6&gt;6,AX6&gt;6)),1,0))</f>
        <v/>
      </c>
      <c r="AR6" s="27" t="str">
        <f t="shared" ref="AR6:AR14" si="20">IF($C6="","",IF(AND(AU6&gt;4,OR(AU6&gt;6,AW6&gt;6,AX6&gt;6)),1,0))</f>
        <v/>
      </c>
      <c r="AS6" s="27" t="str">
        <f t="shared" ref="AS6:AS14" si="21">IF($C6="","",IF(AND(AU6&gt;4,OR(AU6&gt;6,AV6&gt;6,AW6&gt;6,AX6&gt;6)),1,0))</f>
        <v/>
      </c>
      <c r="AT6" s="54" t="str">
        <f t="shared" ref="AT6:AT14" si="22">IF($C6="","",IF(AND(AU6&gt;4,MAX(AU6:AY6)&gt;6),1,0))</f>
        <v/>
      </c>
      <c r="AU6" s="50" t="str">
        <f>IF($C6="","",VLOOKUP($C6,AMABat!$A$10:$BV$140,AU$4,FALSE))</f>
        <v/>
      </c>
      <c r="AV6" s="26" t="str">
        <f>IF($C6="","",VLOOKUP($C6,AMABat!$A$10:$BV$140,AV$4,FALSE))</f>
        <v/>
      </c>
      <c r="AW6" s="26" t="str">
        <f>IF($C6="","",VLOOKUP($C6,AMABat!$A$10:$BV$140,AW$4,FALSE))</f>
        <v/>
      </c>
      <c r="AX6" s="26" t="str">
        <f>IF($C6="","",VLOOKUP($C6,AMABat!$A$10:$BV$140,AX$4,FALSE))</f>
        <v/>
      </c>
      <c r="AY6" s="28" t="str">
        <f>IF($C6="","",VLOOKUP($C6,AMABat!$A$10:$BV$140,AY$4,FALSE))</f>
        <v/>
      </c>
      <c r="AZ6" s="60" t="str">
        <f t="shared" ref="AZ6:AZ14" si="23">IF($C6="","",(5*AU6+4*AW6+3*AX6+2*AV6+1*AY6+0.5*(AVERAGE(AU6:AV6))+0.5*AVERAGE(AU6,AY6)+1*(AVERAGE(AU6,AW6))+1*AVERAGE(AU6,AX6))/(5+4+3+2+1+0.5+0.5+1+1))</f>
        <v/>
      </c>
    </row>
    <row r="7" spans="1:52" x14ac:dyDescent="0.25">
      <c r="A7" s="305">
        <v>2</v>
      </c>
      <c r="B7" s="29" t="s">
        <v>77</v>
      </c>
      <c r="C7" s="30"/>
      <c r="D7" s="30" t="str">
        <f>IF($C7="","",VLOOKUP($C7,AMABat!$A$10:$BV$140,D$4,FALSE))</f>
        <v/>
      </c>
      <c r="E7" s="30" t="str">
        <f>IF($C7="","",VLOOKUP($C7,AMABat!$A$10:$BV$140,E$4,FALSE))</f>
        <v/>
      </c>
      <c r="F7" s="345" t="str">
        <f t="shared" si="0"/>
        <v/>
      </c>
      <c r="G7" s="339" t="str">
        <f t="shared" si="1"/>
        <v/>
      </c>
      <c r="H7" s="339" t="str">
        <f t="shared" si="2"/>
        <v/>
      </c>
      <c r="I7" s="339" t="str">
        <f t="shared" si="3"/>
        <v/>
      </c>
      <c r="J7" s="51" t="str">
        <f>IF($C7="","",VLOOKUP($C7,AMABat!$A$10:$BV$140,J$4,FALSE))</f>
        <v/>
      </c>
      <c r="K7" s="30" t="str">
        <f>IF($C7="","",VLOOKUP($C7,AMABat!$A$10:$BV$140,K$4,FALSE))</f>
        <v/>
      </c>
      <c r="L7" s="31" t="str">
        <f>IF($C7="","",VLOOKUP($C7,AMABat!$A$10:$BV$140,L$4,FALSE))</f>
        <v/>
      </c>
      <c r="M7" s="30" t="str">
        <f>IF($C7="","",VLOOKUP($C7,AMABat!$A$10:$BV$140,M$4,FALSE))</f>
        <v/>
      </c>
      <c r="N7" s="30" t="str">
        <f>IF($C7="","",VLOOKUP($C7,AMABat!$A$10:$BV$140,N$4,FALSE))</f>
        <v/>
      </c>
      <c r="O7" s="30" t="str">
        <f>IF($C7="","",VLOOKUP($C7,AMABat!$A$10:$BV$140,O$4,FALSE))</f>
        <v/>
      </c>
      <c r="P7" s="30" t="str">
        <f>IF($C7="","",VLOOKUP($C7,AMABat!$A$10:$BV$140,P$4,FALSE))</f>
        <v/>
      </c>
      <c r="Q7" s="30" t="str">
        <f>IF($C7="","",VLOOKUP($C7,AMABat!$A$10:$BV$140,Q$4,FALSE))</f>
        <v/>
      </c>
      <c r="R7" s="30" t="str">
        <f>IF($C7="","",VLOOKUP($C7,AMABat!$A$10:$BV$140,R$4,FALSE))</f>
        <v/>
      </c>
      <c r="S7" s="30" t="str">
        <f>IF($C7="","",VLOOKUP($C7,AMABat!$A$10:$BV$140,S$4,FALSE))</f>
        <v/>
      </c>
      <c r="T7" s="31" t="str">
        <f>IF($C7="","",VLOOKUP($C7,AMABat!$A$10:$BV$140,T$4,FALSE))</f>
        <v/>
      </c>
      <c r="U7" s="345" t="str">
        <f t="shared" si="4"/>
        <v/>
      </c>
      <c r="V7" s="339" t="str">
        <f t="shared" si="5"/>
        <v/>
      </c>
      <c r="W7" s="339" t="str">
        <f t="shared" si="6"/>
        <v/>
      </c>
      <c r="X7" s="339" t="str">
        <f t="shared" si="7"/>
        <v/>
      </c>
      <c r="Y7" s="339" t="str">
        <f t="shared" si="8"/>
        <v/>
      </c>
      <c r="Z7" s="339" t="str">
        <f t="shared" si="9"/>
        <v/>
      </c>
      <c r="AA7" s="339" t="str">
        <f t="shared" si="10"/>
        <v/>
      </c>
      <c r="AB7" s="339" t="str">
        <f t="shared" si="11"/>
        <v/>
      </c>
      <c r="AC7" s="340" t="str">
        <f t="shared" si="12"/>
        <v/>
      </c>
      <c r="AD7" s="30" t="str">
        <f>IF($C7="","",VLOOKUP($C7,AMABat!$A$10:$BV$140,AD$4,FALSE))</f>
        <v/>
      </c>
      <c r="AE7" s="30" t="str">
        <f>IF($C7="","",VLOOKUP($C7,AMABat!$A$10:$BV$140,AE$4,FALSE))</f>
        <v/>
      </c>
      <c r="AF7" s="30" t="str">
        <f>IF($C7="","",VLOOKUP($C7,AMABat!$A$10:$BV$140,AF$4,FALSE))</f>
        <v/>
      </c>
      <c r="AG7" s="30" t="str">
        <f>IF($C7="","",VLOOKUP($C7,AMABat!$A$10:$BV$140,AG$4,FALSE))</f>
        <v/>
      </c>
      <c r="AH7" s="30" t="str">
        <f>IF($C7="","",VLOOKUP($C7,AMABat!$A$10:$BV$140,AH$4,FALSE))</f>
        <v/>
      </c>
      <c r="AI7" s="51" t="str">
        <f>IF($C7="","",VLOOKUP($C7,AMABat!$A$10:$BV$140,AI$4,FALSE))</f>
        <v/>
      </c>
      <c r="AJ7" s="31" t="str">
        <f>IF($C7="","",VLOOKUP($C7,AMABat!$A$10:$BV$140,AJ$4,FALSE))</f>
        <v/>
      </c>
      <c r="AK7" s="60" t="str">
        <f t="shared" si="13"/>
        <v/>
      </c>
      <c r="AL7" s="345" t="str">
        <f t="shared" si="14"/>
        <v/>
      </c>
      <c r="AM7" s="339" t="str">
        <f t="shared" si="15"/>
        <v/>
      </c>
      <c r="AN7" s="339" t="str">
        <f t="shared" si="16"/>
        <v/>
      </c>
      <c r="AO7" s="339" t="str">
        <f t="shared" si="17"/>
        <v/>
      </c>
      <c r="AP7" s="339" t="str">
        <f t="shared" si="18"/>
        <v/>
      </c>
      <c r="AQ7" s="339" t="str">
        <f t="shared" si="19"/>
        <v/>
      </c>
      <c r="AR7" s="339" t="str">
        <f t="shared" si="20"/>
        <v/>
      </c>
      <c r="AS7" s="339" t="str">
        <f t="shared" si="21"/>
        <v/>
      </c>
      <c r="AT7" s="340" t="str">
        <f t="shared" si="22"/>
        <v/>
      </c>
      <c r="AU7" s="51" t="str">
        <f>IF($C7="","",VLOOKUP($C7,AMABat!$A$10:$BV$140,AU$4,FALSE))</f>
        <v/>
      </c>
      <c r="AV7" s="30" t="str">
        <f>IF($C7="","",VLOOKUP($C7,AMABat!$A$10:$BV$140,AV$4,FALSE))</f>
        <v/>
      </c>
      <c r="AW7" s="30" t="str">
        <f>IF($C7="","",VLOOKUP($C7,AMABat!$A$10:$BV$140,AW$4,FALSE))</f>
        <v/>
      </c>
      <c r="AX7" s="30" t="str">
        <f>IF($C7="","",VLOOKUP($C7,AMABat!$A$10:$BV$140,AX$4,FALSE))</f>
        <v/>
      </c>
      <c r="AY7" s="31" t="str">
        <f>IF($C7="","",VLOOKUP($C7,AMABat!$A$10:$BV$140,AY$4,FALSE))</f>
        <v/>
      </c>
      <c r="AZ7" s="60" t="str">
        <f t="shared" si="23"/>
        <v/>
      </c>
    </row>
    <row r="8" spans="1:52" x14ac:dyDescent="0.25">
      <c r="A8" s="305">
        <v>3</v>
      </c>
      <c r="B8" s="29" t="s">
        <v>78</v>
      </c>
      <c r="C8" s="58"/>
      <c r="D8" s="30" t="str">
        <f>IF($C8="","",VLOOKUP($C8,AMABat!$A$10:$BV$140,D$4,FALSE))</f>
        <v/>
      </c>
      <c r="E8" s="30" t="str">
        <f>IF($C8="","",VLOOKUP($C8,AMABat!$A$10:$BV$140,E$4,FALSE))</f>
        <v/>
      </c>
      <c r="F8" s="345" t="str">
        <f t="shared" si="0"/>
        <v/>
      </c>
      <c r="G8" s="339" t="str">
        <f t="shared" si="1"/>
        <v/>
      </c>
      <c r="H8" s="339" t="str">
        <f t="shared" si="2"/>
        <v/>
      </c>
      <c r="I8" s="339" t="str">
        <f t="shared" si="3"/>
        <v/>
      </c>
      <c r="J8" s="51" t="str">
        <f>IF($C8="","",VLOOKUP($C8,AMABat!$A$10:$BV$140,J$4,FALSE))</f>
        <v/>
      </c>
      <c r="K8" s="30" t="str">
        <f>IF($C8="","",VLOOKUP($C8,AMABat!$A$10:$BV$140,K$4,FALSE))</f>
        <v/>
      </c>
      <c r="L8" s="31" t="str">
        <f>IF($C8="","",VLOOKUP($C8,AMABat!$A$10:$BV$140,L$4,FALSE))</f>
        <v/>
      </c>
      <c r="M8" s="30" t="str">
        <f>IF($C8="","",VLOOKUP($C8,AMABat!$A$10:$BV$140,M$4,FALSE))</f>
        <v/>
      </c>
      <c r="N8" s="30" t="str">
        <f>IF($C8="","",VLOOKUP($C8,AMABat!$A$10:$BV$140,N$4,FALSE))</f>
        <v/>
      </c>
      <c r="O8" s="30" t="str">
        <f>IF($C8="","",VLOOKUP($C8,AMABat!$A$10:$BV$140,O$4,FALSE))</f>
        <v/>
      </c>
      <c r="P8" s="30" t="str">
        <f>IF($C8="","",VLOOKUP($C8,AMABat!$A$10:$BV$140,P$4,FALSE))</f>
        <v/>
      </c>
      <c r="Q8" s="30" t="str">
        <f>IF($C8="","",VLOOKUP($C8,AMABat!$A$10:$BV$140,Q$4,FALSE))</f>
        <v/>
      </c>
      <c r="R8" s="30" t="str">
        <f>IF($C8="","",VLOOKUP($C8,AMABat!$A$10:$BV$140,R$4,FALSE))</f>
        <v/>
      </c>
      <c r="S8" s="30" t="str">
        <f>IF($C8="","",VLOOKUP($C8,AMABat!$A$10:$BV$140,S$4,FALSE))</f>
        <v/>
      </c>
      <c r="T8" s="31" t="str">
        <f>IF($C8="","",VLOOKUP($C8,AMABat!$A$10:$BV$140,T$4,FALSE))</f>
        <v/>
      </c>
      <c r="U8" s="345" t="str">
        <f t="shared" si="4"/>
        <v/>
      </c>
      <c r="V8" s="339" t="str">
        <f t="shared" si="5"/>
        <v/>
      </c>
      <c r="W8" s="339" t="str">
        <f t="shared" si="6"/>
        <v/>
      </c>
      <c r="X8" s="339" t="str">
        <f t="shared" si="7"/>
        <v/>
      </c>
      <c r="Y8" s="339" t="str">
        <f t="shared" si="8"/>
        <v/>
      </c>
      <c r="Z8" s="339" t="str">
        <f t="shared" si="9"/>
        <v/>
      </c>
      <c r="AA8" s="339" t="str">
        <f t="shared" si="10"/>
        <v/>
      </c>
      <c r="AB8" s="339" t="str">
        <f t="shared" si="11"/>
        <v/>
      </c>
      <c r="AC8" s="340" t="str">
        <f t="shared" si="12"/>
        <v/>
      </c>
      <c r="AD8" s="30" t="str">
        <f>IF($C8="","",VLOOKUP($C8,AMABat!$A$10:$BV$140,AD$4,FALSE))</f>
        <v/>
      </c>
      <c r="AE8" s="30" t="str">
        <f>IF($C8="","",VLOOKUP($C8,AMABat!$A$10:$BV$140,AE$4,FALSE))</f>
        <v/>
      </c>
      <c r="AF8" s="30" t="str">
        <f>IF($C8="","",VLOOKUP($C8,AMABat!$A$10:$BV$140,AF$4,FALSE))</f>
        <v/>
      </c>
      <c r="AG8" s="30" t="str">
        <f>IF($C8="","",VLOOKUP($C8,AMABat!$A$10:$BV$140,AG$4,FALSE))</f>
        <v/>
      </c>
      <c r="AH8" s="30" t="str">
        <f>IF($C8="","",VLOOKUP($C8,AMABat!$A$10:$BV$140,AH$4,FALSE))</f>
        <v/>
      </c>
      <c r="AI8" s="51" t="str">
        <f>IF($C8="","",VLOOKUP($C8,AMABat!$A$10:$BV$140,AI$4,FALSE))</f>
        <v/>
      </c>
      <c r="AJ8" s="31" t="str">
        <f>IF($C8="","",VLOOKUP($C8,AMABat!$A$10:$BV$140,AJ$4,FALSE))</f>
        <v/>
      </c>
      <c r="AK8" s="60" t="str">
        <f t="shared" si="13"/>
        <v/>
      </c>
      <c r="AL8" s="345" t="str">
        <f t="shared" si="14"/>
        <v/>
      </c>
      <c r="AM8" s="339" t="str">
        <f t="shared" si="15"/>
        <v/>
      </c>
      <c r="AN8" s="339" t="str">
        <f t="shared" si="16"/>
        <v/>
      </c>
      <c r="AO8" s="339" t="str">
        <f t="shared" si="17"/>
        <v/>
      </c>
      <c r="AP8" s="339" t="str">
        <f t="shared" si="18"/>
        <v/>
      </c>
      <c r="AQ8" s="339" t="str">
        <f t="shared" si="19"/>
        <v/>
      </c>
      <c r="AR8" s="339" t="str">
        <f t="shared" si="20"/>
        <v/>
      </c>
      <c r="AS8" s="339" t="str">
        <f t="shared" si="21"/>
        <v/>
      </c>
      <c r="AT8" s="340" t="str">
        <f t="shared" si="22"/>
        <v/>
      </c>
      <c r="AU8" s="51" t="str">
        <f>IF($C8="","",VLOOKUP($C8,AMABat!$A$10:$BV$140,AU$4,FALSE))</f>
        <v/>
      </c>
      <c r="AV8" s="30" t="str">
        <f>IF($C8="","",VLOOKUP($C8,AMABat!$A$10:$BV$140,AV$4,FALSE))</f>
        <v/>
      </c>
      <c r="AW8" s="30" t="str">
        <f>IF($C8="","",VLOOKUP($C8,AMABat!$A$10:$BV$140,AW$4,FALSE))</f>
        <v/>
      </c>
      <c r="AX8" s="30" t="str">
        <f>IF($C8="","",VLOOKUP($C8,AMABat!$A$10:$BV$140,AX$4,FALSE))</f>
        <v/>
      </c>
      <c r="AY8" s="31" t="str">
        <f>IF($C8="","",VLOOKUP($C8,AMABat!$A$10:$BV$140,AY$4,FALSE))</f>
        <v/>
      </c>
      <c r="AZ8" s="60" t="str">
        <f t="shared" si="23"/>
        <v/>
      </c>
    </row>
    <row r="9" spans="1:52" x14ac:dyDescent="0.25">
      <c r="A9" s="305">
        <v>4</v>
      </c>
      <c r="B9" s="29" t="s">
        <v>79</v>
      </c>
      <c r="C9" s="58" t="s">
        <v>635</v>
      </c>
      <c r="D9" s="30" t="e">
        <f>IF($C9="","",VLOOKUP($C9,AMABat!$A$10:$BV$140,D$4,FALSE))</f>
        <v>#N/A</v>
      </c>
      <c r="E9" s="30" t="e">
        <f>IF($C9="","",VLOOKUP($C9,AMABat!$A$10:$BV$140,E$4,FALSE))</f>
        <v>#N/A</v>
      </c>
      <c r="F9" s="345" t="e">
        <f t="shared" si="0"/>
        <v>#N/A</v>
      </c>
      <c r="G9" s="339" t="e">
        <f t="shared" si="1"/>
        <v>#N/A</v>
      </c>
      <c r="H9" s="339" t="e">
        <f t="shared" si="2"/>
        <v>#N/A</v>
      </c>
      <c r="I9" s="339" t="str">
        <f t="shared" si="3"/>
        <v>-</v>
      </c>
      <c r="J9" s="51" t="e">
        <f>IF($C9="","",VLOOKUP($C9,AMABat!$A$10:$BV$140,J$4,FALSE))</f>
        <v>#N/A</v>
      </c>
      <c r="K9" s="30" t="e">
        <f>IF($C9="","",VLOOKUP($C9,AMABat!$A$10:$BV$140,K$4,FALSE))</f>
        <v>#N/A</v>
      </c>
      <c r="L9" s="31" t="e">
        <f>IF($C9="","",VLOOKUP($C9,AMABat!$A$10:$BV$140,L$4,FALSE))</f>
        <v>#N/A</v>
      </c>
      <c r="M9" s="30" t="e">
        <f>IF($C9="","",VLOOKUP($C9,AMABat!$A$10:$BV$140,M$4,FALSE))</f>
        <v>#N/A</v>
      </c>
      <c r="N9" s="30" t="e">
        <f>IF($C9="","",VLOOKUP($C9,AMABat!$A$10:$BV$140,N$4,FALSE))</f>
        <v>#N/A</v>
      </c>
      <c r="O9" s="30" t="e">
        <f>IF($C9="","",VLOOKUP($C9,AMABat!$A$10:$BV$140,O$4,FALSE))</f>
        <v>#N/A</v>
      </c>
      <c r="P9" s="30" t="e">
        <f>IF($C9="","",VLOOKUP($C9,AMABat!$A$10:$BV$140,P$4,FALSE))</f>
        <v>#N/A</v>
      </c>
      <c r="Q9" s="30" t="e">
        <f>IF($C9="","",VLOOKUP($C9,AMABat!$A$10:$BV$140,Q$4,FALSE))</f>
        <v>#N/A</v>
      </c>
      <c r="R9" s="30" t="e">
        <f>IF($C9="","",VLOOKUP($C9,AMABat!$A$10:$BV$140,R$4,FALSE))</f>
        <v>#N/A</v>
      </c>
      <c r="S9" s="30" t="e">
        <f>IF($C9="","",VLOOKUP($C9,AMABat!$A$10:$BV$140,S$4,FALSE))</f>
        <v>#N/A</v>
      </c>
      <c r="T9" s="31" t="e">
        <f>IF($C9="","",VLOOKUP($C9,AMABat!$A$10:$BV$140,T$4,FALSE))</f>
        <v>#N/A</v>
      </c>
      <c r="U9" s="345" t="e">
        <f t="shared" si="4"/>
        <v>#N/A</v>
      </c>
      <c r="V9" s="339" t="e">
        <f t="shared" si="5"/>
        <v>#N/A</v>
      </c>
      <c r="W9" s="339" t="e">
        <f t="shared" si="6"/>
        <v>#N/A</v>
      </c>
      <c r="X9" s="339" t="e">
        <f t="shared" si="7"/>
        <v>#N/A</v>
      </c>
      <c r="Y9" s="339" t="e">
        <f t="shared" si="8"/>
        <v>#N/A</v>
      </c>
      <c r="Z9" s="339" t="e">
        <f t="shared" si="9"/>
        <v>#N/A</v>
      </c>
      <c r="AA9" s="339" t="e">
        <f t="shared" si="10"/>
        <v>#N/A</v>
      </c>
      <c r="AB9" s="339" t="e">
        <f t="shared" si="11"/>
        <v>#N/A</v>
      </c>
      <c r="AC9" s="340" t="e">
        <f t="shared" si="12"/>
        <v>#N/A</v>
      </c>
      <c r="AD9" s="30" t="e">
        <f>IF($C9="","",VLOOKUP($C9,AMABat!$A$10:$BV$140,AD$4,FALSE))</f>
        <v>#N/A</v>
      </c>
      <c r="AE9" s="30" t="e">
        <f>IF($C9="","",VLOOKUP($C9,AMABat!$A$10:$BV$140,AE$4,FALSE))</f>
        <v>#N/A</v>
      </c>
      <c r="AF9" s="30" t="e">
        <f>IF($C9="","",VLOOKUP($C9,AMABat!$A$10:$BV$140,AF$4,FALSE))</f>
        <v>#N/A</v>
      </c>
      <c r="AG9" s="30" t="e">
        <f>IF($C9="","",VLOOKUP($C9,AMABat!$A$10:$BV$140,AG$4,FALSE))</f>
        <v>#N/A</v>
      </c>
      <c r="AH9" s="30" t="e">
        <f>IF($C9="","",VLOOKUP($C9,AMABat!$A$10:$BV$140,AH$4,FALSE))</f>
        <v>#N/A</v>
      </c>
      <c r="AI9" s="51" t="e">
        <f>IF($C9="","",VLOOKUP($C9,AMABat!$A$10:$BV$140,AI$4,FALSE))</f>
        <v>#N/A</v>
      </c>
      <c r="AJ9" s="31" t="e">
        <f>IF($C9="","",VLOOKUP($C9,AMABat!$A$10:$BV$140,AJ$4,FALSE))</f>
        <v>#N/A</v>
      </c>
      <c r="AK9" s="60" t="e">
        <f t="shared" si="13"/>
        <v>#N/A</v>
      </c>
      <c r="AL9" s="345" t="e">
        <f t="shared" si="14"/>
        <v>#N/A</v>
      </c>
      <c r="AM9" s="339" t="e">
        <f t="shared" si="15"/>
        <v>#N/A</v>
      </c>
      <c r="AN9" s="339" t="e">
        <f t="shared" si="16"/>
        <v>#N/A</v>
      </c>
      <c r="AO9" s="339" t="e">
        <f t="shared" si="17"/>
        <v>#N/A</v>
      </c>
      <c r="AP9" s="339" t="e">
        <f t="shared" si="18"/>
        <v>#N/A</v>
      </c>
      <c r="AQ9" s="339" t="e">
        <f t="shared" si="19"/>
        <v>#N/A</v>
      </c>
      <c r="AR9" s="339" t="e">
        <f t="shared" si="20"/>
        <v>#N/A</v>
      </c>
      <c r="AS9" s="339" t="e">
        <f t="shared" si="21"/>
        <v>#N/A</v>
      </c>
      <c r="AT9" s="340" t="e">
        <f t="shared" si="22"/>
        <v>#N/A</v>
      </c>
      <c r="AU9" s="51" t="e">
        <f>IF($C9="","",VLOOKUP($C9,AMABat!$A$10:$BV$140,AU$4,FALSE))</f>
        <v>#N/A</v>
      </c>
      <c r="AV9" s="30" t="e">
        <f>IF($C9="","",VLOOKUP($C9,AMABat!$A$10:$BV$140,AV$4,FALSE))</f>
        <v>#N/A</v>
      </c>
      <c r="AW9" s="30" t="e">
        <f>IF($C9="","",VLOOKUP($C9,AMABat!$A$10:$BV$140,AW$4,FALSE))</f>
        <v>#N/A</v>
      </c>
      <c r="AX9" s="30" t="e">
        <f>IF($C9="","",VLOOKUP($C9,AMABat!$A$10:$BV$140,AX$4,FALSE))</f>
        <v>#N/A</v>
      </c>
      <c r="AY9" s="31" t="e">
        <f>IF($C9="","",VLOOKUP($C9,AMABat!$A$10:$BV$140,AY$4,FALSE))</f>
        <v>#N/A</v>
      </c>
      <c r="AZ9" s="60" t="e">
        <f t="shared" si="23"/>
        <v>#N/A</v>
      </c>
    </row>
    <row r="10" spans="1:52" x14ac:dyDescent="0.25">
      <c r="A10" s="305">
        <v>5</v>
      </c>
      <c r="B10" s="29" t="s">
        <v>10</v>
      </c>
      <c r="C10" s="58" t="s">
        <v>734</v>
      </c>
      <c r="D10" s="30" t="e">
        <f>IF($C10="","",VLOOKUP($C10,AMABat!$A$10:$BV$140,D$4,FALSE))</f>
        <v>#N/A</v>
      </c>
      <c r="E10" s="30" t="e">
        <f>IF($C10="","",VLOOKUP($C10,AMABat!$A$10:$BV$140,E$4,FALSE))</f>
        <v>#N/A</v>
      </c>
      <c r="F10" s="345" t="e">
        <f t="shared" si="0"/>
        <v>#N/A</v>
      </c>
      <c r="G10" s="339" t="e">
        <f t="shared" si="1"/>
        <v>#N/A</v>
      </c>
      <c r="H10" s="339" t="e">
        <f t="shared" si="2"/>
        <v>#N/A</v>
      </c>
      <c r="I10" s="339" t="str">
        <f t="shared" si="3"/>
        <v>-</v>
      </c>
      <c r="J10" s="51" t="e">
        <f>IF($C10="","",VLOOKUP($C10,AMABat!$A$10:$BV$140,J$4,FALSE))</f>
        <v>#N/A</v>
      </c>
      <c r="K10" s="30" t="e">
        <f>IF($C10="","",VLOOKUP($C10,AMABat!$A$10:$BV$140,K$4,FALSE))</f>
        <v>#N/A</v>
      </c>
      <c r="L10" s="31" t="e">
        <f>IF($C10="","",VLOOKUP($C10,AMABat!$A$10:$BV$140,L$4,FALSE))</f>
        <v>#N/A</v>
      </c>
      <c r="M10" s="30" t="e">
        <f>IF($C10="","",VLOOKUP($C10,AMABat!$A$10:$BV$140,M$4,FALSE))</f>
        <v>#N/A</v>
      </c>
      <c r="N10" s="30" t="e">
        <f>IF($C10="","",VLOOKUP($C10,AMABat!$A$10:$BV$140,N$4,FALSE))</f>
        <v>#N/A</v>
      </c>
      <c r="O10" s="30" t="e">
        <f>IF($C10="","",VLOOKUP($C10,AMABat!$A$10:$BV$140,O$4,FALSE))</f>
        <v>#N/A</v>
      </c>
      <c r="P10" s="30" t="e">
        <f>IF($C10="","",VLOOKUP($C10,AMABat!$A$10:$BV$140,P$4,FALSE))</f>
        <v>#N/A</v>
      </c>
      <c r="Q10" s="30" t="e">
        <f>IF($C10="","",VLOOKUP($C10,AMABat!$A$10:$BV$140,Q$4,FALSE))</f>
        <v>#N/A</v>
      </c>
      <c r="R10" s="30" t="e">
        <f>IF($C10="","",VLOOKUP($C10,AMABat!$A$10:$BV$140,R$4,FALSE))</f>
        <v>#N/A</v>
      </c>
      <c r="S10" s="30" t="e">
        <f>IF($C10="","",VLOOKUP($C10,AMABat!$A$10:$BV$140,S$4,FALSE))</f>
        <v>#N/A</v>
      </c>
      <c r="T10" s="31" t="e">
        <f>IF($C10="","",VLOOKUP($C10,AMABat!$A$10:$BV$140,T$4,FALSE))</f>
        <v>#N/A</v>
      </c>
      <c r="U10" s="345" t="e">
        <f t="shared" si="4"/>
        <v>#N/A</v>
      </c>
      <c r="V10" s="339" t="e">
        <f t="shared" si="5"/>
        <v>#N/A</v>
      </c>
      <c r="W10" s="339" t="e">
        <f t="shared" si="6"/>
        <v>#N/A</v>
      </c>
      <c r="X10" s="339" t="e">
        <f t="shared" si="7"/>
        <v>#N/A</v>
      </c>
      <c r="Y10" s="339" t="e">
        <f t="shared" si="8"/>
        <v>#N/A</v>
      </c>
      <c r="Z10" s="339" t="e">
        <f t="shared" si="9"/>
        <v>#N/A</v>
      </c>
      <c r="AA10" s="339" t="e">
        <f t="shared" si="10"/>
        <v>#N/A</v>
      </c>
      <c r="AB10" s="339" t="e">
        <f t="shared" si="11"/>
        <v>#N/A</v>
      </c>
      <c r="AC10" s="340" t="e">
        <f t="shared" si="12"/>
        <v>#N/A</v>
      </c>
      <c r="AD10" s="30" t="e">
        <f>IF($C10="","",VLOOKUP($C10,AMABat!$A$10:$BV$140,AD$4,FALSE))</f>
        <v>#N/A</v>
      </c>
      <c r="AE10" s="30" t="e">
        <f>IF($C10="","",VLOOKUP($C10,AMABat!$A$10:$BV$140,AE$4,FALSE))</f>
        <v>#N/A</v>
      </c>
      <c r="AF10" s="30" t="e">
        <f>IF($C10="","",VLOOKUP($C10,AMABat!$A$10:$BV$140,AF$4,FALSE))</f>
        <v>#N/A</v>
      </c>
      <c r="AG10" s="30" t="e">
        <f>IF($C10="","",VLOOKUP($C10,AMABat!$A$10:$BV$140,AG$4,FALSE))</f>
        <v>#N/A</v>
      </c>
      <c r="AH10" s="30" t="e">
        <f>IF($C10="","",VLOOKUP($C10,AMABat!$A$10:$BV$140,AH$4,FALSE))</f>
        <v>#N/A</v>
      </c>
      <c r="AI10" s="51" t="e">
        <f>IF($C10="","",VLOOKUP($C10,AMABat!$A$10:$BV$140,AI$4,FALSE))</f>
        <v>#N/A</v>
      </c>
      <c r="AJ10" s="31" t="e">
        <f>IF($C10="","",VLOOKUP($C10,AMABat!$A$10:$BV$140,AJ$4,FALSE))</f>
        <v>#N/A</v>
      </c>
      <c r="AK10" s="60" t="e">
        <f t="shared" si="13"/>
        <v>#N/A</v>
      </c>
      <c r="AL10" s="345" t="e">
        <f t="shared" si="14"/>
        <v>#N/A</v>
      </c>
      <c r="AM10" s="339" t="e">
        <f t="shared" si="15"/>
        <v>#N/A</v>
      </c>
      <c r="AN10" s="339" t="e">
        <f t="shared" si="16"/>
        <v>#N/A</v>
      </c>
      <c r="AO10" s="339" t="e">
        <f t="shared" si="17"/>
        <v>#N/A</v>
      </c>
      <c r="AP10" s="339" t="e">
        <f t="shared" si="18"/>
        <v>#N/A</v>
      </c>
      <c r="AQ10" s="339" t="e">
        <f t="shared" si="19"/>
        <v>#N/A</v>
      </c>
      <c r="AR10" s="339" t="e">
        <f t="shared" si="20"/>
        <v>#N/A</v>
      </c>
      <c r="AS10" s="339" t="e">
        <f t="shared" si="21"/>
        <v>#N/A</v>
      </c>
      <c r="AT10" s="340" t="e">
        <f t="shared" si="22"/>
        <v>#N/A</v>
      </c>
      <c r="AU10" s="51" t="e">
        <f>IF($C10="","",VLOOKUP($C10,AMABat!$A$10:$BV$140,AU$4,FALSE))</f>
        <v>#N/A</v>
      </c>
      <c r="AV10" s="30" t="e">
        <f>IF($C10="","",VLOOKUP($C10,AMABat!$A$10:$BV$140,AV$4,FALSE))</f>
        <v>#N/A</v>
      </c>
      <c r="AW10" s="30" t="e">
        <f>IF($C10="","",VLOOKUP($C10,AMABat!$A$10:$BV$140,AW$4,FALSE))</f>
        <v>#N/A</v>
      </c>
      <c r="AX10" s="30" t="e">
        <f>IF($C10="","",VLOOKUP($C10,AMABat!$A$10:$BV$140,AX$4,FALSE))</f>
        <v>#N/A</v>
      </c>
      <c r="AY10" s="31" t="e">
        <f>IF($C10="","",VLOOKUP($C10,AMABat!$A$10:$BV$140,AY$4,FALSE))</f>
        <v>#N/A</v>
      </c>
      <c r="AZ10" s="60" t="e">
        <f t="shared" si="23"/>
        <v>#N/A</v>
      </c>
    </row>
    <row r="11" spans="1:52" x14ac:dyDescent="0.25">
      <c r="A11" s="305">
        <v>6</v>
      </c>
      <c r="B11" s="29" t="s">
        <v>80</v>
      </c>
      <c r="C11" s="58"/>
      <c r="D11" s="30" t="str">
        <f>IF($C11="","",VLOOKUP($C11,AMABat!$A$10:$BV$140,D$4,FALSE))</f>
        <v/>
      </c>
      <c r="E11" s="30" t="str">
        <f>IF($C11="","",VLOOKUP($C11,AMABat!$A$10:$BV$140,E$4,FALSE))</f>
        <v/>
      </c>
      <c r="F11" s="345" t="str">
        <f t="shared" si="0"/>
        <v/>
      </c>
      <c r="G11" s="339" t="str">
        <f t="shared" si="1"/>
        <v/>
      </c>
      <c r="H11" s="339" t="str">
        <f t="shared" si="2"/>
        <v/>
      </c>
      <c r="I11" s="339" t="str">
        <f t="shared" si="3"/>
        <v/>
      </c>
      <c r="J11" s="51" t="str">
        <f>IF($C11="","",VLOOKUP($C11,AMABat!$A$10:$BV$140,J$4,FALSE))</f>
        <v/>
      </c>
      <c r="K11" s="30" t="str">
        <f>IF($C11="","",VLOOKUP($C11,AMABat!$A$10:$BV$140,K$4,FALSE))</f>
        <v/>
      </c>
      <c r="L11" s="31" t="str">
        <f>IF($C11="","",VLOOKUP($C11,AMABat!$A$10:$BV$140,L$4,FALSE))</f>
        <v/>
      </c>
      <c r="M11" s="30" t="str">
        <f>IF($C11="","",VLOOKUP($C11,AMABat!$A$10:$BV$140,M$4,FALSE))</f>
        <v/>
      </c>
      <c r="N11" s="30" t="str">
        <f>IF($C11="","",VLOOKUP($C11,AMABat!$A$10:$BV$140,N$4,FALSE))</f>
        <v/>
      </c>
      <c r="O11" s="30" t="str">
        <f>IF($C11="","",VLOOKUP($C11,AMABat!$A$10:$BV$140,O$4,FALSE))</f>
        <v/>
      </c>
      <c r="P11" s="30" t="str">
        <f>IF($C11="","",VLOOKUP($C11,AMABat!$A$10:$BV$140,P$4,FALSE))</f>
        <v/>
      </c>
      <c r="Q11" s="30" t="str">
        <f>IF($C11="","",VLOOKUP($C11,AMABat!$A$10:$BV$140,Q$4,FALSE))</f>
        <v/>
      </c>
      <c r="R11" s="30" t="str">
        <f>IF($C11="","",VLOOKUP($C11,AMABat!$A$10:$BV$140,R$4,FALSE))</f>
        <v/>
      </c>
      <c r="S11" s="30" t="str">
        <f>IF($C11="","",VLOOKUP($C11,AMABat!$A$10:$BV$140,S$4,FALSE))</f>
        <v/>
      </c>
      <c r="T11" s="31" t="str">
        <f>IF($C11="","",VLOOKUP($C11,AMABat!$A$10:$BV$140,T$4,FALSE))</f>
        <v/>
      </c>
      <c r="U11" s="345" t="str">
        <f t="shared" si="4"/>
        <v/>
      </c>
      <c r="V11" s="339" t="str">
        <f t="shared" si="5"/>
        <v/>
      </c>
      <c r="W11" s="339" t="str">
        <f t="shared" si="6"/>
        <v/>
      </c>
      <c r="X11" s="339" t="str">
        <f t="shared" si="7"/>
        <v/>
      </c>
      <c r="Y11" s="339" t="str">
        <f t="shared" si="8"/>
        <v/>
      </c>
      <c r="Z11" s="339" t="str">
        <f t="shared" si="9"/>
        <v/>
      </c>
      <c r="AA11" s="339" t="str">
        <f t="shared" si="10"/>
        <v/>
      </c>
      <c r="AB11" s="339" t="str">
        <f t="shared" si="11"/>
        <v/>
      </c>
      <c r="AC11" s="340" t="str">
        <f t="shared" si="12"/>
        <v/>
      </c>
      <c r="AD11" s="30" t="str">
        <f>IF($C11="","",VLOOKUP($C11,AMABat!$A$10:$BV$140,AD$4,FALSE))</f>
        <v/>
      </c>
      <c r="AE11" s="30" t="str">
        <f>IF($C11="","",VLOOKUP($C11,AMABat!$A$10:$BV$140,AE$4,FALSE))</f>
        <v/>
      </c>
      <c r="AF11" s="30" t="str">
        <f>IF($C11="","",VLOOKUP($C11,AMABat!$A$10:$BV$140,AF$4,FALSE))</f>
        <v/>
      </c>
      <c r="AG11" s="30" t="str">
        <f>IF($C11="","",VLOOKUP($C11,AMABat!$A$10:$BV$140,AG$4,FALSE))</f>
        <v/>
      </c>
      <c r="AH11" s="30" t="str">
        <f>IF($C11="","",VLOOKUP($C11,AMABat!$A$10:$BV$140,AH$4,FALSE))</f>
        <v/>
      </c>
      <c r="AI11" s="51" t="str">
        <f>IF($C11="","",VLOOKUP($C11,AMABat!$A$10:$BV$140,AI$4,FALSE))</f>
        <v/>
      </c>
      <c r="AJ11" s="31" t="str">
        <f>IF($C11="","",VLOOKUP($C11,AMABat!$A$10:$BV$140,AJ$4,FALSE))</f>
        <v/>
      </c>
      <c r="AK11" s="60" t="str">
        <f t="shared" si="13"/>
        <v/>
      </c>
      <c r="AL11" s="345" t="str">
        <f t="shared" si="14"/>
        <v/>
      </c>
      <c r="AM11" s="339" t="str">
        <f t="shared" si="15"/>
        <v/>
      </c>
      <c r="AN11" s="339" t="str">
        <f t="shared" si="16"/>
        <v/>
      </c>
      <c r="AO11" s="339" t="str">
        <f t="shared" si="17"/>
        <v/>
      </c>
      <c r="AP11" s="339" t="str">
        <f t="shared" si="18"/>
        <v/>
      </c>
      <c r="AQ11" s="339" t="str">
        <f t="shared" si="19"/>
        <v/>
      </c>
      <c r="AR11" s="339" t="str">
        <f t="shared" si="20"/>
        <v/>
      </c>
      <c r="AS11" s="339" t="str">
        <f t="shared" si="21"/>
        <v/>
      </c>
      <c r="AT11" s="340" t="str">
        <f t="shared" si="22"/>
        <v/>
      </c>
      <c r="AU11" s="51" t="str">
        <f>IF($C11="","",VLOOKUP($C11,AMABat!$A$10:$BV$140,AU$4,FALSE))</f>
        <v/>
      </c>
      <c r="AV11" s="30" t="str">
        <f>IF($C11="","",VLOOKUP($C11,AMABat!$A$10:$BV$140,AV$4,FALSE))</f>
        <v/>
      </c>
      <c r="AW11" s="30" t="str">
        <f>IF($C11="","",VLOOKUP($C11,AMABat!$A$10:$BV$140,AW$4,FALSE))</f>
        <v/>
      </c>
      <c r="AX11" s="30" t="str">
        <f>IF($C11="","",VLOOKUP($C11,AMABat!$A$10:$BV$140,AX$4,FALSE))</f>
        <v/>
      </c>
      <c r="AY11" s="31" t="str">
        <f>IF($C11="","",VLOOKUP($C11,AMABat!$A$10:$BV$140,AY$4,FALSE))</f>
        <v/>
      </c>
      <c r="AZ11" s="60" t="str">
        <f t="shared" si="23"/>
        <v/>
      </c>
    </row>
    <row r="12" spans="1:52" x14ac:dyDescent="0.25">
      <c r="A12" s="305">
        <v>7</v>
      </c>
      <c r="B12" s="29" t="s">
        <v>80</v>
      </c>
      <c r="C12" s="58"/>
      <c r="D12" s="30" t="str">
        <f>IF($C12="","",VLOOKUP($C12,AMABat!$A$10:$BV$140,D$4,FALSE))</f>
        <v/>
      </c>
      <c r="E12" s="30" t="str">
        <f>IF($C12="","",VLOOKUP($C12,AMABat!$A$10:$BV$140,E$4,FALSE))</f>
        <v/>
      </c>
      <c r="F12" s="345" t="str">
        <f t="shared" si="0"/>
        <v/>
      </c>
      <c r="G12" s="339" t="str">
        <f t="shared" si="1"/>
        <v/>
      </c>
      <c r="H12" s="339" t="str">
        <f t="shared" si="2"/>
        <v/>
      </c>
      <c r="I12" s="339" t="str">
        <f t="shared" si="3"/>
        <v/>
      </c>
      <c r="J12" s="51" t="str">
        <f>IF($C12="","",VLOOKUP($C12,AMABat!$A$10:$BV$140,J$4,FALSE))</f>
        <v/>
      </c>
      <c r="K12" s="30" t="str">
        <f>IF($C12="","",VLOOKUP($C12,AMABat!$A$10:$BV$140,K$4,FALSE))</f>
        <v/>
      </c>
      <c r="L12" s="31" t="str">
        <f>IF($C12="","",VLOOKUP($C12,AMABat!$A$10:$BV$140,L$4,FALSE))</f>
        <v/>
      </c>
      <c r="M12" s="30" t="str">
        <f>IF($C12="","",VLOOKUP($C12,AMABat!$A$10:$BV$140,M$4,FALSE))</f>
        <v/>
      </c>
      <c r="N12" s="30" t="str">
        <f>IF($C12="","",VLOOKUP($C12,AMABat!$A$10:$BV$140,N$4,FALSE))</f>
        <v/>
      </c>
      <c r="O12" s="30" t="str">
        <f>IF($C12="","",VLOOKUP($C12,AMABat!$A$10:$BV$140,O$4,FALSE))</f>
        <v/>
      </c>
      <c r="P12" s="30" t="str">
        <f>IF($C12="","",VLOOKUP($C12,AMABat!$A$10:$BV$140,P$4,FALSE))</f>
        <v/>
      </c>
      <c r="Q12" s="30" t="str">
        <f>IF($C12="","",VLOOKUP($C12,AMABat!$A$10:$BV$140,Q$4,FALSE))</f>
        <v/>
      </c>
      <c r="R12" s="30" t="str">
        <f>IF($C12="","",VLOOKUP($C12,AMABat!$A$10:$BV$140,R$4,FALSE))</f>
        <v/>
      </c>
      <c r="S12" s="30" t="str">
        <f>IF($C12="","",VLOOKUP($C12,AMABat!$A$10:$BV$140,S$4,FALSE))</f>
        <v/>
      </c>
      <c r="T12" s="31" t="str">
        <f>IF($C12="","",VLOOKUP($C12,AMABat!$A$10:$BV$140,T$4,FALSE))</f>
        <v/>
      </c>
      <c r="U12" s="345" t="str">
        <f t="shared" si="4"/>
        <v/>
      </c>
      <c r="V12" s="339" t="str">
        <f t="shared" si="5"/>
        <v/>
      </c>
      <c r="W12" s="339" t="str">
        <f t="shared" si="6"/>
        <v/>
      </c>
      <c r="X12" s="339" t="str">
        <f t="shared" si="7"/>
        <v/>
      </c>
      <c r="Y12" s="339" t="str">
        <f t="shared" si="8"/>
        <v/>
      </c>
      <c r="Z12" s="339" t="str">
        <f t="shared" si="9"/>
        <v/>
      </c>
      <c r="AA12" s="339" t="str">
        <f t="shared" si="10"/>
        <v/>
      </c>
      <c r="AB12" s="339" t="str">
        <f t="shared" si="11"/>
        <v/>
      </c>
      <c r="AC12" s="340" t="str">
        <f t="shared" si="12"/>
        <v/>
      </c>
      <c r="AD12" s="30" t="str">
        <f>IF($C12="","",VLOOKUP($C12,AMABat!$A$10:$BV$140,AD$4,FALSE))</f>
        <v/>
      </c>
      <c r="AE12" s="30" t="str">
        <f>IF($C12="","",VLOOKUP($C12,AMABat!$A$10:$BV$140,AE$4,FALSE))</f>
        <v/>
      </c>
      <c r="AF12" s="30" t="str">
        <f>IF($C12="","",VLOOKUP($C12,AMABat!$A$10:$BV$140,AF$4,FALSE))</f>
        <v/>
      </c>
      <c r="AG12" s="30" t="str">
        <f>IF($C12="","",VLOOKUP($C12,AMABat!$A$10:$BV$140,AG$4,FALSE))</f>
        <v/>
      </c>
      <c r="AH12" s="30" t="str">
        <f>IF($C12="","",VLOOKUP($C12,AMABat!$A$10:$BV$140,AH$4,FALSE))</f>
        <v/>
      </c>
      <c r="AI12" s="51" t="str">
        <f>IF($C12="","",VLOOKUP($C12,AMABat!$A$10:$BV$140,AI$4,FALSE))</f>
        <v/>
      </c>
      <c r="AJ12" s="31" t="str">
        <f>IF($C12="","",VLOOKUP($C12,AMABat!$A$10:$BV$140,AJ$4,FALSE))</f>
        <v/>
      </c>
      <c r="AK12" s="60" t="str">
        <f t="shared" si="13"/>
        <v/>
      </c>
      <c r="AL12" s="345" t="str">
        <f t="shared" si="14"/>
        <v/>
      </c>
      <c r="AM12" s="339" t="str">
        <f t="shared" si="15"/>
        <v/>
      </c>
      <c r="AN12" s="339" t="str">
        <f t="shared" si="16"/>
        <v/>
      </c>
      <c r="AO12" s="339" t="str">
        <f t="shared" si="17"/>
        <v/>
      </c>
      <c r="AP12" s="339" t="str">
        <f t="shared" si="18"/>
        <v/>
      </c>
      <c r="AQ12" s="339" t="str">
        <f t="shared" si="19"/>
        <v/>
      </c>
      <c r="AR12" s="339" t="str">
        <f t="shared" si="20"/>
        <v/>
      </c>
      <c r="AS12" s="339" t="str">
        <f t="shared" si="21"/>
        <v/>
      </c>
      <c r="AT12" s="340" t="str">
        <f t="shared" si="22"/>
        <v/>
      </c>
      <c r="AU12" s="51" t="str">
        <f>IF($C12="","",VLOOKUP($C12,AMABat!$A$10:$BV$140,AU$4,FALSE))</f>
        <v/>
      </c>
      <c r="AV12" s="30" t="str">
        <f>IF($C12="","",VLOOKUP($C12,AMABat!$A$10:$BV$140,AV$4,FALSE))</f>
        <v/>
      </c>
      <c r="AW12" s="30" t="str">
        <f>IF($C12="","",VLOOKUP($C12,AMABat!$A$10:$BV$140,AW$4,FALSE))</f>
        <v/>
      </c>
      <c r="AX12" s="30" t="str">
        <f>IF($C12="","",VLOOKUP($C12,AMABat!$A$10:$BV$140,AX$4,FALSE))</f>
        <v/>
      </c>
      <c r="AY12" s="31" t="str">
        <f>IF($C12="","",VLOOKUP($C12,AMABat!$A$10:$BV$140,AY$4,FALSE))</f>
        <v/>
      </c>
      <c r="AZ12" s="60" t="str">
        <f t="shared" si="23"/>
        <v/>
      </c>
    </row>
    <row r="13" spans="1:52" x14ac:dyDescent="0.25">
      <c r="A13" s="305">
        <v>8</v>
      </c>
      <c r="B13" s="29" t="s">
        <v>80</v>
      </c>
      <c r="C13" s="58"/>
      <c r="D13" s="30" t="str">
        <f>IF($C13="","",VLOOKUP($C13,AMABat!$A$10:$BV$140,D$4,FALSE))</f>
        <v/>
      </c>
      <c r="E13" s="30" t="str">
        <f>IF($C13="","",VLOOKUP($C13,AMABat!$A$10:$BV$140,E$4,FALSE))</f>
        <v/>
      </c>
      <c r="F13" s="345" t="str">
        <f t="shared" si="0"/>
        <v/>
      </c>
      <c r="G13" s="339" t="str">
        <f t="shared" si="1"/>
        <v/>
      </c>
      <c r="H13" s="339" t="str">
        <f t="shared" si="2"/>
        <v/>
      </c>
      <c r="I13" s="339" t="str">
        <f t="shared" si="3"/>
        <v/>
      </c>
      <c r="J13" s="51" t="str">
        <f>IF($C13="","",VLOOKUP($C13,AMABat!$A$10:$BV$140,J$4,FALSE))</f>
        <v/>
      </c>
      <c r="K13" s="30" t="str">
        <f>IF($C13="","",VLOOKUP($C13,AMABat!$A$10:$BV$140,K$4,FALSE))</f>
        <v/>
      </c>
      <c r="L13" s="31" t="str">
        <f>IF($C13="","",VLOOKUP($C13,AMABat!$A$10:$BV$140,L$4,FALSE))</f>
        <v/>
      </c>
      <c r="M13" s="30" t="str">
        <f>IF($C13="","",VLOOKUP($C13,AMABat!$A$10:$BV$140,M$4,FALSE))</f>
        <v/>
      </c>
      <c r="N13" s="30" t="str">
        <f>IF($C13="","",VLOOKUP($C13,AMABat!$A$10:$BV$140,N$4,FALSE))</f>
        <v/>
      </c>
      <c r="O13" s="30" t="str">
        <f>IF($C13="","",VLOOKUP($C13,AMABat!$A$10:$BV$140,O$4,FALSE))</f>
        <v/>
      </c>
      <c r="P13" s="30" t="str">
        <f>IF($C13="","",VLOOKUP($C13,AMABat!$A$10:$BV$140,P$4,FALSE))</f>
        <v/>
      </c>
      <c r="Q13" s="30" t="str">
        <f>IF($C13="","",VLOOKUP($C13,AMABat!$A$10:$BV$140,Q$4,FALSE))</f>
        <v/>
      </c>
      <c r="R13" s="30" t="str">
        <f>IF($C13="","",VLOOKUP($C13,AMABat!$A$10:$BV$140,R$4,FALSE))</f>
        <v/>
      </c>
      <c r="S13" s="30" t="str">
        <f>IF($C13="","",VLOOKUP($C13,AMABat!$A$10:$BV$140,S$4,FALSE))</f>
        <v/>
      </c>
      <c r="T13" s="31" t="str">
        <f>IF($C13="","",VLOOKUP($C13,AMABat!$A$10:$BV$140,T$4,FALSE))</f>
        <v/>
      </c>
      <c r="U13" s="345" t="str">
        <f t="shared" si="4"/>
        <v/>
      </c>
      <c r="V13" s="339" t="str">
        <f t="shared" si="5"/>
        <v/>
      </c>
      <c r="W13" s="339" t="str">
        <f t="shared" si="6"/>
        <v/>
      </c>
      <c r="X13" s="339" t="str">
        <f t="shared" si="7"/>
        <v/>
      </c>
      <c r="Y13" s="339" t="str">
        <f t="shared" si="8"/>
        <v/>
      </c>
      <c r="Z13" s="339" t="str">
        <f t="shared" si="9"/>
        <v/>
      </c>
      <c r="AA13" s="339" t="str">
        <f t="shared" si="10"/>
        <v/>
      </c>
      <c r="AB13" s="339" t="str">
        <f t="shared" si="11"/>
        <v/>
      </c>
      <c r="AC13" s="340" t="str">
        <f t="shared" si="12"/>
        <v/>
      </c>
      <c r="AD13" s="30" t="str">
        <f>IF($C13="","",VLOOKUP($C13,AMABat!$A$10:$BV$140,AD$4,FALSE))</f>
        <v/>
      </c>
      <c r="AE13" s="30" t="str">
        <f>IF($C13="","",VLOOKUP($C13,AMABat!$A$10:$BV$140,AE$4,FALSE))</f>
        <v/>
      </c>
      <c r="AF13" s="30" t="str">
        <f>IF($C13="","",VLOOKUP($C13,AMABat!$A$10:$BV$140,AF$4,FALSE))</f>
        <v/>
      </c>
      <c r="AG13" s="30" t="str">
        <f>IF($C13="","",VLOOKUP($C13,AMABat!$A$10:$BV$140,AG$4,FALSE))</f>
        <v/>
      </c>
      <c r="AH13" s="30" t="str">
        <f>IF($C13="","",VLOOKUP($C13,AMABat!$A$10:$BV$140,AH$4,FALSE))</f>
        <v/>
      </c>
      <c r="AI13" s="51" t="str">
        <f>IF($C13="","",VLOOKUP($C13,AMABat!$A$10:$BV$140,AI$4,FALSE))</f>
        <v/>
      </c>
      <c r="AJ13" s="31" t="str">
        <f>IF($C13="","",VLOOKUP($C13,AMABat!$A$10:$BV$140,AJ$4,FALSE))</f>
        <v/>
      </c>
      <c r="AK13" s="60" t="str">
        <f t="shared" si="13"/>
        <v/>
      </c>
      <c r="AL13" s="345" t="str">
        <f t="shared" si="14"/>
        <v/>
      </c>
      <c r="AM13" s="339" t="str">
        <f t="shared" si="15"/>
        <v/>
      </c>
      <c r="AN13" s="339" t="str">
        <f t="shared" si="16"/>
        <v/>
      </c>
      <c r="AO13" s="339" t="str">
        <f t="shared" si="17"/>
        <v/>
      </c>
      <c r="AP13" s="339" t="str">
        <f t="shared" si="18"/>
        <v/>
      </c>
      <c r="AQ13" s="339" t="str">
        <f t="shared" si="19"/>
        <v/>
      </c>
      <c r="AR13" s="339" t="str">
        <f t="shared" si="20"/>
        <v/>
      </c>
      <c r="AS13" s="339" t="str">
        <f t="shared" si="21"/>
        <v/>
      </c>
      <c r="AT13" s="340" t="str">
        <f t="shared" si="22"/>
        <v/>
      </c>
      <c r="AU13" s="51" t="str">
        <f>IF($C13="","",VLOOKUP($C13,AMABat!$A$10:$BV$140,AU$4,FALSE))</f>
        <v/>
      </c>
      <c r="AV13" s="30" t="str">
        <f>IF($C13="","",VLOOKUP($C13,AMABat!$A$10:$BV$140,AV$4,FALSE))</f>
        <v/>
      </c>
      <c r="AW13" s="30" t="str">
        <f>IF($C13="","",VLOOKUP($C13,AMABat!$A$10:$BV$140,AW$4,FALSE))</f>
        <v/>
      </c>
      <c r="AX13" s="30" t="str">
        <f>IF($C13="","",VLOOKUP($C13,AMABat!$A$10:$BV$140,AX$4,FALSE))</f>
        <v/>
      </c>
      <c r="AY13" s="31" t="str">
        <f>IF($C13="","",VLOOKUP($C13,AMABat!$A$10:$BV$140,AY$4,FALSE))</f>
        <v/>
      </c>
      <c r="AZ13" s="60" t="str">
        <f t="shared" si="23"/>
        <v/>
      </c>
    </row>
    <row r="14" spans="1:52" x14ac:dyDescent="0.25">
      <c r="A14" s="305">
        <v>9</v>
      </c>
      <c r="B14" s="32" t="s">
        <v>80</v>
      </c>
      <c r="C14" s="33"/>
      <c r="D14" s="33" t="str">
        <f>IF($C14="","",VLOOKUP($C14,AMABat!$A$10:$BV$140,D$4,FALSE))</f>
        <v/>
      </c>
      <c r="E14" s="33" t="str">
        <f>IF($C14="","",VLOOKUP($C14,AMABat!$A$10:$BV$140,E$4,FALSE))</f>
        <v/>
      </c>
      <c r="F14" s="47" t="str">
        <f t="shared" si="0"/>
        <v/>
      </c>
      <c r="G14" s="337" t="str">
        <f t="shared" si="1"/>
        <v/>
      </c>
      <c r="H14" s="337" t="str">
        <f t="shared" si="2"/>
        <v/>
      </c>
      <c r="I14" s="337" t="str">
        <f t="shared" si="3"/>
        <v/>
      </c>
      <c r="J14" s="52" t="str">
        <f>IF($C14="","",VLOOKUP($C14,AMABat!$A$10:$BV$140,J$4,FALSE))</f>
        <v/>
      </c>
      <c r="K14" s="33" t="str">
        <f>IF($C14="","",VLOOKUP($C14,AMABat!$A$10:$BV$140,K$4,FALSE))</f>
        <v/>
      </c>
      <c r="L14" s="35" t="str">
        <f>IF($C14="","",VLOOKUP($C14,AMABat!$A$10:$BV$140,L$4,FALSE))</f>
        <v/>
      </c>
      <c r="M14" s="33" t="str">
        <f>IF($C14="","",VLOOKUP($C14,AMABat!$A$10:$BV$140,M$4,FALSE))</f>
        <v/>
      </c>
      <c r="N14" s="33" t="str">
        <f>IF($C14="","",VLOOKUP($C14,AMABat!$A$10:$BV$140,N$4,FALSE))</f>
        <v/>
      </c>
      <c r="O14" s="33" t="str">
        <f>IF($C14="","",VLOOKUP($C14,AMABat!$A$10:$BV$140,O$4,FALSE))</f>
        <v/>
      </c>
      <c r="P14" s="33" t="str">
        <f>IF($C14="","",VLOOKUP($C14,AMABat!$A$10:$BV$140,P$4,FALSE))</f>
        <v/>
      </c>
      <c r="Q14" s="33" t="str">
        <f>IF($C14="","",VLOOKUP($C14,AMABat!$A$10:$BV$140,Q$4,FALSE))</f>
        <v/>
      </c>
      <c r="R14" s="33" t="str">
        <f>IF($C14="","",VLOOKUP($C14,AMABat!$A$10:$BV$140,R$4,FALSE))</f>
        <v/>
      </c>
      <c r="S14" s="33" t="str">
        <f>IF($C14="","",VLOOKUP($C14,AMABat!$A$10:$BV$140,S$4,FALSE))</f>
        <v/>
      </c>
      <c r="T14" s="35" t="str">
        <f>IF($C14="","",VLOOKUP($C14,AMABat!$A$10:$BV$140,T$4,FALSE))</f>
        <v/>
      </c>
      <c r="U14" s="47" t="str">
        <f t="shared" si="4"/>
        <v/>
      </c>
      <c r="V14" s="337" t="str">
        <f t="shared" si="5"/>
        <v/>
      </c>
      <c r="W14" s="337" t="str">
        <f t="shared" si="6"/>
        <v/>
      </c>
      <c r="X14" s="337" t="str">
        <f t="shared" si="7"/>
        <v/>
      </c>
      <c r="Y14" s="337" t="str">
        <f t="shared" si="8"/>
        <v/>
      </c>
      <c r="Z14" s="337" t="str">
        <f t="shared" si="9"/>
        <v/>
      </c>
      <c r="AA14" s="337" t="str">
        <f t="shared" si="10"/>
        <v/>
      </c>
      <c r="AB14" s="337" t="str">
        <f t="shared" si="11"/>
        <v/>
      </c>
      <c r="AC14" s="338" t="str">
        <f t="shared" si="12"/>
        <v/>
      </c>
      <c r="AD14" s="33" t="str">
        <f>IF($C14="","",VLOOKUP($C14,AMABat!$A$10:$BV$140,AD$4,FALSE))</f>
        <v/>
      </c>
      <c r="AE14" s="33" t="str">
        <f>IF($C14="","",VLOOKUP($C14,AMABat!$A$10:$BV$140,AE$4,FALSE))</f>
        <v/>
      </c>
      <c r="AF14" s="33" t="str">
        <f>IF($C14="","",VLOOKUP($C14,AMABat!$A$10:$BV$140,AF$4,FALSE))</f>
        <v/>
      </c>
      <c r="AG14" s="33" t="str">
        <f>IF($C14="","",VLOOKUP($C14,AMABat!$A$10:$BV$140,AG$4,FALSE))</f>
        <v/>
      </c>
      <c r="AH14" s="33" t="str">
        <f>IF($C14="","",VLOOKUP($C14,AMABat!$A$10:$BV$140,AH$4,FALSE))</f>
        <v/>
      </c>
      <c r="AI14" s="52" t="str">
        <f>IF($C14="","",VLOOKUP($C14,AMABat!$A$10:$BV$140,AI$4,FALSE))</f>
        <v/>
      </c>
      <c r="AJ14" s="35" t="str">
        <f>IF($C14="","",VLOOKUP($C14,AMABat!$A$10:$BV$140,AJ$4,FALSE))</f>
        <v/>
      </c>
      <c r="AK14" s="61" t="str">
        <f t="shared" si="13"/>
        <v/>
      </c>
      <c r="AL14" s="47" t="str">
        <f t="shared" si="14"/>
        <v/>
      </c>
      <c r="AM14" s="337" t="str">
        <f t="shared" si="15"/>
        <v/>
      </c>
      <c r="AN14" s="337" t="str">
        <f t="shared" si="16"/>
        <v/>
      </c>
      <c r="AO14" s="337" t="str">
        <f t="shared" si="17"/>
        <v/>
      </c>
      <c r="AP14" s="337" t="str">
        <f t="shared" si="18"/>
        <v/>
      </c>
      <c r="AQ14" s="337" t="str">
        <f t="shared" si="19"/>
        <v/>
      </c>
      <c r="AR14" s="337" t="str">
        <f t="shared" si="20"/>
        <v/>
      </c>
      <c r="AS14" s="337" t="str">
        <f t="shared" si="21"/>
        <v/>
      </c>
      <c r="AT14" s="338" t="str">
        <f t="shared" si="22"/>
        <v/>
      </c>
      <c r="AU14" s="52" t="str">
        <f>IF($C14="","",VLOOKUP($C14,AMABat!$A$10:$BV$140,AU$4,FALSE))</f>
        <v/>
      </c>
      <c r="AV14" s="33" t="str">
        <f>IF($C14="","",VLOOKUP($C14,AMABat!$A$10:$BV$140,AV$4,FALSE))</f>
        <v/>
      </c>
      <c r="AW14" s="33" t="str">
        <f>IF($C14="","",VLOOKUP($C14,AMABat!$A$10:$BV$140,AW$4,FALSE))</f>
        <v/>
      </c>
      <c r="AX14" s="33" t="str">
        <f>IF($C14="","",VLOOKUP($C14,AMABat!$A$10:$BV$140,AX$4,FALSE))</f>
        <v/>
      </c>
      <c r="AY14" s="35" t="str">
        <f>IF($C14="","",VLOOKUP($C14,AMABat!$A$10:$BV$140,AY$4,FALSE))</f>
        <v/>
      </c>
      <c r="AZ14" s="61" t="str">
        <f t="shared" si="23"/>
        <v/>
      </c>
    </row>
    <row r="15" spans="1:52" x14ac:dyDescent="0.25">
      <c r="A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</row>
    <row r="16" spans="1:52" ht="196.5" x14ac:dyDescent="0.25">
      <c r="A16" s="18" t="s">
        <v>170</v>
      </c>
      <c r="B16" s="341" t="s">
        <v>103</v>
      </c>
      <c r="C16" s="37" t="str">
        <f>"Player ("&amp;COUNTA(C17:C22)&amp;")"</f>
        <v>Player (0)</v>
      </c>
      <c r="D16" s="37" t="s">
        <v>70</v>
      </c>
      <c r="E16" s="37" t="s">
        <v>80</v>
      </c>
      <c r="F16" s="44" t="str">
        <f>"Only 1 guy who only plays 2B ("&amp;SUM(F17:F22)&amp;")"</f>
        <v>Only 1 guy who only plays 2B (0)</v>
      </c>
      <c r="G16" s="39" t="str">
        <f>"2 Guys Who Play SS ("&amp;SUM(G17:G22)&amp;")"</f>
        <v>2 Guys Who Play SS (0)</v>
      </c>
      <c r="H16" s="39" t="str">
        <f>"2 guys with 3B arm ("&amp;SUM(H17:H22)&amp;")"</f>
        <v>2 guys with 3B arm (0)</v>
      </c>
      <c r="I16" s="42" t="s">
        <v>32</v>
      </c>
      <c r="J16" s="40" t="s">
        <v>114</v>
      </c>
      <c r="K16" s="40" t="s">
        <v>112</v>
      </c>
      <c r="L16" s="40" t="s">
        <v>113</v>
      </c>
      <c r="M16" s="56" t="s">
        <v>71</v>
      </c>
      <c r="N16" s="41" t="s">
        <v>73</v>
      </c>
      <c r="O16" s="41" t="s">
        <v>74</v>
      </c>
      <c r="P16" s="41" t="s">
        <v>75</v>
      </c>
      <c r="Q16" s="41" t="s">
        <v>76</v>
      </c>
      <c r="R16" s="41" t="s">
        <v>77</v>
      </c>
      <c r="S16" s="41" t="s">
        <v>78</v>
      </c>
      <c r="T16" s="42" t="s">
        <v>79</v>
      </c>
      <c r="U16" s="38" t="s">
        <v>115</v>
      </c>
      <c r="V16" s="38" t="s">
        <v>158</v>
      </c>
      <c r="W16" s="38" t="s">
        <v>116</v>
      </c>
      <c r="X16" s="38" t="s">
        <v>117</v>
      </c>
      <c r="Y16" s="38" t="s">
        <v>118</v>
      </c>
      <c r="Z16" s="38" t="s">
        <v>119</v>
      </c>
      <c r="AA16" s="38" t="s">
        <v>120</v>
      </c>
      <c r="AB16" s="38" t="s">
        <v>122</v>
      </c>
      <c r="AC16" s="38" t="s">
        <v>121</v>
      </c>
      <c r="AD16" s="56" t="s">
        <v>125</v>
      </c>
      <c r="AE16" s="41" t="s">
        <v>126</v>
      </c>
      <c r="AF16" s="41" t="s">
        <v>127</v>
      </c>
      <c r="AG16" s="41" t="s">
        <v>128</v>
      </c>
      <c r="AH16" s="41" t="s">
        <v>21</v>
      </c>
      <c r="AI16" s="41" t="s">
        <v>129</v>
      </c>
      <c r="AJ16" s="42" t="s">
        <v>130</v>
      </c>
      <c r="AK16" s="59" t="s">
        <v>134</v>
      </c>
      <c r="AL16" s="38" t="s">
        <v>115</v>
      </c>
      <c r="AM16" s="38" t="s">
        <v>158</v>
      </c>
      <c r="AN16" s="38" t="s">
        <v>116</v>
      </c>
      <c r="AO16" s="38" t="s">
        <v>117</v>
      </c>
      <c r="AP16" s="38" t="s">
        <v>118</v>
      </c>
      <c r="AQ16" s="38" t="s">
        <v>119</v>
      </c>
      <c r="AR16" s="38" t="s">
        <v>120</v>
      </c>
      <c r="AS16" s="38" t="s">
        <v>122</v>
      </c>
      <c r="AT16" s="38" t="s">
        <v>121</v>
      </c>
      <c r="AU16" s="56" t="s">
        <v>125</v>
      </c>
      <c r="AV16" s="41" t="s">
        <v>126</v>
      </c>
      <c r="AW16" s="41" t="s">
        <v>127</v>
      </c>
      <c r="AX16" s="41" t="s">
        <v>128</v>
      </c>
      <c r="AY16" s="42" t="s">
        <v>21</v>
      </c>
      <c r="AZ16" s="59" t="s">
        <v>174</v>
      </c>
    </row>
    <row r="17" spans="1:52" x14ac:dyDescent="0.25">
      <c r="A17" s="305">
        <v>1</v>
      </c>
      <c r="B17" s="29" t="s">
        <v>74</v>
      </c>
      <c r="C17" s="30"/>
      <c r="D17" s="30" t="str">
        <f>IF($C17="","",VLOOKUP($C17,AMABat!$A$10:$BV$140,D$4,FALSE))</f>
        <v/>
      </c>
      <c r="E17" s="26" t="str">
        <f>IF($C17="","",VLOOKUP($C17,AMABat!$A$10:$BV$140,E$4,FALSE))</f>
        <v/>
      </c>
      <c r="F17" s="345" t="str">
        <f t="shared" ref="F17:F22" si="24">IF($C17="","",IF(AND(O17&gt;0,O17=SUM(M17:T17)),1,0))</f>
        <v/>
      </c>
      <c r="G17" s="339" t="str">
        <f t="shared" ref="G17:G22" si="25">IF($C17="","",IF(Q17&lt;&gt;"-",1,0))</f>
        <v/>
      </c>
      <c r="H17" s="339" t="str">
        <f t="shared" ref="H17:H22" si="26">IF($C17="","",IF(AND(K17&gt;5,P17&lt;&gt;"-"),1,0))</f>
        <v/>
      </c>
      <c r="I17" s="340" t="str">
        <f t="shared" ref="I17:I22" si="27">IF($C17="","","-")</f>
        <v/>
      </c>
      <c r="J17" s="30" t="str">
        <f>IF($C17="","",VLOOKUP($C17,AMABat!$A$10:$BV$140,J$4,FALSE))</f>
        <v/>
      </c>
      <c r="K17" s="30" t="str">
        <f>IF($C17="","",VLOOKUP($C17,AMABat!$A$10:$BV$140,K$4,FALSE))</f>
        <v/>
      </c>
      <c r="L17" s="30" t="str">
        <f>IF($C17="","",VLOOKUP($C17,AMABat!$A$10:$BV$140,L$4,FALSE))</f>
        <v/>
      </c>
      <c r="M17" s="51" t="str">
        <f>IF($C17="","",VLOOKUP($C17,AMABat!$A$10:$BV$140,M$4,FALSE))</f>
        <v/>
      </c>
      <c r="N17" s="30" t="str">
        <f>IF($C17="","",VLOOKUP($C17,AMABat!$A$10:$BV$140,N$4,FALSE))</f>
        <v/>
      </c>
      <c r="O17" s="30" t="str">
        <f>IF($C17="","",VLOOKUP($C17,AMABat!$A$10:$BV$140,O$4,FALSE))</f>
        <v/>
      </c>
      <c r="P17" s="30" t="str">
        <f>IF($C17="","",VLOOKUP($C17,AMABat!$A$10:$BV$140,P$4,FALSE))</f>
        <v/>
      </c>
      <c r="Q17" s="30" t="str">
        <f>IF($C17="","",VLOOKUP($C17,AMABat!$A$10:$BV$140,Q$4,FALSE))</f>
        <v/>
      </c>
      <c r="R17" s="30" t="str">
        <f>IF($C17="","",VLOOKUP($C17,AMABat!$A$10:$BV$140,R$4,FALSE))</f>
        <v/>
      </c>
      <c r="S17" s="30" t="str">
        <f>IF($C17="","",VLOOKUP($C17,AMABat!$A$10:$BV$140,S$4,FALSE))</f>
        <v/>
      </c>
      <c r="T17" s="31" t="str">
        <f>IF($C17="","",VLOOKUP($C17,AMABat!$A$10:$BV$140,T$4,FALSE))</f>
        <v/>
      </c>
      <c r="U17" s="339" t="str">
        <f t="shared" ref="U17:U22" si="28">IF($C17="","",IF(OR(AD17+AG17&gt;14,AND(OR(AD17+AG17&gt;12,AND(AD17&gt;6,AG17&gt;6)),AI17&gt;6,OR(AJ17&gt;=AI17,AJ17&gt;6))),1,0))</f>
        <v/>
      </c>
      <c r="V17" s="339" t="str">
        <f t="shared" ref="V17:V22" si="29">IF($C17="","",IF(OR(AND(AD17&gt;6,AH17&gt;6),AD17+AG17&gt;12),1,0))</f>
        <v/>
      </c>
      <c r="W17" s="339" t="str">
        <f t="shared" ref="W17:W22" si="30">IF($C17="","",IF(AND(AD17&gt;6,AF17&gt;6,AG17&gt;6),1,0))</f>
        <v/>
      </c>
      <c r="X17" s="339" t="str">
        <f t="shared" ref="X17:X22" si="31">IF($C17="","",IF(AND(AF17&gt;7,OR(AD17&gt;6,AG17&gt;6)),1,0))</f>
        <v/>
      </c>
      <c r="Y17" s="339" t="str">
        <f t="shared" ref="Y17:Y22" si="32">IF($C17="","",IF(AND(AF17&gt;6,OR(AD17&gt;6,AG17&gt;6)),1,0))</f>
        <v/>
      </c>
      <c r="Z17" s="339" t="str">
        <f t="shared" ref="Z17:Z22" si="33">IF($C17="","",IF(AND(OR(AD17&gt;6,AF17&gt;6),OR(AD17&gt;6,AG17&gt;6)),1,0))</f>
        <v/>
      </c>
      <c r="AA17" s="339" t="str">
        <f t="shared" ref="AA17:AA22" si="34">IF($C17="","",IF(AND(AD17&gt;4,OR(AD17&gt;6,AF17&gt;6,AG17&gt;6)),1,0))</f>
        <v/>
      </c>
      <c r="AB17" s="339" t="str">
        <f t="shared" ref="AB17:AB22" si="35">IF($C17="","",IF(AND(AD17&gt;4,OR(AD17&gt;6,AE17&gt;6,AF17&gt;6,AG17&gt;6)),1,0))</f>
        <v/>
      </c>
      <c r="AC17" s="339" t="str">
        <f t="shared" ref="AC17:AC22" si="36">IF($C17="","",IF(AND(AD17&gt;4,MAX(AD17:AH17)&gt;6),1,0))</f>
        <v/>
      </c>
      <c r="AD17" s="51" t="str">
        <f>IF($C17="","",VLOOKUP($C17,AMABat!$A$10:$BV$140,AD$4,FALSE))</f>
        <v/>
      </c>
      <c r="AE17" s="30" t="str">
        <f>IF($C17="","",VLOOKUP($C17,AMABat!$A$10:$BV$140,AE$4,FALSE))</f>
        <v/>
      </c>
      <c r="AF17" s="30" t="str">
        <f>IF($C17="","",VLOOKUP($C17,AMABat!$A$10:$BV$140,AF$4,FALSE))</f>
        <v/>
      </c>
      <c r="AG17" s="30" t="str">
        <f>IF($C17="","",VLOOKUP($C17,AMABat!$A$10:$BV$140,AG$4,FALSE))</f>
        <v/>
      </c>
      <c r="AH17" s="30" t="str">
        <f>IF($C17="","",VLOOKUP($C17,AMABat!$A$10:$BV$140,AH$4,FALSE))</f>
        <v/>
      </c>
      <c r="AI17" s="30" t="str">
        <f>IF($C17="","",VLOOKUP($C17,AMABat!$A$10:$BV$140,AI$4,FALSE))</f>
        <v/>
      </c>
      <c r="AJ17" s="31" t="str">
        <f>IF($C17="","",VLOOKUP($C17,AMABat!$A$10:$BV$140,AJ$4,FALSE))</f>
        <v/>
      </c>
      <c r="AK17" s="60" t="str">
        <f t="shared" ref="AK17:AK22" si="37">IF($C17="","",(5*AD17+4*AF17+3*AG17+2*AE17+1*AH17+0.5*(AVERAGE(AD17:AE17))+0.5*AVERAGE(AD17,AH17)+1*(AVERAGE(AD17,AF17))+1*AVERAGE(AD17,AG17))/(5+4+3+2+1+0.5+0.5+1+1))</f>
        <v/>
      </c>
      <c r="AL17" s="339" t="str">
        <f t="shared" ref="AL17:AL22" si="38">IF($C17="","",IF(AND(OR(AU17+AX17&gt;12,AND(AU17&gt;6,AX17&gt;6)),AI17&gt;6,OR(AJ17&gt;=AI17,AJ17&gt;6)),1,0))</f>
        <v/>
      </c>
      <c r="AM17" s="339" t="str">
        <f t="shared" ref="AM17:AM22" si="39">IF($C17="","",IF(OR(AND(AU17&gt;6,AY17&gt;6),AU17+AX17&gt;12),1,0))</f>
        <v/>
      </c>
      <c r="AN17" s="339" t="str">
        <f t="shared" ref="AN17:AN22" si="40">IF($C17="","",IF(AND(AU17&gt;6,AW17&gt;6,AX17&gt;6),1,0))</f>
        <v/>
      </c>
      <c r="AO17" s="339" t="str">
        <f t="shared" ref="AO17:AO22" si="41">IF($C17="","",IF(AND(AW17&gt;7,OR(AU17&gt;6,AX17&gt;6)),1,0))</f>
        <v/>
      </c>
      <c r="AP17" s="339" t="str">
        <f t="shared" ref="AP17:AP22" si="42">IF($C17="","",IF(AND(AW17&gt;6,OR(AU17&gt;6,AX17&gt;6)),1,0))</f>
        <v/>
      </c>
      <c r="AQ17" s="339" t="str">
        <f t="shared" ref="AQ17:AQ22" si="43">IF($C17="","",IF(AND(OR(AU17&gt;6,AW17&gt;6),OR(AU17&gt;6,AX17&gt;6)),1,0))</f>
        <v/>
      </c>
      <c r="AR17" s="339" t="str">
        <f t="shared" ref="AR17:AR22" si="44">IF($C17="","",IF(AND(AU17&gt;4,OR(AU17&gt;6,AW17&gt;6,AX17&gt;6)),1,0))</f>
        <v/>
      </c>
      <c r="AS17" s="339" t="str">
        <f t="shared" ref="AS17:AS22" si="45">IF($C17="","",IF(AND(AU17&gt;4,OR(AU17&gt;6,AV17&gt;6,AW17&gt;6,AX17&gt;6)),1,0))</f>
        <v/>
      </c>
      <c r="AT17" s="339" t="str">
        <f t="shared" ref="AT17:AT22" si="46">IF($C17="","",IF(AND(AU17&gt;4,MAX(AU17:AY17)&gt;6),1,0))</f>
        <v/>
      </c>
      <c r="AU17" s="51" t="str">
        <f>IF($C17="","",VLOOKUP($C17,AMABat!$A$10:$BV$140,AU$4,FALSE))</f>
        <v/>
      </c>
      <c r="AV17" s="30" t="str">
        <f>IF($C17="","",VLOOKUP($C17,AMABat!$A$10:$BV$140,AV$4,FALSE))</f>
        <v/>
      </c>
      <c r="AW17" s="30" t="str">
        <f>IF($C17="","",VLOOKUP($C17,AMABat!$A$10:$BV$140,AW$4,FALSE))</f>
        <v/>
      </c>
      <c r="AX17" s="30" t="str">
        <f>IF($C17="","",VLOOKUP($C17,AMABat!$A$10:$BV$140,AX$4,FALSE))</f>
        <v/>
      </c>
      <c r="AY17" s="31" t="str">
        <f>IF($C17="","",VLOOKUP($C17,AMABat!$A$10:$BV$140,AY$4,FALSE))</f>
        <v/>
      </c>
      <c r="AZ17" s="60" t="str">
        <f t="shared" ref="AZ17:AZ22" si="47">IF($C17="","",(5*AU17+4*AW17+3*AX17+2*AV17+1*AY17+0.5*(AVERAGE(AU17:AV17))+0.5*AVERAGE(AU17,AY17)+1*(AVERAGE(AU17,AW17))+1*AVERAGE(AU17,AX17))/(5+4+3+2+1+0.5+0.5+1+1))</f>
        <v/>
      </c>
    </row>
    <row r="18" spans="1:52" x14ac:dyDescent="0.25">
      <c r="A18" s="305">
        <v>2</v>
      </c>
      <c r="B18" s="29" t="s">
        <v>75</v>
      </c>
      <c r="C18" s="58"/>
      <c r="D18" s="30" t="str">
        <f>IF($C18="","",VLOOKUP($C18,AMABat!$A$10:$BV$140,D$4,FALSE))</f>
        <v/>
      </c>
      <c r="E18" s="30" t="str">
        <f>IF($C18="","",VLOOKUP($C18,AMABat!$A$10:$BV$140,E$4,FALSE))</f>
        <v/>
      </c>
      <c r="F18" s="345" t="str">
        <f t="shared" ref="F18:F19" si="48">IF($C18="","",IF(AND(O18&gt;0,O18=SUM(M18:T18)),1,0))</f>
        <v/>
      </c>
      <c r="G18" s="339" t="str">
        <f t="shared" ref="G18:G19" si="49">IF($C18="","",IF(Q18&lt;&gt;"-",1,0))</f>
        <v/>
      </c>
      <c r="H18" s="339" t="str">
        <f t="shared" ref="H18:H19" si="50">IF($C18="","",IF(AND(K18&gt;5,P18&lt;&gt;"-"),1,0))</f>
        <v/>
      </c>
      <c r="I18" s="340" t="str">
        <f t="shared" si="27"/>
        <v/>
      </c>
      <c r="J18" s="30" t="str">
        <f>IF($C18="","",VLOOKUP($C18,AMABat!$A$10:$BV$140,J$4,FALSE))</f>
        <v/>
      </c>
      <c r="K18" s="30" t="str">
        <f>IF($C18="","",VLOOKUP($C18,AMABat!$A$10:$BV$140,K$4,FALSE))</f>
        <v/>
      </c>
      <c r="L18" s="30" t="str">
        <f>IF($C18="","",VLOOKUP($C18,AMABat!$A$10:$BV$140,L$4,FALSE))</f>
        <v/>
      </c>
      <c r="M18" s="51" t="str">
        <f>IF($C18="","",VLOOKUP($C18,AMABat!$A$10:$BV$140,M$4,FALSE))</f>
        <v/>
      </c>
      <c r="N18" s="30" t="str">
        <f>IF($C18="","",VLOOKUP($C18,AMABat!$A$10:$BV$140,N$4,FALSE))</f>
        <v/>
      </c>
      <c r="O18" s="30" t="str">
        <f>IF($C18="","",VLOOKUP($C18,AMABat!$A$10:$BV$140,O$4,FALSE))</f>
        <v/>
      </c>
      <c r="P18" s="30" t="str">
        <f>IF($C18="","",VLOOKUP($C18,AMABat!$A$10:$BV$140,P$4,FALSE))</f>
        <v/>
      </c>
      <c r="Q18" s="30" t="str">
        <f>IF($C18="","",VLOOKUP($C18,AMABat!$A$10:$BV$140,Q$4,FALSE))</f>
        <v/>
      </c>
      <c r="R18" s="30" t="str">
        <f>IF($C18="","",VLOOKUP($C18,AMABat!$A$10:$BV$140,R$4,FALSE))</f>
        <v/>
      </c>
      <c r="S18" s="30" t="str">
        <f>IF($C18="","",VLOOKUP($C18,AMABat!$A$10:$BV$140,S$4,FALSE))</f>
        <v/>
      </c>
      <c r="T18" s="31" t="str">
        <f>IF($C18="","",VLOOKUP($C18,AMABat!$A$10:$BV$140,T$4,FALSE))</f>
        <v/>
      </c>
      <c r="U18" s="339" t="str">
        <f t="shared" ref="U18:U19" si="51">IF($C18="","",IF(OR(AD18+AG18&gt;14,AND(OR(AD18+AG18&gt;12,AND(AD18&gt;6,AG18&gt;6)),AI18&gt;6,OR(AJ18&gt;=AI18,AJ18&gt;6))),1,0))</f>
        <v/>
      </c>
      <c r="V18" s="339" t="str">
        <f t="shared" ref="V18:V19" si="52">IF($C18="","",IF(OR(AND(AD18&gt;6,AH18&gt;6),AD18+AG18&gt;12),1,0))</f>
        <v/>
      </c>
      <c r="W18" s="339" t="str">
        <f t="shared" ref="W18:W19" si="53">IF($C18="","",IF(AND(AD18&gt;6,AF18&gt;6,AG18&gt;6),1,0))</f>
        <v/>
      </c>
      <c r="X18" s="339" t="str">
        <f t="shared" ref="X18:X19" si="54">IF($C18="","",IF(AND(AF18&gt;7,OR(AD18&gt;6,AG18&gt;6)),1,0))</f>
        <v/>
      </c>
      <c r="Y18" s="339" t="str">
        <f t="shared" ref="Y18:Y19" si="55">IF($C18="","",IF(AND(AF18&gt;6,OR(AD18&gt;6,AG18&gt;6)),1,0))</f>
        <v/>
      </c>
      <c r="Z18" s="339" t="str">
        <f t="shared" ref="Z18:Z19" si="56">IF($C18="","",IF(AND(OR(AD18&gt;6,AF18&gt;6),OR(AD18&gt;6,AG18&gt;6)),1,0))</f>
        <v/>
      </c>
      <c r="AA18" s="339" t="str">
        <f t="shared" ref="AA18:AA19" si="57">IF($C18="","",IF(AND(AD18&gt;4,OR(AD18&gt;6,AF18&gt;6,AG18&gt;6)),1,0))</f>
        <v/>
      </c>
      <c r="AB18" s="339" t="str">
        <f t="shared" ref="AB18:AB19" si="58">IF($C18="","",IF(AND(AD18&gt;4,OR(AD18&gt;6,AE18&gt;6,AF18&gt;6,AG18&gt;6)),1,0))</f>
        <v/>
      </c>
      <c r="AC18" s="339" t="str">
        <f t="shared" ref="AC18:AC19" si="59">IF($C18="","",IF(AND(AD18&gt;4,MAX(AD18:AH18)&gt;6),1,0))</f>
        <v/>
      </c>
      <c r="AD18" s="51" t="str">
        <f>IF($C18="","",VLOOKUP($C18,AMABat!$A$10:$BV$140,AD$4,FALSE))</f>
        <v/>
      </c>
      <c r="AE18" s="30" t="str">
        <f>IF($C18="","",VLOOKUP($C18,AMABat!$A$10:$BV$140,AE$4,FALSE))</f>
        <v/>
      </c>
      <c r="AF18" s="30" t="str">
        <f>IF($C18="","",VLOOKUP($C18,AMABat!$A$10:$BV$140,AF$4,FALSE))</f>
        <v/>
      </c>
      <c r="AG18" s="30" t="str">
        <f>IF($C18="","",VLOOKUP($C18,AMABat!$A$10:$BV$140,AG$4,FALSE))</f>
        <v/>
      </c>
      <c r="AH18" s="30" t="str">
        <f>IF($C18="","",VLOOKUP($C18,AMABat!$A$10:$BV$140,AH$4,FALSE))</f>
        <v/>
      </c>
      <c r="AI18" s="30" t="str">
        <f>IF($C18="","",VLOOKUP($C18,AMABat!$A$10:$BV$140,AI$4,FALSE))</f>
        <v/>
      </c>
      <c r="AJ18" s="31" t="str">
        <f>IF($C18="","",VLOOKUP($C18,AMABat!$A$10:$BV$140,AJ$4,FALSE))</f>
        <v/>
      </c>
      <c r="AK18" s="60" t="str">
        <f t="shared" ref="AK18:AK19" si="60">IF($C18="","",(5*AD18+4*AF18+3*AG18+2*AE18+1*AH18+0.5*(AVERAGE(AD18:AE18))+0.5*AVERAGE(AD18,AH18)+1*(AVERAGE(AD18,AF18))+1*AVERAGE(AD18,AG18))/(5+4+3+2+1+0.5+0.5+1+1))</f>
        <v/>
      </c>
      <c r="AL18" s="339" t="str">
        <f t="shared" ref="AL18:AL19" si="61">IF($C18="","",IF(AND(OR(AU18+AX18&gt;12,AND(AU18&gt;6,AX18&gt;6)),AI18&gt;6,OR(AJ18&gt;=AI18,AJ18&gt;6)),1,0))</f>
        <v/>
      </c>
      <c r="AM18" s="339" t="str">
        <f t="shared" ref="AM18:AM19" si="62">IF($C18="","",IF(OR(AND(AU18&gt;6,AY18&gt;6),AU18+AX18&gt;12),1,0))</f>
        <v/>
      </c>
      <c r="AN18" s="339" t="str">
        <f t="shared" ref="AN18:AN19" si="63">IF($C18="","",IF(AND(AU18&gt;6,AW18&gt;6,AX18&gt;6),1,0))</f>
        <v/>
      </c>
      <c r="AO18" s="339" t="str">
        <f t="shared" ref="AO18:AO19" si="64">IF($C18="","",IF(AND(AW18&gt;7,OR(AU18&gt;6,AX18&gt;6)),1,0))</f>
        <v/>
      </c>
      <c r="AP18" s="339" t="str">
        <f t="shared" ref="AP18:AP19" si="65">IF($C18="","",IF(AND(AW18&gt;6,OR(AU18&gt;6,AX18&gt;6)),1,0))</f>
        <v/>
      </c>
      <c r="AQ18" s="339" t="str">
        <f t="shared" ref="AQ18:AQ19" si="66">IF($C18="","",IF(AND(OR(AU18&gt;6,AW18&gt;6),OR(AU18&gt;6,AX18&gt;6)),1,0))</f>
        <v/>
      </c>
      <c r="AR18" s="339" t="str">
        <f t="shared" ref="AR18:AR19" si="67">IF($C18="","",IF(AND(AU18&gt;4,OR(AU18&gt;6,AW18&gt;6,AX18&gt;6)),1,0))</f>
        <v/>
      </c>
      <c r="AS18" s="339" t="str">
        <f t="shared" ref="AS18:AS19" si="68">IF($C18="","",IF(AND(AU18&gt;4,OR(AU18&gt;6,AV18&gt;6,AW18&gt;6,AX18&gt;6)),1,0))</f>
        <v/>
      </c>
      <c r="AT18" s="339" t="str">
        <f t="shared" ref="AT18:AT19" si="69">IF($C18="","",IF(AND(AU18&gt;4,MAX(AU18:AY18)&gt;6),1,0))</f>
        <v/>
      </c>
      <c r="AU18" s="51" t="str">
        <f>IF($C18="","",VLOOKUP($C18,AMABat!$A$10:$BV$140,AU$4,FALSE))</f>
        <v/>
      </c>
      <c r="AV18" s="30" t="str">
        <f>IF($C18="","",VLOOKUP($C18,AMABat!$A$10:$BV$140,AV$4,FALSE))</f>
        <v/>
      </c>
      <c r="AW18" s="30" t="str">
        <f>IF($C18="","",VLOOKUP($C18,AMABat!$A$10:$BV$140,AW$4,FALSE))</f>
        <v/>
      </c>
      <c r="AX18" s="30" t="str">
        <f>IF($C18="","",VLOOKUP($C18,AMABat!$A$10:$BV$140,AX$4,FALSE))</f>
        <v/>
      </c>
      <c r="AY18" s="31" t="str">
        <f>IF($C18="","",VLOOKUP($C18,AMABat!$A$10:$BV$140,AY$4,FALSE))</f>
        <v/>
      </c>
      <c r="AZ18" s="60" t="str">
        <f t="shared" ref="AZ18:AZ19" si="70">IF($C18="","",(5*AU18+4*AW18+3*AX18+2*AV18+1*AY18+0.5*(AVERAGE(AU18:AV18))+0.5*AVERAGE(AU18,AY18)+1*(AVERAGE(AU18,AW18))+1*AVERAGE(AU18,AX18))/(5+4+3+2+1+0.5+0.5+1+1))</f>
        <v/>
      </c>
    </row>
    <row r="19" spans="1:52" s="17" customFormat="1" x14ac:dyDescent="0.25">
      <c r="A19" s="305">
        <v>3</v>
      </c>
      <c r="B19" s="29" t="s">
        <v>76</v>
      </c>
      <c r="C19" s="30"/>
      <c r="D19" s="30" t="str">
        <f>IF($C19="","",VLOOKUP($C19,AMABat!$A$10:$BV$140,D$4,FALSE))</f>
        <v/>
      </c>
      <c r="E19" s="30" t="str">
        <f>IF($C19="","",VLOOKUP($C19,AMABat!$A$10:$BV$140,E$4,FALSE))</f>
        <v/>
      </c>
      <c r="F19" s="345" t="str">
        <f t="shared" si="48"/>
        <v/>
      </c>
      <c r="G19" s="339" t="str">
        <f t="shared" si="49"/>
        <v/>
      </c>
      <c r="H19" s="339" t="str">
        <f t="shared" si="50"/>
        <v/>
      </c>
      <c r="I19" s="340" t="str">
        <f t="shared" si="27"/>
        <v/>
      </c>
      <c r="J19" s="30" t="str">
        <f>IF($C19="","",VLOOKUP($C19,AMABat!$A$10:$BV$140,J$4,FALSE))</f>
        <v/>
      </c>
      <c r="K19" s="30" t="str">
        <f>IF($C19="","",VLOOKUP($C19,AMABat!$A$10:$BV$140,K$4,FALSE))</f>
        <v/>
      </c>
      <c r="L19" s="30" t="str">
        <f>IF($C19="","",VLOOKUP($C19,AMABat!$A$10:$BV$140,L$4,FALSE))</f>
        <v/>
      </c>
      <c r="M19" s="51" t="str">
        <f>IF($C19="","",VLOOKUP($C19,AMABat!$A$10:$BV$140,M$4,FALSE))</f>
        <v/>
      </c>
      <c r="N19" s="30" t="str">
        <f>IF($C19="","",VLOOKUP($C19,AMABat!$A$10:$BV$140,N$4,FALSE))</f>
        <v/>
      </c>
      <c r="O19" s="30" t="str">
        <f>IF($C19="","",VLOOKUP($C19,AMABat!$A$10:$BV$140,O$4,FALSE))</f>
        <v/>
      </c>
      <c r="P19" s="30" t="str">
        <f>IF($C19="","",VLOOKUP($C19,AMABat!$A$10:$BV$140,P$4,FALSE))</f>
        <v/>
      </c>
      <c r="Q19" s="30" t="str">
        <f>IF($C19="","",VLOOKUP($C19,AMABat!$A$10:$BV$140,Q$4,FALSE))</f>
        <v/>
      </c>
      <c r="R19" s="30" t="str">
        <f>IF($C19="","",VLOOKUP($C19,AMABat!$A$10:$BV$140,R$4,FALSE))</f>
        <v/>
      </c>
      <c r="S19" s="30" t="str">
        <f>IF($C19="","",VLOOKUP($C19,AMABat!$A$10:$BV$140,S$4,FALSE))</f>
        <v/>
      </c>
      <c r="T19" s="31" t="str">
        <f>IF($C19="","",VLOOKUP($C19,AMABat!$A$10:$BV$140,T$4,FALSE))</f>
        <v/>
      </c>
      <c r="U19" s="339" t="str">
        <f t="shared" si="51"/>
        <v/>
      </c>
      <c r="V19" s="339" t="str">
        <f t="shared" si="52"/>
        <v/>
      </c>
      <c r="W19" s="339" t="str">
        <f t="shared" si="53"/>
        <v/>
      </c>
      <c r="X19" s="339" t="str">
        <f t="shared" si="54"/>
        <v/>
      </c>
      <c r="Y19" s="339" t="str">
        <f t="shared" si="55"/>
        <v/>
      </c>
      <c r="Z19" s="339" t="str">
        <f t="shared" si="56"/>
        <v/>
      </c>
      <c r="AA19" s="339" t="str">
        <f t="shared" si="57"/>
        <v/>
      </c>
      <c r="AB19" s="339" t="str">
        <f t="shared" si="58"/>
        <v/>
      </c>
      <c r="AC19" s="339" t="str">
        <f t="shared" si="59"/>
        <v/>
      </c>
      <c r="AD19" s="51" t="str">
        <f>IF($C19="","",VLOOKUP($C19,AMABat!$A$10:$BV$140,AD$4,FALSE))</f>
        <v/>
      </c>
      <c r="AE19" s="30" t="str">
        <f>IF($C19="","",VLOOKUP($C19,AMABat!$A$10:$BV$140,AE$4,FALSE))</f>
        <v/>
      </c>
      <c r="AF19" s="30" t="str">
        <f>IF($C19="","",VLOOKUP($C19,AMABat!$A$10:$BV$140,AF$4,FALSE))</f>
        <v/>
      </c>
      <c r="AG19" s="30" t="str">
        <f>IF($C19="","",VLOOKUP($C19,AMABat!$A$10:$BV$140,AG$4,FALSE))</f>
        <v/>
      </c>
      <c r="AH19" s="30" t="str">
        <f>IF($C19="","",VLOOKUP($C19,AMABat!$A$10:$BV$140,AH$4,FALSE))</f>
        <v/>
      </c>
      <c r="AI19" s="30" t="str">
        <f>IF($C19="","",VLOOKUP($C19,AMABat!$A$10:$BV$140,AI$4,FALSE))</f>
        <v/>
      </c>
      <c r="AJ19" s="31" t="str">
        <f>IF($C19="","",VLOOKUP($C19,AMABat!$A$10:$BV$140,AJ$4,FALSE))</f>
        <v/>
      </c>
      <c r="AK19" s="60" t="str">
        <f t="shared" si="60"/>
        <v/>
      </c>
      <c r="AL19" s="339" t="str">
        <f t="shared" si="61"/>
        <v/>
      </c>
      <c r="AM19" s="339" t="str">
        <f t="shared" si="62"/>
        <v/>
      </c>
      <c r="AN19" s="339" t="str">
        <f t="shared" si="63"/>
        <v/>
      </c>
      <c r="AO19" s="339" t="str">
        <f t="shared" si="64"/>
        <v/>
      </c>
      <c r="AP19" s="339" t="str">
        <f t="shared" si="65"/>
        <v/>
      </c>
      <c r="AQ19" s="339" t="str">
        <f t="shared" si="66"/>
        <v/>
      </c>
      <c r="AR19" s="339" t="str">
        <f t="shared" si="67"/>
        <v/>
      </c>
      <c r="AS19" s="339" t="str">
        <f t="shared" si="68"/>
        <v/>
      </c>
      <c r="AT19" s="339" t="str">
        <f t="shared" si="69"/>
        <v/>
      </c>
      <c r="AU19" s="51" t="str">
        <f>IF($C19="","",VLOOKUP($C19,AMABat!$A$10:$BV$140,AU$4,FALSE))</f>
        <v/>
      </c>
      <c r="AV19" s="30" t="str">
        <f>IF($C19="","",VLOOKUP($C19,AMABat!$A$10:$BV$140,AV$4,FALSE))</f>
        <v/>
      </c>
      <c r="AW19" s="30" t="str">
        <f>IF($C19="","",VLOOKUP($C19,AMABat!$A$10:$BV$140,AW$4,FALSE))</f>
        <v/>
      </c>
      <c r="AX19" s="30" t="str">
        <f>IF($C19="","",VLOOKUP($C19,AMABat!$A$10:$BV$140,AX$4,FALSE))</f>
        <v/>
      </c>
      <c r="AY19" s="31" t="str">
        <f>IF($C19="","",VLOOKUP($C19,AMABat!$A$10:$BV$140,AY$4,FALSE))</f>
        <v/>
      </c>
      <c r="AZ19" s="60" t="str">
        <f t="shared" si="70"/>
        <v/>
      </c>
    </row>
    <row r="20" spans="1:52" x14ac:dyDescent="0.25">
      <c r="A20" s="305">
        <v>4</v>
      </c>
      <c r="B20" s="29" t="s">
        <v>80</v>
      </c>
      <c r="C20" s="58"/>
      <c r="D20" s="30" t="str">
        <f>IF($C20="","",VLOOKUP($C20,AMABat!$A$10:$BV$140,D$4,FALSE))</f>
        <v/>
      </c>
      <c r="E20" s="30" t="str">
        <f>IF($C20="","",VLOOKUP($C20,AMABat!$A$10:$BV$140,E$4,FALSE))</f>
        <v/>
      </c>
      <c r="F20" s="345" t="str">
        <f t="shared" si="24"/>
        <v/>
      </c>
      <c r="G20" s="339" t="str">
        <f t="shared" si="25"/>
        <v/>
      </c>
      <c r="H20" s="339" t="str">
        <f t="shared" si="26"/>
        <v/>
      </c>
      <c r="I20" s="340" t="str">
        <f t="shared" si="27"/>
        <v/>
      </c>
      <c r="J20" s="30" t="str">
        <f>IF($C20="","",VLOOKUP($C20,AMABat!$A$10:$BV$140,J$4,FALSE))</f>
        <v/>
      </c>
      <c r="K20" s="30" t="str">
        <f>IF($C20="","",VLOOKUP($C20,AMABat!$A$10:$BV$140,K$4,FALSE))</f>
        <v/>
      </c>
      <c r="L20" s="30" t="str">
        <f>IF($C20="","",VLOOKUP($C20,AMABat!$A$10:$BV$140,L$4,FALSE))</f>
        <v/>
      </c>
      <c r="M20" s="51" t="str">
        <f>IF($C20="","",VLOOKUP($C20,AMABat!$A$10:$BV$140,M$4,FALSE))</f>
        <v/>
      </c>
      <c r="N20" s="30" t="str">
        <f>IF($C20="","",VLOOKUP($C20,AMABat!$A$10:$BV$140,N$4,FALSE))</f>
        <v/>
      </c>
      <c r="O20" s="30" t="str">
        <f>IF($C20="","",VLOOKUP($C20,AMABat!$A$10:$BV$140,O$4,FALSE))</f>
        <v/>
      </c>
      <c r="P20" s="30" t="str">
        <f>IF($C20="","",VLOOKUP($C20,AMABat!$A$10:$BV$140,P$4,FALSE))</f>
        <v/>
      </c>
      <c r="Q20" s="30" t="str">
        <f>IF($C20="","",VLOOKUP($C20,AMABat!$A$10:$BV$140,Q$4,FALSE))</f>
        <v/>
      </c>
      <c r="R20" s="30" t="str">
        <f>IF($C20="","",VLOOKUP($C20,AMABat!$A$10:$BV$140,R$4,FALSE))</f>
        <v/>
      </c>
      <c r="S20" s="30" t="str">
        <f>IF($C20="","",VLOOKUP($C20,AMABat!$A$10:$BV$140,S$4,FALSE))</f>
        <v/>
      </c>
      <c r="T20" s="31" t="str">
        <f>IF($C20="","",VLOOKUP($C20,AMABat!$A$10:$BV$140,T$4,FALSE))</f>
        <v/>
      </c>
      <c r="U20" s="339" t="str">
        <f t="shared" si="28"/>
        <v/>
      </c>
      <c r="V20" s="339" t="str">
        <f t="shared" si="29"/>
        <v/>
      </c>
      <c r="W20" s="339" t="str">
        <f t="shared" si="30"/>
        <v/>
      </c>
      <c r="X20" s="339" t="str">
        <f t="shared" si="31"/>
        <v/>
      </c>
      <c r="Y20" s="339" t="str">
        <f t="shared" si="32"/>
        <v/>
      </c>
      <c r="Z20" s="339" t="str">
        <f t="shared" si="33"/>
        <v/>
      </c>
      <c r="AA20" s="339" t="str">
        <f t="shared" si="34"/>
        <v/>
      </c>
      <c r="AB20" s="339" t="str">
        <f t="shared" si="35"/>
        <v/>
      </c>
      <c r="AC20" s="339" t="str">
        <f t="shared" si="36"/>
        <v/>
      </c>
      <c r="AD20" s="51" t="str">
        <f>IF($C20="","",VLOOKUP($C20,AMABat!$A$10:$BV$140,AD$4,FALSE))</f>
        <v/>
      </c>
      <c r="AE20" s="30" t="str">
        <f>IF($C20="","",VLOOKUP($C20,AMABat!$A$10:$BV$140,AE$4,FALSE))</f>
        <v/>
      </c>
      <c r="AF20" s="30" t="str">
        <f>IF($C20="","",VLOOKUP($C20,AMABat!$A$10:$BV$140,AF$4,FALSE))</f>
        <v/>
      </c>
      <c r="AG20" s="30" t="str">
        <f>IF($C20="","",VLOOKUP($C20,AMABat!$A$10:$BV$140,AG$4,FALSE))</f>
        <v/>
      </c>
      <c r="AH20" s="30" t="str">
        <f>IF($C20="","",VLOOKUP($C20,AMABat!$A$10:$BV$140,AH$4,FALSE))</f>
        <v/>
      </c>
      <c r="AI20" s="30" t="str">
        <f>IF($C20="","",VLOOKUP($C20,AMABat!$A$10:$BV$140,AI$4,FALSE))</f>
        <v/>
      </c>
      <c r="AJ20" s="31" t="str">
        <f>IF($C20="","",VLOOKUP($C20,AMABat!$A$10:$BV$140,AJ$4,FALSE))</f>
        <v/>
      </c>
      <c r="AK20" s="60" t="str">
        <f t="shared" si="37"/>
        <v/>
      </c>
      <c r="AL20" s="339" t="str">
        <f t="shared" si="38"/>
        <v/>
      </c>
      <c r="AM20" s="339" t="str">
        <f t="shared" si="39"/>
        <v/>
      </c>
      <c r="AN20" s="339" t="str">
        <f t="shared" si="40"/>
        <v/>
      </c>
      <c r="AO20" s="339" t="str">
        <f t="shared" si="41"/>
        <v/>
      </c>
      <c r="AP20" s="339" t="str">
        <f t="shared" si="42"/>
        <v/>
      </c>
      <c r="AQ20" s="339" t="str">
        <f t="shared" si="43"/>
        <v/>
      </c>
      <c r="AR20" s="339" t="str">
        <f t="shared" si="44"/>
        <v/>
      </c>
      <c r="AS20" s="339" t="str">
        <f t="shared" si="45"/>
        <v/>
      </c>
      <c r="AT20" s="339" t="str">
        <f t="shared" si="46"/>
        <v/>
      </c>
      <c r="AU20" s="51" t="str">
        <f>IF($C20="","",VLOOKUP($C20,AMABat!$A$10:$BV$140,AU$4,FALSE))</f>
        <v/>
      </c>
      <c r="AV20" s="30" t="str">
        <f>IF($C20="","",VLOOKUP($C20,AMABat!$A$10:$BV$140,AV$4,FALSE))</f>
        <v/>
      </c>
      <c r="AW20" s="30" t="str">
        <f>IF($C20="","",VLOOKUP($C20,AMABat!$A$10:$BV$140,AW$4,FALSE))</f>
        <v/>
      </c>
      <c r="AX20" s="30" t="str">
        <f>IF($C20="","",VLOOKUP($C20,AMABat!$A$10:$BV$140,AX$4,FALSE))</f>
        <v/>
      </c>
      <c r="AY20" s="31" t="str">
        <f>IF($C20="","",VLOOKUP($C20,AMABat!$A$10:$BV$140,AY$4,FALSE))</f>
        <v/>
      </c>
      <c r="AZ20" s="60" t="str">
        <f t="shared" si="47"/>
        <v/>
      </c>
    </row>
    <row r="21" spans="1:52" x14ac:dyDescent="0.25">
      <c r="A21" s="305">
        <v>5</v>
      </c>
      <c r="B21" s="29" t="s">
        <v>80</v>
      </c>
      <c r="C21" s="58"/>
      <c r="D21" s="30" t="str">
        <f>IF($C21="","",VLOOKUP($C21,AMABat!$A$10:$BV$140,D$4,FALSE))</f>
        <v/>
      </c>
      <c r="E21" s="30" t="str">
        <f>IF($C21="","",VLOOKUP($C21,AMABat!$A$10:$BV$140,E$4,FALSE))</f>
        <v/>
      </c>
      <c r="F21" s="345" t="str">
        <f t="shared" si="24"/>
        <v/>
      </c>
      <c r="G21" s="339" t="str">
        <f t="shared" si="25"/>
        <v/>
      </c>
      <c r="H21" s="339" t="str">
        <f t="shared" si="26"/>
        <v/>
      </c>
      <c r="I21" s="340" t="str">
        <f t="shared" si="27"/>
        <v/>
      </c>
      <c r="J21" s="30" t="str">
        <f>IF($C21="","",VLOOKUP($C21,AMABat!$A$10:$BV$140,J$4,FALSE))</f>
        <v/>
      </c>
      <c r="K21" s="30" t="str">
        <f>IF($C21="","",VLOOKUP($C21,AMABat!$A$10:$BV$140,K$4,FALSE))</f>
        <v/>
      </c>
      <c r="L21" s="30" t="str">
        <f>IF($C21="","",VLOOKUP($C21,AMABat!$A$10:$BV$140,L$4,FALSE))</f>
        <v/>
      </c>
      <c r="M21" s="51" t="str">
        <f>IF($C21="","",VLOOKUP($C21,AMABat!$A$10:$BV$140,M$4,FALSE))</f>
        <v/>
      </c>
      <c r="N21" s="30" t="str">
        <f>IF($C21="","",VLOOKUP($C21,AMABat!$A$10:$BV$140,N$4,FALSE))</f>
        <v/>
      </c>
      <c r="O21" s="30" t="str">
        <f>IF($C21="","",VLOOKUP($C21,AMABat!$A$10:$BV$140,O$4,FALSE))</f>
        <v/>
      </c>
      <c r="P21" s="30" t="str">
        <f>IF($C21="","",VLOOKUP($C21,AMABat!$A$10:$BV$140,P$4,FALSE))</f>
        <v/>
      </c>
      <c r="Q21" s="30" t="str">
        <f>IF($C21="","",VLOOKUP($C21,AMABat!$A$10:$BV$140,Q$4,FALSE))</f>
        <v/>
      </c>
      <c r="R21" s="30" t="str">
        <f>IF($C21="","",VLOOKUP($C21,AMABat!$A$10:$BV$140,R$4,FALSE))</f>
        <v/>
      </c>
      <c r="S21" s="30" t="str">
        <f>IF($C21="","",VLOOKUP($C21,AMABat!$A$10:$BV$140,S$4,FALSE))</f>
        <v/>
      </c>
      <c r="T21" s="31" t="str">
        <f>IF($C21="","",VLOOKUP($C21,AMABat!$A$10:$BV$140,T$4,FALSE))</f>
        <v/>
      </c>
      <c r="U21" s="339" t="str">
        <f t="shared" si="28"/>
        <v/>
      </c>
      <c r="V21" s="339" t="str">
        <f t="shared" si="29"/>
        <v/>
      </c>
      <c r="W21" s="339" t="str">
        <f t="shared" si="30"/>
        <v/>
      </c>
      <c r="X21" s="339" t="str">
        <f t="shared" si="31"/>
        <v/>
      </c>
      <c r="Y21" s="339" t="str">
        <f t="shared" si="32"/>
        <v/>
      </c>
      <c r="Z21" s="339" t="str">
        <f t="shared" si="33"/>
        <v/>
      </c>
      <c r="AA21" s="339" t="str">
        <f t="shared" si="34"/>
        <v/>
      </c>
      <c r="AB21" s="339" t="str">
        <f t="shared" si="35"/>
        <v/>
      </c>
      <c r="AC21" s="339" t="str">
        <f t="shared" si="36"/>
        <v/>
      </c>
      <c r="AD21" s="51" t="str">
        <f>IF($C21="","",VLOOKUP($C21,AMABat!$A$10:$BV$140,AD$4,FALSE))</f>
        <v/>
      </c>
      <c r="AE21" s="30" t="str">
        <f>IF($C21="","",VLOOKUP($C21,AMABat!$A$10:$BV$140,AE$4,FALSE))</f>
        <v/>
      </c>
      <c r="AF21" s="30" t="str">
        <f>IF($C21="","",VLOOKUP($C21,AMABat!$A$10:$BV$140,AF$4,FALSE))</f>
        <v/>
      </c>
      <c r="AG21" s="30" t="str">
        <f>IF($C21="","",VLOOKUP($C21,AMABat!$A$10:$BV$140,AG$4,FALSE))</f>
        <v/>
      </c>
      <c r="AH21" s="30" t="str">
        <f>IF($C21="","",VLOOKUP($C21,AMABat!$A$10:$BV$140,AH$4,FALSE))</f>
        <v/>
      </c>
      <c r="AI21" s="30" t="str">
        <f>IF($C21="","",VLOOKUP($C21,AMABat!$A$10:$BV$140,AI$4,FALSE))</f>
        <v/>
      </c>
      <c r="AJ21" s="31" t="str">
        <f>IF($C21="","",VLOOKUP($C21,AMABat!$A$10:$BV$140,AJ$4,FALSE))</f>
        <v/>
      </c>
      <c r="AK21" s="60" t="str">
        <f t="shared" si="37"/>
        <v/>
      </c>
      <c r="AL21" s="339" t="str">
        <f t="shared" si="38"/>
        <v/>
      </c>
      <c r="AM21" s="339" t="str">
        <f t="shared" si="39"/>
        <v/>
      </c>
      <c r="AN21" s="339" t="str">
        <f t="shared" si="40"/>
        <v/>
      </c>
      <c r="AO21" s="339" t="str">
        <f t="shared" si="41"/>
        <v/>
      </c>
      <c r="AP21" s="339" t="str">
        <f t="shared" si="42"/>
        <v/>
      </c>
      <c r="AQ21" s="339" t="str">
        <f t="shared" si="43"/>
        <v/>
      </c>
      <c r="AR21" s="339" t="str">
        <f t="shared" si="44"/>
        <v/>
      </c>
      <c r="AS21" s="339" t="str">
        <f t="shared" si="45"/>
        <v/>
      </c>
      <c r="AT21" s="339" t="str">
        <f t="shared" si="46"/>
        <v/>
      </c>
      <c r="AU21" s="51" t="str">
        <f>IF($C21="","",VLOOKUP($C21,AMABat!$A$10:$BV$140,AU$4,FALSE))</f>
        <v/>
      </c>
      <c r="AV21" s="30" t="str">
        <f>IF($C21="","",VLOOKUP($C21,AMABat!$A$10:$BV$140,AV$4,FALSE))</f>
        <v/>
      </c>
      <c r="AW21" s="30" t="str">
        <f>IF($C21="","",VLOOKUP($C21,AMABat!$A$10:$BV$140,AW$4,FALSE))</f>
        <v/>
      </c>
      <c r="AX21" s="30" t="str">
        <f>IF($C21="","",VLOOKUP($C21,AMABat!$A$10:$BV$140,AX$4,FALSE))</f>
        <v/>
      </c>
      <c r="AY21" s="31" t="str">
        <f>IF($C21="","",VLOOKUP($C21,AMABat!$A$10:$BV$140,AY$4,FALSE))</f>
        <v/>
      </c>
      <c r="AZ21" s="60" t="str">
        <f t="shared" si="47"/>
        <v/>
      </c>
    </row>
    <row r="22" spans="1:52" x14ac:dyDescent="0.25">
      <c r="A22" s="305">
        <v>6</v>
      </c>
      <c r="B22" s="32" t="s">
        <v>80</v>
      </c>
      <c r="C22" s="33"/>
      <c r="D22" s="33" t="str">
        <f>IF($C22="","",VLOOKUP($C22,AMABat!$A$10:$BV$140,D$4,FALSE))</f>
        <v/>
      </c>
      <c r="E22" s="33" t="str">
        <f>IF($C22="","",VLOOKUP($C22,AMABat!$A$10:$BV$140,E$4,FALSE))</f>
        <v/>
      </c>
      <c r="F22" s="47" t="str">
        <f t="shared" si="24"/>
        <v/>
      </c>
      <c r="G22" s="337" t="str">
        <f t="shared" si="25"/>
        <v/>
      </c>
      <c r="H22" s="337" t="str">
        <f t="shared" si="26"/>
        <v/>
      </c>
      <c r="I22" s="338" t="str">
        <f t="shared" si="27"/>
        <v/>
      </c>
      <c r="J22" s="33" t="str">
        <f>IF($C22="","",VLOOKUP($C22,AMABat!$A$10:$BV$140,J$4,FALSE))</f>
        <v/>
      </c>
      <c r="K22" s="33" t="str">
        <f>IF($C22="","",VLOOKUP($C22,AMABat!$A$10:$BV$140,K$4,FALSE))</f>
        <v/>
      </c>
      <c r="L22" s="33" t="str">
        <f>IF($C22="","",VLOOKUP($C22,AMABat!$A$10:$BV$140,L$4,FALSE))</f>
        <v/>
      </c>
      <c r="M22" s="52" t="str">
        <f>IF($C22="","",VLOOKUP($C22,AMABat!$A$10:$BV$140,M$4,FALSE))</f>
        <v/>
      </c>
      <c r="N22" s="33" t="str">
        <f>IF($C22="","",VLOOKUP($C22,AMABat!$A$10:$BV$140,N$4,FALSE))</f>
        <v/>
      </c>
      <c r="O22" s="33" t="str">
        <f>IF($C22="","",VLOOKUP($C22,AMABat!$A$10:$BV$140,O$4,FALSE))</f>
        <v/>
      </c>
      <c r="P22" s="33" t="str">
        <f>IF($C22="","",VLOOKUP($C22,AMABat!$A$10:$BV$140,P$4,FALSE))</f>
        <v/>
      </c>
      <c r="Q22" s="33" t="str">
        <f>IF($C22="","",VLOOKUP($C22,AMABat!$A$10:$BV$140,Q$4,FALSE))</f>
        <v/>
      </c>
      <c r="R22" s="33" t="str">
        <f>IF($C22="","",VLOOKUP($C22,AMABat!$A$10:$BV$140,R$4,FALSE))</f>
        <v/>
      </c>
      <c r="S22" s="33" t="str">
        <f>IF($C22="","",VLOOKUP($C22,AMABat!$A$10:$BV$140,S$4,FALSE))</f>
        <v/>
      </c>
      <c r="T22" s="35" t="str">
        <f>IF($C22="","",VLOOKUP($C22,AMABat!$A$10:$BV$140,T$4,FALSE))</f>
        <v/>
      </c>
      <c r="U22" s="337" t="str">
        <f t="shared" si="28"/>
        <v/>
      </c>
      <c r="V22" s="337" t="str">
        <f t="shared" si="29"/>
        <v/>
      </c>
      <c r="W22" s="337" t="str">
        <f t="shared" si="30"/>
        <v/>
      </c>
      <c r="X22" s="337" t="str">
        <f t="shared" si="31"/>
        <v/>
      </c>
      <c r="Y22" s="337" t="str">
        <f t="shared" si="32"/>
        <v/>
      </c>
      <c r="Z22" s="337" t="str">
        <f t="shared" si="33"/>
        <v/>
      </c>
      <c r="AA22" s="337" t="str">
        <f t="shared" si="34"/>
        <v/>
      </c>
      <c r="AB22" s="337" t="str">
        <f t="shared" si="35"/>
        <v/>
      </c>
      <c r="AC22" s="337" t="str">
        <f t="shared" si="36"/>
        <v/>
      </c>
      <c r="AD22" s="52" t="str">
        <f>IF($C22="","",VLOOKUP($C22,AMABat!$A$10:$BV$140,AD$4,FALSE))</f>
        <v/>
      </c>
      <c r="AE22" s="33" t="str">
        <f>IF($C22="","",VLOOKUP($C22,AMABat!$A$10:$BV$140,AE$4,FALSE))</f>
        <v/>
      </c>
      <c r="AF22" s="33" t="str">
        <f>IF($C22="","",VLOOKUP($C22,AMABat!$A$10:$BV$140,AF$4,FALSE))</f>
        <v/>
      </c>
      <c r="AG22" s="33" t="str">
        <f>IF($C22="","",VLOOKUP($C22,AMABat!$A$10:$BV$140,AG$4,FALSE))</f>
        <v/>
      </c>
      <c r="AH22" s="33" t="str">
        <f>IF($C22="","",VLOOKUP($C22,AMABat!$A$10:$BV$140,AH$4,FALSE))</f>
        <v/>
      </c>
      <c r="AI22" s="33" t="str">
        <f>IF($C22="","",VLOOKUP($C22,AMABat!$A$10:$BV$140,AI$4,FALSE))</f>
        <v/>
      </c>
      <c r="AJ22" s="35" t="str">
        <f>IF($C22="","",VLOOKUP($C22,AMABat!$A$10:$BV$140,AJ$4,FALSE))</f>
        <v/>
      </c>
      <c r="AK22" s="61" t="str">
        <f t="shared" si="37"/>
        <v/>
      </c>
      <c r="AL22" s="337" t="str">
        <f t="shared" si="38"/>
        <v/>
      </c>
      <c r="AM22" s="337" t="str">
        <f t="shared" si="39"/>
        <v/>
      </c>
      <c r="AN22" s="337" t="str">
        <f t="shared" si="40"/>
        <v/>
      </c>
      <c r="AO22" s="337" t="str">
        <f t="shared" si="41"/>
        <v/>
      </c>
      <c r="AP22" s="337" t="str">
        <f t="shared" si="42"/>
        <v/>
      </c>
      <c r="AQ22" s="337" t="str">
        <f t="shared" si="43"/>
        <v/>
      </c>
      <c r="AR22" s="337" t="str">
        <f t="shared" si="44"/>
        <v/>
      </c>
      <c r="AS22" s="337" t="str">
        <f t="shared" si="45"/>
        <v/>
      </c>
      <c r="AT22" s="337" t="str">
        <f t="shared" si="46"/>
        <v/>
      </c>
      <c r="AU22" s="52" t="str">
        <f>IF($C22="","",VLOOKUP($C22,AMABat!$A$10:$BV$140,AU$4,FALSE))</f>
        <v/>
      </c>
      <c r="AV22" s="33" t="str">
        <f>IF($C22="","",VLOOKUP($C22,AMABat!$A$10:$BV$140,AV$4,FALSE))</f>
        <v/>
      </c>
      <c r="AW22" s="33" t="str">
        <f>IF($C22="","",VLOOKUP($C22,AMABat!$A$10:$BV$140,AW$4,FALSE))</f>
        <v/>
      </c>
      <c r="AX22" s="33" t="str">
        <f>IF($C22="","",VLOOKUP($C22,AMABat!$A$10:$BV$140,AX$4,FALSE))</f>
        <v/>
      </c>
      <c r="AY22" s="35" t="str">
        <f>IF($C22="","",VLOOKUP($C22,AMABat!$A$10:$BV$140,AY$4,FALSE))</f>
        <v/>
      </c>
      <c r="AZ22" s="61" t="str">
        <f t="shared" si="47"/>
        <v/>
      </c>
    </row>
    <row r="23" spans="1:52" x14ac:dyDescent="0.25">
      <c r="A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</row>
    <row r="24" spans="1:52" ht="196.5" x14ac:dyDescent="0.25">
      <c r="A24" s="18" t="s">
        <v>170</v>
      </c>
      <c r="B24" s="341" t="s">
        <v>111</v>
      </c>
      <c r="C24" s="37" t="str">
        <f>"Player ("&amp;COUNTA(C25:C27)&amp;")"</f>
        <v>Player (1)</v>
      </c>
      <c r="D24" s="37" t="s">
        <v>70</v>
      </c>
      <c r="E24" s="37" t="s">
        <v>80</v>
      </c>
      <c r="F24" s="57" t="e">
        <f>"Strong C Arm ("&amp;SUM(F25:F27)&amp;")"</f>
        <v>#N/A</v>
      </c>
      <c r="G24" s="41" t="s">
        <v>32</v>
      </c>
      <c r="H24" s="41" t="s">
        <v>32</v>
      </c>
      <c r="I24" s="41" t="s">
        <v>32</v>
      </c>
      <c r="J24" s="48" t="s">
        <v>114</v>
      </c>
      <c r="K24" s="40" t="s">
        <v>112</v>
      </c>
      <c r="L24" s="49" t="s">
        <v>113</v>
      </c>
      <c r="M24" s="41" t="s">
        <v>71</v>
      </c>
      <c r="N24" s="41" t="s">
        <v>73</v>
      </c>
      <c r="O24" s="41" t="s">
        <v>74</v>
      </c>
      <c r="P24" s="41" t="s">
        <v>75</v>
      </c>
      <c r="Q24" s="41" t="s">
        <v>76</v>
      </c>
      <c r="R24" s="41" t="s">
        <v>77</v>
      </c>
      <c r="S24" s="41" t="s">
        <v>78</v>
      </c>
      <c r="T24" s="42" t="s">
        <v>79</v>
      </c>
      <c r="U24" s="38" t="s">
        <v>115</v>
      </c>
      <c r="V24" s="38" t="s">
        <v>158</v>
      </c>
      <c r="W24" s="38" t="s">
        <v>116</v>
      </c>
      <c r="X24" s="38" t="s">
        <v>117</v>
      </c>
      <c r="Y24" s="38" t="s">
        <v>118</v>
      </c>
      <c r="Z24" s="38" t="s">
        <v>119</v>
      </c>
      <c r="AA24" s="38" t="s">
        <v>120</v>
      </c>
      <c r="AB24" s="38" t="s">
        <v>122</v>
      </c>
      <c r="AC24" s="53" t="s">
        <v>121</v>
      </c>
      <c r="AD24" s="41" t="s">
        <v>125</v>
      </c>
      <c r="AE24" s="41" t="s">
        <v>126</v>
      </c>
      <c r="AF24" s="41" t="s">
        <v>127</v>
      </c>
      <c r="AG24" s="41" t="s">
        <v>128</v>
      </c>
      <c r="AH24" s="41" t="s">
        <v>21</v>
      </c>
      <c r="AI24" s="41" t="s">
        <v>129</v>
      </c>
      <c r="AJ24" s="42" t="s">
        <v>130</v>
      </c>
      <c r="AK24" s="59" t="s">
        <v>134</v>
      </c>
      <c r="AL24" s="38" t="s">
        <v>115</v>
      </c>
      <c r="AM24" s="38" t="s">
        <v>158</v>
      </c>
      <c r="AN24" s="38" t="s">
        <v>116</v>
      </c>
      <c r="AO24" s="38" t="s">
        <v>117</v>
      </c>
      <c r="AP24" s="38" t="s">
        <v>118</v>
      </c>
      <c r="AQ24" s="38" t="s">
        <v>119</v>
      </c>
      <c r="AR24" s="38" t="s">
        <v>120</v>
      </c>
      <c r="AS24" s="38" t="s">
        <v>122</v>
      </c>
      <c r="AT24" s="53" t="s">
        <v>121</v>
      </c>
      <c r="AU24" s="56" t="s">
        <v>125</v>
      </c>
      <c r="AV24" s="41" t="s">
        <v>126</v>
      </c>
      <c r="AW24" s="41" t="s">
        <v>127</v>
      </c>
      <c r="AX24" s="41" t="s">
        <v>128</v>
      </c>
      <c r="AY24" s="42" t="s">
        <v>21</v>
      </c>
      <c r="AZ24" s="59" t="s">
        <v>174</v>
      </c>
    </row>
    <row r="25" spans="1:52" x14ac:dyDescent="0.25">
      <c r="A25" s="305">
        <v>1</v>
      </c>
      <c r="B25" s="29" t="s">
        <v>71</v>
      </c>
      <c r="C25" s="30" t="s">
        <v>506</v>
      </c>
      <c r="D25" s="30" t="e">
        <f>IF($C25="","",VLOOKUP($C25,AMABat!$A$10:$BV$140,D$4,FALSE))</f>
        <v>#N/A</v>
      </c>
      <c r="E25" s="30" t="e">
        <f>IF($C25="","",VLOOKUP($C25,AMABat!$A$10:$BV$140,E$4,FALSE))</f>
        <v>#N/A</v>
      </c>
      <c r="F25" s="345" t="e">
        <f t="shared" ref="F25:F27" si="71">IF($C25="","",IF(AND(O25&gt;0,O25=SUM(M25:T25)),1,0))</f>
        <v>#N/A</v>
      </c>
      <c r="G25" s="339" t="e">
        <f t="shared" ref="G25:G27" si="72">IF($C25="","",IF(Q25&lt;&gt;"-",1,0))</f>
        <v>#N/A</v>
      </c>
      <c r="H25" s="339" t="e">
        <f t="shared" ref="H25:H27" si="73">IF($C25="","",IF(AND(K25&gt;5,P25&lt;&gt;"-"),1,0))</f>
        <v>#N/A</v>
      </c>
      <c r="I25" s="339" t="str">
        <f t="shared" ref="I25:I27" si="74">IF($C25="","","-")</f>
        <v>-</v>
      </c>
      <c r="J25" s="51" t="e">
        <f>IF($C25="","",VLOOKUP($C25,AMABat!$A$10:$BV$140,J$4,FALSE))</f>
        <v>#N/A</v>
      </c>
      <c r="K25" s="30" t="e">
        <f>IF($C25="","",VLOOKUP($C25,AMABat!$A$10:$BV$140,K$4,FALSE))</f>
        <v>#N/A</v>
      </c>
      <c r="L25" s="31" t="e">
        <f>IF($C25="","",VLOOKUP($C25,AMABat!$A$10:$BV$140,L$4,FALSE))</f>
        <v>#N/A</v>
      </c>
      <c r="M25" s="30" t="e">
        <f>IF($C25="","",VLOOKUP($C25,AMABat!$A$10:$BV$140,M$4,FALSE))</f>
        <v>#N/A</v>
      </c>
      <c r="N25" s="30" t="e">
        <f>IF($C25="","",VLOOKUP($C25,AMABat!$A$10:$BV$140,N$4,FALSE))</f>
        <v>#N/A</v>
      </c>
      <c r="O25" s="30" t="e">
        <f>IF($C25="","",VLOOKUP($C25,AMABat!$A$10:$BV$140,O$4,FALSE))</f>
        <v>#N/A</v>
      </c>
      <c r="P25" s="30" t="e">
        <f>IF($C25="","",VLOOKUP($C25,AMABat!$A$10:$BV$140,P$4,FALSE))</f>
        <v>#N/A</v>
      </c>
      <c r="Q25" s="30" t="e">
        <f>IF($C25="","",VLOOKUP($C25,AMABat!$A$10:$BV$140,Q$4,FALSE))</f>
        <v>#N/A</v>
      </c>
      <c r="R25" s="30" t="e">
        <f>IF($C25="","",VLOOKUP($C25,AMABat!$A$10:$BV$140,R$4,FALSE))</f>
        <v>#N/A</v>
      </c>
      <c r="S25" s="30" t="e">
        <f>IF($C25="","",VLOOKUP($C25,AMABat!$A$10:$BV$140,S$4,FALSE))</f>
        <v>#N/A</v>
      </c>
      <c r="T25" s="31" t="e">
        <f>IF($C25="","",VLOOKUP($C25,AMABat!$A$10:$BV$140,T$4,FALSE))</f>
        <v>#N/A</v>
      </c>
      <c r="U25" s="339" t="e">
        <f t="shared" ref="U25:U27" si="75">IF($C25="","",IF(OR(AD25+AG25&gt;14,AND(OR(AD25+AG25&gt;12,AND(AD25&gt;6,AG25&gt;6)),AI25&gt;6,OR(AJ25&gt;=AI25,AJ25&gt;6))),1,0))</f>
        <v>#N/A</v>
      </c>
      <c r="V25" s="339" t="e">
        <f t="shared" ref="V25:V27" si="76">IF($C25="","",IF(OR(AND(AD25&gt;6,AH25&gt;6),AD25+AG25&gt;12),1,0))</f>
        <v>#N/A</v>
      </c>
      <c r="W25" s="339" t="e">
        <f t="shared" ref="W25:W27" si="77">IF($C25="","",IF(AND(AD25&gt;6,AF25&gt;6,AG25&gt;6),1,0))</f>
        <v>#N/A</v>
      </c>
      <c r="X25" s="339" t="e">
        <f t="shared" ref="X25:X27" si="78">IF($C25="","",IF(AND(AF25&gt;7,OR(AD25&gt;6,AG25&gt;6)),1,0))</f>
        <v>#N/A</v>
      </c>
      <c r="Y25" s="339" t="e">
        <f t="shared" ref="Y25:Y27" si="79">IF($C25="","",IF(AND(AF25&gt;6,OR(AD25&gt;6,AG25&gt;6)),1,0))</f>
        <v>#N/A</v>
      </c>
      <c r="Z25" s="339" t="e">
        <f t="shared" ref="Z25:Z27" si="80">IF($C25="","",IF(AND(OR(AD25&gt;6,AF25&gt;6),OR(AD25&gt;6,AG25&gt;6)),1,0))</f>
        <v>#N/A</v>
      </c>
      <c r="AA25" s="339" t="e">
        <f t="shared" ref="AA25:AA27" si="81">IF($C25="","",IF(AND(AD25&gt;4,OR(AD25&gt;6,AF25&gt;6,AG25&gt;6)),1,0))</f>
        <v>#N/A</v>
      </c>
      <c r="AB25" s="339" t="e">
        <f t="shared" ref="AB25:AB27" si="82">IF($C25="","",IF(AND(AD25&gt;4,OR(AD25&gt;6,AE25&gt;6,AF25&gt;6,AG25&gt;6)),1,0))</f>
        <v>#N/A</v>
      </c>
      <c r="AC25" s="340" t="e">
        <f t="shared" ref="AC25:AC27" si="83">IF($C25="","",IF(AND(AD25&gt;4,MAX(AD25:AH25)&gt;6),1,0))</f>
        <v>#N/A</v>
      </c>
      <c r="AD25" s="30" t="e">
        <f>IF($C25="","",VLOOKUP($C25,AMABat!$A$10:$BV$140,AD$4,FALSE))</f>
        <v>#N/A</v>
      </c>
      <c r="AE25" s="30" t="e">
        <f>IF($C25="","",VLOOKUP($C25,AMABat!$A$10:$BV$140,AE$4,FALSE))</f>
        <v>#N/A</v>
      </c>
      <c r="AF25" s="30" t="e">
        <f>IF($C25="","",VLOOKUP($C25,AMABat!$A$10:$BV$140,AF$4,FALSE))</f>
        <v>#N/A</v>
      </c>
      <c r="AG25" s="30" t="e">
        <f>IF($C25="","",VLOOKUP($C25,AMABat!$A$10:$BV$140,AG$4,FALSE))</f>
        <v>#N/A</v>
      </c>
      <c r="AH25" s="30" t="e">
        <f>IF($C25="","",VLOOKUP($C25,AMABat!$A$10:$BV$140,AH$4,FALSE))</f>
        <v>#N/A</v>
      </c>
      <c r="AI25" s="30" t="e">
        <f>IF($C25="","",VLOOKUP($C25,AMABat!$A$10:$BV$140,AI$4,FALSE))</f>
        <v>#N/A</v>
      </c>
      <c r="AJ25" s="31" t="e">
        <f>IF($C25="","",VLOOKUP($C25,AMABat!$A$10:$BV$140,AJ$4,FALSE))</f>
        <v>#N/A</v>
      </c>
      <c r="AK25" s="60" t="e">
        <f t="shared" ref="AK25:AK27" si="84">IF($C25="","",(5*AD25+4*AF25+3*AG25+2*AE25+1*AH25+0.5*(AVERAGE(AD25:AE25))+0.5*AVERAGE(AD25,AH25)+1*(AVERAGE(AD25,AF25))+1*AVERAGE(AD25,AG25))/(5+4+3+2+1+0.5+0.5+1+1))</f>
        <v>#N/A</v>
      </c>
      <c r="AL25" s="339" t="e">
        <f t="shared" ref="AL25:AL27" si="85">IF($C25="","",IF(AND(OR(AU25+AX25&gt;12,AND(AU25&gt;6,AX25&gt;6)),AI25&gt;6,OR(AJ25&gt;=AI25,AJ25&gt;6)),1,0))</f>
        <v>#N/A</v>
      </c>
      <c r="AM25" s="339" t="e">
        <f t="shared" ref="AM25:AM27" si="86">IF($C25="","",IF(OR(AND(AU25&gt;6,AY25&gt;6),AU25+AX25&gt;12),1,0))</f>
        <v>#N/A</v>
      </c>
      <c r="AN25" s="339" t="e">
        <f t="shared" ref="AN25:AN27" si="87">IF($C25="","",IF(AND(AU25&gt;6,AW25&gt;6,AX25&gt;6),1,0))</f>
        <v>#N/A</v>
      </c>
      <c r="AO25" s="339" t="e">
        <f t="shared" ref="AO25:AO27" si="88">IF($C25="","",IF(AND(AW25&gt;7,OR(AU25&gt;6,AX25&gt;6)),1,0))</f>
        <v>#N/A</v>
      </c>
      <c r="AP25" s="339" t="e">
        <f t="shared" ref="AP25:AP27" si="89">IF($C25="","",IF(AND(AW25&gt;6,OR(AU25&gt;6,AX25&gt;6)),1,0))</f>
        <v>#N/A</v>
      </c>
      <c r="AQ25" s="339" t="e">
        <f t="shared" ref="AQ25:AQ27" si="90">IF($C25="","",IF(AND(OR(AU25&gt;6,AW25&gt;6),OR(AU25&gt;6,AX25&gt;6)),1,0))</f>
        <v>#N/A</v>
      </c>
      <c r="AR25" s="339" t="e">
        <f t="shared" ref="AR25:AR27" si="91">IF($C25="","",IF(AND(AU25&gt;4,OR(AU25&gt;6,AW25&gt;6,AX25&gt;6)),1,0))</f>
        <v>#N/A</v>
      </c>
      <c r="AS25" s="339" t="e">
        <f t="shared" ref="AS25:AS27" si="92">IF($C25="","",IF(AND(AU25&gt;4,OR(AU25&gt;6,AV25&gt;6,AW25&gt;6,AX25&gt;6)),1,0))</f>
        <v>#N/A</v>
      </c>
      <c r="AT25" s="340" t="e">
        <f t="shared" ref="AT25:AT27" si="93">IF($C25="","",IF(AND(AU25&gt;4,MAX(AU25:AY25)&gt;6),1,0))</f>
        <v>#N/A</v>
      </c>
      <c r="AU25" s="51" t="e">
        <f>IF($C25="","",VLOOKUP($C25,AMABat!$A$10:$BV$140,AU$4,FALSE))</f>
        <v>#N/A</v>
      </c>
      <c r="AV25" s="30" t="e">
        <f>IF($C25="","",VLOOKUP($C25,AMABat!$A$10:$BV$140,AV$4,FALSE))</f>
        <v>#N/A</v>
      </c>
      <c r="AW25" s="30" t="e">
        <f>IF($C25="","",VLOOKUP($C25,AMABat!$A$10:$BV$140,AW$4,FALSE))</f>
        <v>#N/A</v>
      </c>
      <c r="AX25" s="30" t="e">
        <f>IF($C25="","",VLOOKUP($C25,AMABat!$A$10:$BV$140,AX$4,FALSE))</f>
        <v>#N/A</v>
      </c>
      <c r="AY25" s="31" t="e">
        <f>IF($C25="","",VLOOKUP($C25,AMABat!$A$10:$BV$140,AY$4,FALSE))</f>
        <v>#N/A</v>
      </c>
      <c r="AZ25" s="60" t="e">
        <f t="shared" ref="AZ25:AZ27" si="94">IF($C25="","",(5*AU25+4*AW25+3*AX25+2*AV25+1*AY25+0.5*(AVERAGE(AU25:AV25))+0.5*AVERAGE(AU25,AY25)+1*(AVERAGE(AU25,AW25))+1*AVERAGE(AU25,AX25))/(5+4+3+2+1+0.5+0.5+1+1))</f>
        <v>#N/A</v>
      </c>
    </row>
    <row r="26" spans="1:52" x14ac:dyDescent="0.25">
      <c r="A26" s="305">
        <v>2</v>
      </c>
      <c r="B26" s="29" t="s">
        <v>80</v>
      </c>
      <c r="C26" s="30"/>
      <c r="D26" s="30" t="str">
        <f>IF($C26="","",VLOOKUP($C26,AMABat!$A$10:$BV$140,D$4,FALSE))</f>
        <v/>
      </c>
      <c r="E26" s="30" t="str">
        <f>IF($C26="","",VLOOKUP($C26,AMABat!$A$10:$BV$140,E$4,FALSE))</f>
        <v/>
      </c>
      <c r="F26" s="345" t="str">
        <f t="shared" si="71"/>
        <v/>
      </c>
      <c r="G26" s="339" t="str">
        <f t="shared" si="72"/>
        <v/>
      </c>
      <c r="H26" s="339" t="str">
        <f t="shared" si="73"/>
        <v/>
      </c>
      <c r="I26" s="339" t="str">
        <f t="shared" si="74"/>
        <v/>
      </c>
      <c r="J26" s="51" t="str">
        <f>IF($C26="","",VLOOKUP($C26,AMABat!$A$10:$BV$140,J$4,FALSE))</f>
        <v/>
      </c>
      <c r="K26" s="30" t="str">
        <f>IF($C26="","",VLOOKUP($C26,AMABat!$A$10:$BV$140,K$4,FALSE))</f>
        <v/>
      </c>
      <c r="L26" s="31" t="str">
        <f>IF($C26="","",VLOOKUP($C26,AMABat!$A$10:$BV$140,L$4,FALSE))</f>
        <v/>
      </c>
      <c r="M26" s="30" t="str">
        <f>IF($C26="","",VLOOKUP($C26,AMABat!$A$10:$BV$140,M$4,FALSE))</f>
        <v/>
      </c>
      <c r="N26" s="30" t="str">
        <f>IF($C26="","",VLOOKUP($C26,AMABat!$A$10:$BV$140,N$4,FALSE))</f>
        <v/>
      </c>
      <c r="O26" s="30" t="str">
        <f>IF($C26="","",VLOOKUP($C26,AMABat!$A$10:$BV$140,O$4,FALSE))</f>
        <v/>
      </c>
      <c r="P26" s="30" t="str">
        <f>IF($C26="","",VLOOKUP($C26,AMABat!$A$10:$BV$140,P$4,FALSE))</f>
        <v/>
      </c>
      <c r="Q26" s="30" t="str">
        <f>IF($C26="","",VLOOKUP($C26,AMABat!$A$10:$BV$140,Q$4,FALSE))</f>
        <v/>
      </c>
      <c r="R26" s="30" t="str">
        <f>IF($C26="","",VLOOKUP($C26,AMABat!$A$10:$BV$140,R$4,FALSE))</f>
        <v/>
      </c>
      <c r="S26" s="30" t="str">
        <f>IF($C26="","",VLOOKUP($C26,AMABat!$A$10:$BV$140,S$4,FALSE))</f>
        <v/>
      </c>
      <c r="T26" s="31" t="str">
        <f>IF($C26="","",VLOOKUP($C26,AMABat!$A$10:$BV$140,T$4,FALSE))</f>
        <v/>
      </c>
      <c r="U26" s="339" t="str">
        <f t="shared" si="75"/>
        <v/>
      </c>
      <c r="V26" s="339" t="str">
        <f t="shared" si="76"/>
        <v/>
      </c>
      <c r="W26" s="339" t="str">
        <f t="shared" si="77"/>
        <v/>
      </c>
      <c r="X26" s="339" t="str">
        <f t="shared" si="78"/>
        <v/>
      </c>
      <c r="Y26" s="339" t="str">
        <f t="shared" si="79"/>
        <v/>
      </c>
      <c r="Z26" s="339" t="str">
        <f t="shared" si="80"/>
        <v/>
      </c>
      <c r="AA26" s="339" t="str">
        <f t="shared" si="81"/>
        <v/>
      </c>
      <c r="AB26" s="339" t="str">
        <f t="shared" si="82"/>
        <v/>
      </c>
      <c r="AC26" s="340" t="str">
        <f t="shared" si="83"/>
        <v/>
      </c>
      <c r="AD26" s="30" t="str">
        <f>IF($C26="","",VLOOKUP($C26,AMABat!$A$10:$BV$140,AD$4,FALSE))</f>
        <v/>
      </c>
      <c r="AE26" s="30" t="str">
        <f>IF($C26="","",VLOOKUP($C26,AMABat!$A$10:$BV$140,AE$4,FALSE))</f>
        <v/>
      </c>
      <c r="AF26" s="30" t="str">
        <f>IF($C26="","",VLOOKUP($C26,AMABat!$A$10:$BV$140,AF$4,FALSE))</f>
        <v/>
      </c>
      <c r="AG26" s="30" t="str">
        <f>IF($C26="","",VLOOKUP($C26,AMABat!$A$10:$BV$140,AG$4,FALSE))</f>
        <v/>
      </c>
      <c r="AH26" s="30" t="str">
        <f>IF($C26="","",VLOOKUP($C26,AMABat!$A$10:$BV$140,AH$4,FALSE))</f>
        <v/>
      </c>
      <c r="AI26" s="30" t="str">
        <f>IF($C26="","",VLOOKUP($C26,AMABat!$A$10:$BV$140,AI$4,FALSE))</f>
        <v/>
      </c>
      <c r="AJ26" s="31" t="str">
        <f>IF($C26="","",VLOOKUP($C26,AMABat!$A$10:$BV$140,AJ$4,FALSE))</f>
        <v/>
      </c>
      <c r="AK26" s="60" t="str">
        <f t="shared" si="84"/>
        <v/>
      </c>
      <c r="AL26" s="339" t="str">
        <f t="shared" si="85"/>
        <v/>
      </c>
      <c r="AM26" s="339" t="str">
        <f t="shared" si="86"/>
        <v/>
      </c>
      <c r="AN26" s="339" t="str">
        <f t="shared" si="87"/>
        <v/>
      </c>
      <c r="AO26" s="339" t="str">
        <f t="shared" si="88"/>
        <v/>
      </c>
      <c r="AP26" s="339" t="str">
        <f t="shared" si="89"/>
        <v/>
      </c>
      <c r="AQ26" s="339" t="str">
        <f t="shared" si="90"/>
        <v/>
      </c>
      <c r="AR26" s="339" t="str">
        <f t="shared" si="91"/>
        <v/>
      </c>
      <c r="AS26" s="339" t="str">
        <f t="shared" si="92"/>
        <v/>
      </c>
      <c r="AT26" s="340" t="str">
        <f t="shared" si="93"/>
        <v/>
      </c>
      <c r="AU26" s="51" t="str">
        <f>IF($C26="","",VLOOKUP($C26,AMABat!$A$10:$BV$140,AU$4,FALSE))</f>
        <v/>
      </c>
      <c r="AV26" s="30" t="str">
        <f>IF($C26="","",VLOOKUP($C26,AMABat!$A$10:$BV$140,AV$4,FALSE))</f>
        <v/>
      </c>
      <c r="AW26" s="30" t="str">
        <f>IF($C26="","",VLOOKUP($C26,AMABat!$A$10:$BV$140,AW$4,FALSE))</f>
        <v/>
      </c>
      <c r="AX26" s="30" t="str">
        <f>IF($C26="","",VLOOKUP($C26,AMABat!$A$10:$BV$140,AX$4,FALSE))</f>
        <v/>
      </c>
      <c r="AY26" s="31" t="str">
        <f>IF($C26="","",VLOOKUP($C26,AMABat!$A$10:$BV$140,AY$4,FALSE))</f>
        <v/>
      </c>
      <c r="AZ26" s="60" t="str">
        <f t="shared" si="94"/>
        <v/>
      </c>
    </row>
    <row r="27" spans="1:52" x14ac:dyDescent="0.25">
      <c r="A27" s="305">
        <v>3</v>
      </c>
      <c r="B27" s="32" t="s">
        <v>80</v>
      </c>
      <c r="C27" s="33"/>
      <c r="D27" s="33" t="str">
        <f>IF($C27="","",VLOOKUP($C27,AMABat!$A$10:$BV$140,D$4,FALSE))</f>
        <v/>
      </c>
      <c r="E27" s="33" t="str">
        <f>IF($C27="","",VLOOKUP($C27,AMABat!$A$10:$BV$140,E$4,FALSE))</f>
        <v/>
      </c>
      <c r="F27" s="47" t="str">
        <f t="shared" si="71"/>
        <v/>
      </c>
      <c r="G27" s="337" t="str">
        <f t="shared" si="72"/>
        <v/>
      </c>
      <c r="H27" s="337" t="str">
        <f t="shared" si="73"/>
        <v/>
      </c>
      <c r="I27" s="337" t="str">
        <f t="shared" si="74"/>
        <v/>
      </c>
      <c r="J27" s="52" t="str">
        <f>IF($C27="","",VLOOKUP($C27,AMABat!$A$10:$BV$140,J$4,FALSE))</f>
        <v/>
      </c>
      <c r="K27" s="33" t="str">
        <f>IF($C27="","",VLOOKUP($C27,AMABat!$A$10:$BV$140,K$4,FALSE))</f>
        <v/>
      </c>
      <c r="L27" s="35" t="str">
        <f>IF($C27="","",VLOOKUP($C27,AMABat!$A$10:$BV$140,L$4,FALSE))</f>
        <v/>
      </c>
      <c r="M27" s="33" t="str">
        <f>IF($C27="","",VLOOKUP($C27,AMABat!$A$10:$BV$140,M$4,FALSE))</f>
        <v/>
      </c>
      <c r="N27" s="33" t="str">
        <f>IF($C27="","",VLOOKUP($C27,AMABat!$A$10:$BV$140,N$4,FALSE))</f>
        <v/>
      </c>
      <c r="O27" s="33" t="str">
        <f>IF($C27="","",VLOOKUP($C27,AMABat!$A$10:$BV$140,O$4,FALSE))</f>
        <v/>
      </c>
      <c r="P27" s="33" t="str">
        <f>IF($C27="","",VLOOKUP($C27,AMABat!$A$10:$BV$140,P$4,FALSE))</f>
        <v/>
      </c>
      <c r="Q27" s="33" t="str">
        <f>IF($C27="","",VLOOKUP($C27,AMABat!$A$10:$BV$140,Q$4,FALSE))</f>
        <v/>
      </c>
      <c r="R27" s="33" t="str">
        <f>IF($C27="","",VLOOKUP($C27,AMABat!$A$10:$BV$140,R$4,FALSE))</f>
        <v/>
      </c>
      <c r="S27" s="33" t="str">
        <f>IF($C27="","",VLOOKUP($C27,AMABat!$A$10:$BV$140,S$4,FALSE))</f>
        <v/>
      </c>
      <c r="T27" s="35" t="str">
        <f>IF($C27="","",VLOOKUP($C27,AMABat!$A$10:$BV$140,T$4,FALSE))</f>
        <v/>
      </c>
      <c r="U27" s="337" t="str">
        <f t="shared" si="75"/>
        <v/>
      </c>
      <c r="V27" s="337" t="str">
        <f t="shared" si="76"/>
        <v/>
      </c>
      <c r="W27" s="337" t="str">
        <f t="shared" si="77"/>
        <v/>
      </c>
      <c r="X27" s="337" t="str">
        <f t="shared" si="78"/>
        <v/>
      </c>
      <c r="Y27" s="337" t="str">
        <f t="shared" si="79"/>
        <v/>
      </c>
      <c r="Z27" s="337" t="str">
        <f t="shared" si="80"/>
        <v/>
      </c>
      <c r="AA27" s="337" t="str">
        <f t="shared" si="81"/>
        <v/>
      </c>
      <c r="AB27" s="337" t="str">
        <f t="shared" si="82"/>
        <v/>
      </c>
      <c r="AC27" s="338" t="str">
        <f t="shared" si="83"/>
        <v/>
      </c>
      <c r="AD27" s="33" t="str">
        <f>IF($C27="","",VLOOKUP($C27,AMABat!$A$10:$BV$140,AD$4,FALSE))</f>
        <v/>
      </c>
      <c r="AE27" s="33" t="str">
        <f>IF($C27="","",VLOOKUP($C27,AMABat!$A$10:$BV$140,AE$4,FALSE))</f>
        <v/>
      </c>
      <c r="AF27" s="33" t="str">
        <f>IF($C27="","",VLOOKUP($C27,AMABat!$A$10:$BV$140,AF$4,FALSE))</f>
        <v/>
      </c>
      <c r="AG27" s="33" t="str">
        <f>IF($C27="","",VLOOKUP($C27,AMABat!$A$10:$BV$140,AG$4,FALSE))</f>
        <v/>
      </c>
      <c r="AH27" s="33" t="str">
        <f>IF($C27="","",VLOOKUP($C27,AMABat!$A$10:$BV$140,AH$4,FALSE))</f>
        <v/>
      </c>
      <c r="AI27" s="33" t="str">
        <f>IF($C27="","",VLOOKUP($C27,AMABat!$A$10:$BV$140,AI$4,FALSE))</f>
        <v/>
      </c>
      <c r="AJ27" s="35" t="str">
        <f>IF($C27="","",VLOOKUP($C27,AMABat!$A$10:$BV$140,AJ$4,FALSE))</f>
        <v/>
      </c>
      <c r="AK27" s="61" t="str">
        <f t="shared" si="84"/>
        <v/>
      </c>
      <c r="AL27" s="337" t="str">
        <f t="shared" si="85"/>
        <v/>
      </c>
      <c r="AM27" s="337" t="str">
        <f t="shared" si="86"/>
        <v/>
      </c>
      <c r="AN27" s="337" t="str">
        <f t="shared" si="87"/>
        <v/>
      </c>
      <c r="AO27" s="337" t="str">
        <f t="shared" si="88"/>
        <v/>
      </c>
      <c r="AP27" s="337" t="str">
        <f t="shared" si="89"/>
        <v/>
      </c>
      <c r="AQ27" s="337" t="str">
        <f t="shared" si="90"/>
        <v/>
      </c>
      <c r="AR27" s="337" t="str">
        <f t="shared" si="91"/>
        <v/>
      </c>
      <c r="AS27" s="337" t="str">
        <f t="shared" si="92"/>
        <v/>
      </c>
      <c r="AT27" s="338" t="str">
        <f t="shared" si="93"/>
        <v/>
      </c>
      <c r="AU27" s="52" t="str">
        <f>IF($C27="","",VLOOKUP($C27,AMABat!$A$10:$BV$140,AU$4,FALSE))</f>
        <v/>
      </c>
      <c r="AV27" s="33" t="str">
        <f>IF($C27="","",VLOOKUP($C27,AMABat!$A$10:$BV$140,AV$4,FALSE))</f>
        <v/>
      </c>
      <c r="AW27" s="33" t="str">
        <f>IF($C27="","",VLOOKUP($C27,AMABat!$A$10:$BV$140,AW$4,FALSE))</f>
        <v/>
      </c>
      <c r="AX27" s="33" t="str">
        <f>IF($C27="","",VLOOKUP($C27,AMABat!$A$10:$BV$140,AX$4,FALSE))</f>
        <v/>
      </c>
      <c r="AY27" s="35" t="str">
        <f>IF($C27="","",VLOOKUP($C27,AMABat!$A$10:$BV$140,AY$4,FALSE))</f>
        <v/>
      </c>
      <c r="AZ27" s="61" t="str">
        <f t="shared" si="94"/>
        <v/>
      </c>
    </row>
    <row r="28" spans="1:52" x14ac:dyDescent="0.25">
      <c r="A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</row>
    <row r="29" spans="1:52" ht="196.5" customHeight="1" x14ac:dyDescent="0.25">
      <c r="A29" s="1"/>
      <c r="B29" s="341" t="s">
        <v>347</v>
      </c>
      <c r="C29" s="37" t="s">
        <v>96</v>
      </c>
      <c r="D29" s="37" t="s">
        <v>97</v>
      </c>
      <c r="E29" s="43" t="s">
        <v>80</v>
      </c>
      <c r="F29" s="342" t="s">
        <v>133</v>
      </c>
      <c r="G29" s="342" t="s">
        <v>137</v>
      </c>
      <c r="H29" s="343" t="s">
        <v>135</v>
      </c>
      <c r="I29" s="81" t="s">
        <v>159</v>
      </c>
      <c r="J29" s="341" t="s">
        <v>71</v>
      </c>
      <c r="K29" s="342" t="s">
        <v>123</v>
      </c>
      <c r="L29" s="342" t="s">
        <v>124</v>
      </c>
      <c r="M29" s="342" t="s">
        <v>180</v>
      </c>
      <c r="N29" s="342" t="s">
        <v>72</v>
      </c>
      <c r="O29" s="341" t="s">
        <v>181</v>
      </c>
      <c r="P29" s="343" t="s">
        <v>182</v>
      </c>
      <c r="Q29" s="341" t="s">
        <v>190</v>
      </c>
      <c r="R29" s="80" t="s">
        <v>203</v>
      </c>
      <c r="S29" s="1"/>
      <c r="T29" s="341" t="s">
        <v>97</v>
      </c>
      <c r="U29" s="341" t="s">
        <v>191</v>
      </c>
      <c r="V29" s="343" t="s">
        <v>204</v>
      </c>
      <c r="W29" s="342" t="s">
        <v>190</v>
      </c>
      <c r="X29" s="343" t="s">
        <v>203</v>
      </c>
      <c r="Y29" s="1"/>
      <c r="Z29" s="1" t="s">
        <v>336</v>
      </c>
      <c r="AA29" s="1"/>
      <c r="AB29" s="1"/>
      <c r="AC29" s="1"/>
      <c r="AD29" s="1"/>
      <c r="AE29" s="1"/>
      <c r="AF29" s="1"/>
      <c r="AG29" s="400" t="s">
        <v>346</v>
      </c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2"/>
      <c r="AU29" s="1"/>
      <c r="AV29" s="1"/>
      <c r="AW29" s="1"/>
      <c r="AX29" s="1"/>
      <c r="AY29" s="1"/>
      <c r="AZ29" s="1"/>
    </row>
    <row r="30" spans="1:52" x14ac:dyDescent="0.25">
      <c r="A30" s="305"/>
      <c r="B30" s="29">
        <v>1</v>
      </c>
      <c r="C30" s="50"/>
      <c r="D30" s="26" t="s">
        <v>78</v>
      </c>
      <c r="E30" s="31" t="str">
        <f>IF($C30="","",VLOOKUP($C30,$C$3:$AK$24,3,FALSE))</f>
        <v/>
      </c>
      <c r="F30" s="339" t="str">
        <f t="shared" ref="F30:F38" si="95">IF($C30="","",VLOOKUP($C30,$C$3:$AK$24,18+$B30,FALSE))</f>
        <v/>
      </c>
      <c r="G30" s="339" t="str">
        <f>IF($C30="","",IF(VLOOKUP($C30,$C$3:$AK$24,18+3,FALSE)=1,3,IF(VLOOKUP($C30,$C$3:$AK$24,18+4,FALSE)=1,4,IF(VLOOKUP($C30,$C$3:$AK$24,18+1,FALSE)=1,1,IF(VLOOKUP($C30,$C$3:$AK$24,18+5,FALSE)=1,5,IF(VLOOKUP($C30,$C$3:$AK$24,18+2,FALSE)=1,2,IF(VLOOKUP($C30,$C$3:$AK$24,18+6,FALSE)=1,6,IF(VLOOKUP($C30,$C$3:$AK$24,18+7,FALSE)=1,7,IF(VLOOKUP($C30,$C$3:$AK$24,18+8,FALSE)=1,8,9)))))))))</f>
        <v/>
      </c>
      <c r="H30" s="8" t="str">
        <f>IF($C30="","",VLOOKUP($C30,$C$3:$AK$24,35,FALSE))</f>
        <v/>
      </c>
      <c r="I30" s="82">
        <v>3</v>
      </c>
      <c r="J30" s="345" t="str">
        <f>IF($C30="","",VLOOKUP($C30,AMABat!$A$10:$BV$140,AD$1,FALSE))</f>
        <v/>
      </c>
      <c r="K30" s="339" t="str">
        <f>IF($C30="","",VLOOKUP($C30,AMABat!$A$10:$BV$140,AE$1,FALSE))</f>
        <v/>
      </c>
      <c r="L30" s="339" t="str">
        <f>IF($C30="","",VLOOKUP($C30,AMABat!$A$10:$BV$140,AF$1,FALSE))</f>
        <v/>
      </c>
      <c r="M30" s="339" t="str">
        <f>IF($C30="","",VLOOKUP($C30,AMABat!$A$10:$BV$140,AG$1,FALSE))</f>
        <v/>
      </c>
      <c r="N30" s="339" t="str">
        <f>IF($C30="","",VLOOKUP($C30,AMABat!$A$10:$BV$140,AH$1,FALSE))</f>
        <v/>
      </c>
      <c r="O30" s="345" t="str">
        <f>IF($C30="","",VLOOKUP($C30,AMABat!$A$10:$BV$140,AI$1,FALSE))</f>
        <v/>
      </c>
      <c r="P30" s="340" t="str">
        <f>IF($C30="","",VLOOKUP($C30,AMABat!$A$10:$BV$140,AJ$1,FALSE))</f>
        <v/>
      </c>
      <c r="Q30" s="107" t="str">
        <f t="shared" ref="Q30:Q38" si="96">IF($C30="","",IF($D30="DH","-",VLOOKUP($C30,$C$2:$AZ$24,9+VLOOKUP($D30,$T$26:$U$34,2,FALSE),FALSE)))</f>
        <v/>
      </c>
      <c r="R30" s="94" t="str">
        <f t="shared" ref="R30:R38" si="97">IF($C30="","",IF($D30="DH","-",VLOOKUP($C30,$C$2:$AZ$24,VLOOKUP($D30,$T$26:$V$34,3,FALSE),FALSE)))</f>
        <v/>
      </c>
      <c r="S30" s="305"/>
      <c r="T30" s="345" t="s">
        <v>71</v>
      </c>
      <c r="U30" s="345">
        <v>2</v>
      </c>
      <c r="V30" s="340">
        <v>8</v>
      </c>
      <c r="W30" s="339" t="str">
        <f>VLOOKUP($T30,$D$26:$R$35,14,FALSE)</f>
        <v/>
      </c>
      <c r="X30" s="340" t="str">
        <f>VLOOKUP($T30,$D$26:$R$35,15,FALSE)</f>
        <v/>
      </c>
      <c r="Y30" s="305"/>
      <c r="Z30" s="305" t="s">
        <v>337</v>
      </c>
      <c r="AA30" s="305">
        <v>1</v>
      </c>
      <c r="AB30" s="305"/>
      <c r="AC30" s="305"/>
      <c r="AD30" s="305"/>
      <c r="AE30" s="305"/>
      <c r="AF30" s="305"/>
      <c r="AG30" s="192">
        <v>1</v>
      </c>
      <c r="AH30" s="406" t="s">
        <v>362</v>
      </c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7"/>
      <c r="AU30" s="305" t="s">
        <v>366</v>
      </c>
      <c r="AV30" s="305"/>
      <c r="AW30" s="305"/>
      <c r="AX30" s="305"/>
      <c r="AY30" s="305"/>
      <c r="AZ30" s="305"/>
    </row>
    <row r="31" spans="1:52" x14ac:dyDescent="0.25">
      <c r="A31" s="305"/>
      <c r="B31" s="29">
        <v>2</v>
      </c>
      <c r="C31" s="51"/>
      <c r="D31" s="30" t="s">
        <v>76</v>
      </c>
      <c r="E31" s="31" t="str">
        <f t="shared" ref="E31:E38" si="98">IF($C31="","",VLOOKUP($C31,$C$3:$AK$24,3,FALSE))</f>
        <v/>
      </c>
      <c r="F31" s="339" t="str">
        <f t="shared" si="95"/>
        <v/>
      </c>
      <c r="G31" s="339" t="str">
        <f t="shared" ref="G31:G38" si="99">IF($C31="","",IF(VLOOKUP($C31,$C$3:$AK$24,18+3,FALSE)=1,3,IF(VLOOKUP($C31,$C$3:$AK$24,18+4,FALSE)=1,4,IF(VLOOKUP($C31,$C$3:$AK$24,18+1,FALSE)=1,1,IF(VLOOKUP($C31,$C$3:$AK$24,18+5,FALSE)=1,5,IF(VLOOKUP($C31,$C$3:$AK$24,18+2,FALSE)=1,2,IF(VLOOKUP($C31,$C$3:$AK$24,18+6,FALSE)=1,6,IF(VLOOKUP($C31,$C$3:$AK$24,18+7,FALSE)=1,7,IF(VLOOKUP($C31,$C$3:$AK$24,18+8,FALSE)=1,8,9)))))))))</f>
        <v/>
      </c>
      <c r="H31" s="8" t="str">
        <f t="shared" ref="H31:H38" si="100">IF($C31="","",VLOOKUP($C31,$C$3:$AK$24,35,FALSE))</f>
        <v/>
      </c>
      <c r="I31" s="82">
        <v>5</v>
      </c>
      <c r="J31" s="345" t="str">
        <f>IF($C31="","",VLOOKUP($C31,AMABat!$A$10:$BV$140,AD$1,FALSE))</f>
        <v/>
      </c>
      <c r="K31" s="339" t="str">
        <f>IF($C31="","",VLOOKUP($C31,AMABat!$A$10:$BV$140,AE$1,FALSE))</f>
        <v/>
      </c>
      <c r="L31" s="339" t="str">
        <f>IF($C31="","",VLOOKUP($C31,AMABat!$A$10:$BV$140,AF$1,FALSE))</f>
        <v/>
      </c>
      <c r="M31" s="339" t="str">
        <f>IF($C31="","",VLOOKUP($C31,AMABat!$A$10:$BV$140,AG$1,FALSE))</f>
        <v/>
      </c>
      <c r="N31" s="339" t="str">
        <f>IF($C31="","",VLOOKUP($C31,AMABat!$A$10:$BV$140,AH$1,FALSE))</f>
        <v/>
      </c>
      <c r="O31" s="345" t="str">
        <f>IF($C31="","",VLOOKUP($C31,AMABat!$A$10:$BV$140,AI$1,FALSE))</f>
        <v/>
      </c>
      <c r="P31" s="340" t="str">
        <f>IF($C31="","",VLOOKUP($C31,AMABat!$A$10:$BV$140,AJ$1,FALSE))</f>
        <v/>
      </c>
      <c r="Q31" s="108" t="str">
        <f t="shared" si="96"/>
        <v/>
      </c>
      <c r="R31" s="94" t="str">
        <f t="shared" si="97"/>
        <v/>
      </c>
      <c r="S31" s="305"/>
      <c r="T31" s="345" t="s">
        <v>73</v>
      </c>
      <c r="U31" s="345">
        <v>3</v>
      </c>
      <c r="V31" s="340">
        <v>9</v>
      </c>
      <c r="W31" s="339" t="e">
        <f t="shared" ref="W31:W37" si="101">VLOOKUP($T31,$D$26:$R$35,14,FALSE)</f>
        <v>#N/A</v>
      </c>
      <c r="X31" s="340" t="e">
        <f t="shared" ref="X31:X37" si="102">VLOOKUP($T31,$D$26:$R$35,15,FALSE)</f>
        <v>#N/A</v>
      </c>
      <c r="Y31" s="305"/>
      <c r="Z31" s="305" t="s">
        <v>338</v>
      </c>
      <c r="AA31" s="305">
        <v>3</v>
      </c>
      <c r="AB31" s="305"/>
      <c r="AC31" s="305"/>
      <c r="AD31" s="305"/>
      <c r="AE31" s="305"/>
      <c r="AF31" s="305"/>
      <c r="AG31" s="70">
        <v>2</v>
      </c>
      <c r="AH31" s="396" t="s">
        <v>363</v>
      </c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7"/>
      <c r="AU31" s="305" t="s">
        <v>370</v>
      </c>
      <c r="AV31" s="305"/>
      <c r="AW31" s="305"/>
      <c r="AX31" s="305"/>
      <c r="AY31" s="305"/>
      <c r="AZ31" s="305"/>
    </row>
    <row r="32" spans="1:52" x14ac:dyDescent="0.25">
      <c r="A32" s="305"/>
      <c r="B32" s="29">
        <v>3</v>
      </c>
      <c r="C32" s="51"/>
      <c r="D32" s="58" t="s">
        <v>71</v>
      </c>
      <c r="E32" s="31" t="str">
        <f t="shared" si="98"/>
        <v/>
      </c>
      <c r="F32" s="339" t="str">
        <f t="shared" si="95"/>
        <v/>
      </c>
      <c r="G32" s="339" t="str">
        <f t="shared" si="99"/>
        <v/>
      </c>
      <c r="H32" s="8" t="str">
        <f t="shared" si="100"/>
        <v/>
      </c>
      <c r="I32" s="82">
        <v>1</v>
      </c>
      <c r="J32" s="345" t="str">
        <f>IF($C32="","",VLOOKUP($C32,AMABat!$A$10:$BV$140,AD$1,FALSE))</f>
        <v/>
      </c>
      <c r="K32" s="339" t="str">
        <f>IF($C32="","",VLOOKUP($C32,AMABat!$A$10:$BV$140,AE$1,FALSE))</f>
        <v/>
      </c>
      <c r="L32" s="339" t="str">
        <f>IF($C32="","",VLOOKUP($C32,AMABat!$A$10:$BV$140,AF$1,FALSE))</f>
        <v/>
      </c>
      <c r="M32" s="339" t="str">
        <f>IF($C32="","",VLOOKUP($C32,AMABat!$A$10:$BV$140,AG$1,FALSE))</f>
        <v/>
      </c>
      <c r="N32" s="339" t="str">
        <f>IF($C32="","",VLOOKUP($C32,AMABat!$A$10:$BV$140,AH$1,FALSE))</f>
        <v/>
      </c>
      <c r="O32" s="345" t="str">
        <f>IF($C32="","",VLOOKUP($C32,AMABat!$A$10:$BV$140,AI$1,FALSE))</f>
        <v/>
      </c>
      <c r="P32" s="340" t="str">
        <f>IF($C32="","",VLOOKUP($C32,AMABat!$A$10:$BV$140,AJ$1,FALSE))</f>
        <v/>
      </c>
      <c r="Q32" s="108" t="str">
        <f t="shared" si="96"/>
        <v/>
      </c>
      <c r="R32" s="94" t="str">
        <f t="shared" si="97"/>
        <v/>
      </c>
      <c r="S32" s="305"/>
      <c r="T32" s="345" t="s">
        <v>74</v>
      </c>
      <c r="U32" s="345">
        <v>4</v>
      </c>
      <c r="V32" s="340">
        <v>9</v>
      </c>
      <c r="W32" s="339" t="e">
        <f t="shared" si="101"/>
        <v>#N/A</v>
      </c>
      <c r="X32" s="340" t="e">
        <f t="shared" si="102"/>
        <v>#N/A</v>
      </c>
      <c r="Y32" s="305"/>
      <c r="Z32" s="305" t="s">
        <v>341</v>
      </c>
      <c r="AA32" s="305">
        <v>5</v>
      </c>
      <c r="AB32" s="305"/>
      <c r="AC32" s="305"/>
      <c r="AD32" s="305"/>
      <c r="AE32" s="305"/>
      <c r="AF32" s="305"/>
      <c r="AG32" s="70">
        <v>3</v>
      </c>
      <c r="AH32" s="406" t="s">
        <v>369</v>
      </c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7"/>
      <c r="AU32" s="305" t="s">
        <v>383</v>
      </c>
      <c r="AV32" s="305"/>
      <c r="AW32" s="305"/>
      <c r="AX32" s="305"/>
      <c r="AY32" s="305"/>
      <c r="AZ32" s="305"/>
    </row>
    <row r="33" spans="1:52" x14ac:dyDescent="0.25">
      <c r="A33" s="305"/>
      <c r="B33" s="29">
        <v>4</v>
      </c>
      <c r="C33" s="51"/>
      <c r="D33" s="58" t="s">
        <v>75</v>
      </c>
      <c r="E33" s="31" t="str">
        <f t="shared" si="98"/>
        <v/>
      </c>
      <c r="F33" s="339" t="str">
        <f t="shared" si="95"/>
        <v/>
      </c>
      <c r="G33" s="339" t="str">
        <f t="shared" si="99"/>
        <v/>
      </c>
      <c r="H33" s="8" t="str">
        <f t="shared" si="100"/>
        <v/>
      </c>
      <c r="I33" s="82">
        <v>2</v>
      </c>
      <c r="J33" s="345" t="str">
        <f>IF($C33="","",VLOOKUP($C33,AMABat!$A$10:$BV$140,AD$1,FALSE))</f>
        <v/>
      </c>
      <c r="K33" s="339" t="str">
        <f>IF($C33="","",VLOOKUP($C33,AMABat!$A$10:$BV$140,AE$1,FALSE))</f>
        <v/>
      </c>
      <c r="L33" s="339" t="str">
        <f>IF($C33="","",VLOOKUP($C33,AMABat!$A$10:$BV$140,AF$1,FALSE))</f>
        <v/>
      </c>
      <c r="M33" s="339" t="str">
        <f>IF($C33="","",VLOOKUP($C33,AMABat!$A$10:$BV$140,AG$1,FALSE))</f>
        <v/>
      </c>
      <c r="N33" s="339" t="str">
        <f>IF($C33="","",VLOOKUP($C33,AMABat!$A$10:$BV$140,AH$1,FALSE))</f>
        <v/>
      </c>
      <c r="O33" s="345" t="str">
        <f>IF($C33="","",VLOOKUP($C33,AMABat!$A$10:$BV$140,AI$1,FALSE))</f>
        <v/>
      </c>
      <c r="P33" s="340" t="str">
        <f>IF($C33="","",VLOOKUP($C33,AMABat!$A$10:$BV$140,AJ$1,FALSE))</f>
        <v/>
      </c>
      <c r="Q33" s="108" t="str">
        <f t="shared" si="96"/>
        <v/>
      </c>
      <c r="R33" s="94" t="str">
        <f t="shared" si="97"/>
        <v/>
      </c>
      <c r="S33" s="305"/>
      <c r="T33" s="345" t="s">
        <v>75</v>
      </c>
      <c r="U33" s="345">
        <v>5</v>
      </c>
      <c r="V33" s="340">
        <v>9</v>
      </c>
      <c r="W33" s="339" t="str">
        <f t="shared" si="101"/>
        <v/>
      </c>
      <c r="X33" s="340" t="str">
        <f t="shared" si="102"/>
        <v/>
      </c>
      <c r="Y33" s="305"/>
      <c r="Z33" s="305" t="s">
        <v>340</v>
      </c>
      <c r="AA33" s="305">
        <v>2</v>
      </c>
      <c r="AB33" s="305"/>
      <c r="AC33" s="305"/>
      <c r="AD33" s="305"/>
      <c r="AE33" s="305"/>
      <c r="AF33" s="305"/>
      <c r="AG33" s="70">
        <v>4</v>
      </c>
      <c r="AH33" s="406" t="s">
        <v>368</v>
      </c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7"/>
      <c r="AU33" s="305" t="s">
        <v>373</v>
      </c>
      <c r="AV33" s="305"/>
      <c r="AW33" s="305"/>
      <c r="AX33" s="305"/>
      <c r="AY33" s="305"/>
      <c r="AZ33" s="305"/>
    </row>
    <row r="34" spans="1:52" x14ac:dyDescent="0.25">
      <c r="A34" s="305"/>
      <c r="B34" s="29">
        <v>5</v>
      </c>
      <c r="C34" s="51"/>
      <c r="D34" s="58"/>
      <c r="E34" s="31" t="str">
        <f t="shared" si="98"/>
        <v/>
      </c>
      <c r="F34" s="339" t="str">
        <f t="shared" si="95"/>
        <v/>
      </c>
      <c r="G34" s="339" t="str">
        <f t="shared" si="99"/>
        <v/>
      </c>
      <c r="H34" s="8" t="str">
        <f t="shared" si="100"/>
        <v/>
      </c>
      <c r="I34" s="82">
        <v>4</v>
      </c>
      <c r="J34" s="345" t="str">
        <f>IF($C34="","",VLOOKUP($C34,AMABat!$A$10:$BV$140,AD$1,FALSE))</f>
        <v/>
      </c>
      <c r="K34" s="339" t="str">
        <f>IF($C34="","",VLOOKUP($C34,AMABat!$A$10:$BV$140,AE$1,FALSE))</f>
        <v/>
      </c>
      <c r="L34" s="339" t="str">
        <f>IF($C34="","",VLOOKUP($C34,AMABat!$A$10:$BV$140,AF$1,FALSE))</f>
        <v/>
      </c>
      <c r="M34" s="339" t="str">
        <f>IF($C34="","",VLOOKUP($C34,AMABat!$A$10:$BV$140,AG$1,FALSE))</f>
        <v/>
      </c>
      <c r="N34" s="339" t="str">
        <f>IF($C34="","",VLOOKUP($C34,AMABat!$A$10:$BV$140,AH$1,FALSE))</f>
        <v/>
      </c>
      <c r="O34" s="345" t="str">
        <f>IF($C34="","",VLOOKUP($C34,AMABat!$A$10:$BV$140,AI$1,FALSE))</f>
        <v/>
      </c>
      <c r="P34" s="340" t="str">
        <f>IF($C34="","",VLOOKUP($C34,AMABat!$A$10:$BV$140,AJ$1,FALSE))</f>
        <v/>
      </c>
      <c r="Q34" s="108" t="str">
        <f t="shared" si="96"/>
        <v/>
      </c>
      <c r="R34" s="94" t="str">
        <f t="shared" si="97"/>
        <v/>
      </c>
      <c r="S34" s="305"/>
      <c r="T34" s="345" t="s">
        <v>76</v>
      </c>
      <c r="U34" s="345">
        <v>6</v>
      </c>
      <c r="V34" s="340">
        <v>9</v>
      </c>
      <c r="W34" s="339" t="str">
        <f t="shared" si="101"/>
        <v/>
      </c>
      <c r="X34" s="340" t="str">
        <f t="shared" si="102"/>
        <v/>
      </c>
      <c r="Y34" s="305"/>
      <c r="Z34" s="305" t="s">
        <v>339</v>
      </c>
      <c r="AA34" s="305">
        <v>4</v>
      </c>
      <c r="AB34" s="305"/>
      <c r="AC34" s="305"/>
      <c r="AD34" s="305"/>
      <c r="AE34" s="305"/>
      <c r="AF34" s="305"/>
      <c r="AG34" s="70">
        <v>5</v>
      </c>
      <c r="AH34" s="408" t="s">
        <v>361</v>
      </c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10"/>
      <c r="AU34" s="305"/>
      <c r="AV34" s="305"/>
      <c r="AW34" s="305"/>
      <c r="AX34" s="305"/>
      <c r="AY34" s="305"/>
      <c r="AZ34" s="305"/>
    </row>
    <row r="35" spans="1:52" s="1" customFormat="1" x14ac:dyDescent="0.25">
      <c r="A35" s="305"/>
      <c r="B35" s="29">
        <v>6</v>
      </c>
      <c r="C35" s="51"/>
      <c r="D35" s="58"/>
      <c r="E35" s="31" t="str">
        <f t="shared" si="98"/>
        <v/>
      </c>
      <c r="F35" s="339" t="str">
        <f t="shared" si="95"/>
        <v/>
      </c>
      <c r="G35" s="339" t="str">
        <f t="shared" si="99"/>
        <v/>
      </c>
      <c r="H35" s="8" t="str">
        <f t="shared" si="100"/>
        <v/>
      </c>
      <c r="I35" s="82">
        <v>6</v>
      </c>
      <c r="J35" s="345" t="str">
        <f>IF($C35="","",VLOOKUP($C35,AMABat!$A$10:$BV$140,AD$1,FALSE))</f>
        <v/>
      </c>
      <c r="K35" s="339" t="str">
        <f>IF($C35="","",VLOOKUP($C35,AMABat!$A$10:$BV$140,AE$1,FALSE))</f>
        <v/>
      </c>
      <c r="L35" s="339" t="str">
        <f>IF($C35="","",VLOOKUP($C35,AMABat!$A$10:$BV$140,AF$1,FALSE))</f>
        <v/>
      </c>
      <c r="M35" s="339" t="str">
        <f>IF($C35="","",VLOOKUP($C35,AMABat!$A$10:$BV$140,AG$1,FALSE))</f>
        <v/>
      </c>
      <c r="N35" s="339" t="str">
        <f>IF($C35="","",VLOOKUP($C35,AMABat!$A$10:$BV$140,AH$1,FALSE))</f>
        <v/>
      </c>
      <c r="O35" s="345" t="str">
        <f>IF($C35="","",VLOOKUP($C35,AMABat!$A$10:$BV$140,AI$1,FALSE))</f>
        <v/>
      </c>
      <c r="P35" s="340" t="str">
        <f>IF($C35="","",VLOOKUP($C35,AMABat!$A$10:$BV$140,AJ$1,FALSE))</f>
        <v/>
      </c>
      <c r="Q35" s="108" t="str">
        <f t="shared" si="96"/>
        <v/>
      </c>
      <c r="R35" s="94" t="str">
        <f t="shared" si="97"/>
        <v/>
      </c>
      <c r="S35" s="305"/>
      <c r="T35" s="345" t="s">
        <v>77</v>
      </c>
      <c r="U35" s="345">
        <v>7</v>
      </c>
      <c r="V35" s="340">
        <v>10</v>
      </c>
      <c r="W35" s="339" t="e">
        <f t="shared" si="101"/>
        <v>#N/A</v>
      </c>
      <c r="X35" s="340" t="e">
        <f t="shared" si="102"/>
        <v>#N/A</v>
      </c>
      <c r="Y35" s="305"/>
      <c r="Z35" s="305" t="s">
        <v>343</v>
      </c>
      <c r="AA35" s="305">
        <v>6</v>
      </c>
      <c r="AB35" s="305"/>
      <c r="AC35" s="305"/>
      <c r="AD35" s="305"/>
      <c r="AE35" s="305"/>
      <c r="AF35" s="305"/>
      <c r="AG35" s="70">
        <v>6</v>
      </c>
      <c r="AH35" s="411" t="s">
        <v>364</v>
      </c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7"/>
      <c r="AU35" s="305" t="s">
        <v>376</v>
      </c>
      <c r="AV35" s="305"/>
      <c r="AW35" s="305"/>
      <c r="AX35" s="305"/>
      <c r="AY35" s="305"/>
      <c r="AZ35" s="305"/>
    </row>
    <row r="36" spans="1:52" x14ac:dyDescent="0.25">
      <c r="A36" s="305"/>
      <c r="B36" s="29">
        <v>7</v>
      </c>
      <c r="C36" s="51"/>
      <c r="D36" s="58"/>
      <c r="E36" s="31" t="str">
        <f t="shared" si="98"/>
        <v/>
      </c>
      <c r="F36" s="339" t="str">
        <f t="shared" si="95"/>
        <v/>
      </c>
      <c r="G36" s="339" t="str">
        <f t="shared" si="99"/>
        <v/>
      </c>
      <c r="H36" s="8" t="str">
        <f t="shared" si="100"/>
        <v/>
      </c>
      <c r="I36" s="82">
        <v>7</v>
      </c>
      <c r="J36" s="345" t="str">
        <f>IF($C36="","",VLOOKUP($C36,AMABat!$A$10:$BV$140,AD$1,FALSE))</f>
        <v/>
      </c>
      <c r="K36" s="339" t="str">
        <f>IF($C36="","",VLOOKUP($C36,AMABat!$A$10:$BV$140,AE$1,FALSE))</f>
        <v/>
      </c>
      <c r="L36" s="339" t="str">
        <f>IF($C36="","",VLOOKUP($C36,AMABat!$A$10:$BV$140,AF$1,FALSE))</f>
        <v/>
      </c>
      <c r="M36" s="339" t="str">
        <f>IF($C36="","",VLOOKUP($C36,AMABat!$A$10:$BV$140,AG$1,FALSE))</f>
        <v/>
      </c>
      <c r="N36" s="339" t="str">
        <f>IF($C36="","",VLOOKUP($C36,AMABat!$A$10:$BV$140,AH$1,FALSE))</f>
        <v/>
      </c>
      <c r="O36" s="345" t="str">
        <f>IF($C36="","",VLOOKUP($C36,AMABat!$A$10:$BV$140,AI$1,FALSE))</f>
        <v/>
      </c>
      <c r="P36" s="340" t="str">
        <f>IF($C36="","",VLOOKUP($C36,AMABat!$A$10:$BV$140,AJ$1,FALSE))</f>
        <v/>
      </c>
      <c r="Q36" s="108" t="str">
        <f t="shared" si="96"/>
        <v/>
      </c>
      <c r="R36" s="94" t="str">
        <f t="shared" si="97"/>
        <v/>
      </c>
      <c r="S36" s="305"/>
      <c r="T36" s="345" t="s">
        <v>78</v>
      </c>
      <c r="U36" s="345">
        <v>8</v>
      </c>
      <c r="V36" s="340">
        <v>10</v>
      </c>
      <c r="W36" s="339" t="str">
        <f t="shared" si="101"/>
        <v/>
      </c>
      <c r="X36" s="340" t="str">
        <f t="shared" si="102"/>
        <v/>
      </c>
      <c r="Y36" s="305"/>
      <c r="Z36" s="305" t="s">
        <v>344</v>
      </c>
      <c r="AA36" s="305">
        <v>7</v>
      </c>
      <c r="AB36" s="305"/>
      <c r="AC36" s="305"/>
      <c r="AD36" s="305"/>
      <c r="AE36" s="305"/>
      <c r="AF36" s="305"/>
      <c r="AG36" s="70">
        <v>7</v>
      </c>
      <c r="AH36" s="411" t="s">
        <v>365</v>
      </c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7"/>
      <c r="AU36" s="305" t="s">
        <v>367</v>
      </c>
      <c r="AV36" s="305"/>
      <c r="AW36" s="305"/>
      <c r="AX36" s="305"/>
      <c r="AY36" s="305"/>
      <c r="AZ36" s="305"/>
    </row>
    <row r="37" spans="1:52" x14ac:dyDescent="0.25">
      <c r="A37" s="305"/>
      <c r="B37" s="29">
        <v>8</v>
      </c>
      <c r="C37" s="51"/>
      <c r="D37" s="58"/>
      <c r="E37" s="31" t="str">
        <f t="shared" si="98"/>
        <v/>
      </c>
      <c r="F37" s="339" t="str">
        <f t="shared" si="95"/>
        <v/>
      </c>
      <c r="G37" s="339" t="str">
        <f t="shared" si="99"/>
        <v/>
      </c>
      <c r="H37" s="8" t="str">
        <f t="shared" si="100"/>
        <v/>
      </c>
      <c r="I37" s="82">
        <v>8</v>
      </c>
      <c r="J37" s="345" t="str">
        <f>IF($C37="","",VLOOKUP($C37,AMABat!$A$10:$BV$140,AD$1,FALSE))</f>
        <v/>
      </c>
      <c r="K37" s="339" t="str">
        <f>IF($C37="","",VLOOKUP($C37,AMABat!$A$10:$BV$140,AE$1,FALSE))</f>
        <v/>
      </c>
      <c r="L37" s="339" t="str">
        <f>IF($C37="","",VLOOKUP($C37,AMABat!$A$10:$BV$140,AF$1,FALSE))</f>
        <v/>
      </c>
      <c r="M37" s="339" t="str">
        <f>IF($C37="","",VLOOKUP($C37,AMABat!$A$10:$BV$140,AG$1,FALSE))</f>
        <v/>
      </c>
      <c r="N37" s="339" t="str">
        <f>IF($C37="","",VLOOKUP($C37,AMABat!$A$10:$BV$140,AH$1,FALSE))</f>
        <v/>
      </c>
      <c r="O37" s="345" t="str">
        <f>IF($C37="","",VLOOKUP($C37,AMABat!$A$10:$BV$140,AI$1,FALSE))</f>
        <v/>
      </c>
      <c r="P37" s="340" t="str">
        <f>IF($C37="","",VLOOKUP($C37,AMABat!$A$10:$BV$140,AJ$1,FALSE))</f>
        <v/>
      </c>
      <c r="Q37" s="108" t="str">
        <f t="shared" si="96"/>
        <v/>
      </c>
      <c r="R37" s="94" t="str">
        <f t="shared" si="97"/>
        <v/>
      </c>
      <c r="S37" s="305"/>
      <c r="T37" s="47" t="s">
        <v>79</v>
      </c>
      <c r="U37" s="47">
        <v>9</v>
      </c>
      <c r="V37" s="338">
        <v>10</v>
      </c>
      <c r="W37" s="337" t="e">
        <f t="shared" si="101"/>
        <v>#N/A</v>
      </c>
      <c r="X37" s="338" t="e">
        <f t="shared" si="102"/>
        <v>#N/A</v>
      </c>
      <c r="Y37" s="305"/>
      <c r="Z37" s="305" t="s">
        <v>345</v>
      </c>
      <c r="AA37" s="305">
        <v>8</v>
      </c>
      <c r="AB37" s="305"/>
      <c r="AC37" s="305"/>
      <c r="AD37" s="305"/>
      <c r="AE37" s="305"/>
      <c r="AF37" s="305"/>
      <c r="AG37" s="70">
        <v>8</v>
      </c>
      <c r="AH37" s="412" t="s">
        <v>374</v>
      </c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305" t="s">
        <v>375</v>
      </c>
      <c r="AV37" s="305"/>
      <c r="AW37" s="305"/>
      <c r="AX37" s="305"/>
      <c r="AY37" s="305"/>
      <c r="AZ37" s="305"/>
    </row>
    <row r="38" spans="1:52" x14ac:dyDescent="0.25">
      <c r="A38" s="305"/>
      <c r="B38" s="32">
        <v>9</v>
      </c>
      <c r="C38" s="52"/>
      <c r="D38" s="33"/>
      <c r="E38" s="35" t="str">
        <f t="shared" si="98"/>
        <v/>
      </c>
      <c r="F38" s="337" t="str">
        <f t="shared" si="95"/>
        <v/>
      </c>
      <c r="G38" s="337" t="str">
        <f t="shared" si="99"/>
        <v/>
      </c>
      <c r="H38" s="62" t="str">
        <f t="shared" si="100"/>
        <v/>
      </c>
      <c r="I38" s="83">
        <v>9</v>
      </c>
      <c r="J38" s="47" t="str">
        <f>IF($C38="","",VLOOKUP($C38,AMABat!$A$10:$BV$140,AD$1,FALSE))</f>
        <v/>
      </c>
      <c r="K38" s="337" t="str">
        <f>IF($C38="","",VLOOKUP($C38,AMABat!$A$10:$BV$140,AE$1,FALSE))</f>
        <v/>
      </c>
      <c r="L38" s="337" t="str">
        <f>IF($C38="","",VLOOKUP($C38,AMABat!$A$10:$BV$140,AF$1,FALSE))</f>
        <v/>
      </c>
      <c r="M38" s="337" t="str">
        <f>IF($C38="","",VLOOKUP($C38,AMABat!$A$10:$BV$140,AG$1,FALSE))</f>
        <v/>
      </c>
      <c r="N38" s="337" t="str">
        <f>IF($C38="","",VLOOKUP($C38,AMABat!$A$10:$BV$140,AH$1,FALSE))</f>
        <v/>
      </c>
      <c r="O38" s="47" t="str">
        <f>IF($C38="","",VLOOKUP($C38,AMABat!$A$10:$BV$140,AI$1,FALSE))</f>
        <v/>
      </c>
      <c r="P38" s="338" t="str">
        <f>IF($C38="","",VLOOKUP($C38,AMABat!$A$10:$BV$140,AJ$1,FALSE))</f>
        <v/>
      </c>
      <c r="Q38" s="109" t="str">
        <f t="shared" si="96"/>
        <v/>
      </c>
      <c r="R38" s="95" t="str">
        <f t="shared" si="97"/>
        <v/>
      </c>
      <c r="S38" s="305"/>
      <c r="T38" s="305"/>
      <c r="U38" s="305"/>
      <c r="V38" s="305"/>
      <c r="W38" s="305"/>
      <c r="X38" s="305"/>
      <c r="Y38" s="305"/>
      <c r="Z38" s="305" t="s">
        <v>342</v>
      </c>
      <c r="AA38" s="305">
        <v>9</v>
      </c>
      <c r="AB38" s="305"/>
      <c r="AC38" s="305"/>
      <c r="AD38" s="305"/>
      <c r="AE38" s="305"/>
      <c r="AF38" s="305"/>
      <c r="AG38" s="70">
        <v>9</v>
      </c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7"/>
      <c r="AU38" s="305"/>
      <c r="AV38" s="305"/>
      <c r="AW38" s="305"/>
      <c r="AX38" s="305"/>
      <c r="AY38" s="305"/>
      <c r="AZ38" s="305"/>
    </row>
    <row r="39" spans="1:52" x14ac:dyDescent="0.25">
      <c r="A39" s="305"/>
      <c r="B39" s="4"/>
      <c r="C39" s="30"/>
      <c r="D39" s="30"/>
      <c r="E39" s="30"/>
      <c r="F39" s="339"/>
      <c r="G39" s="339"/>
      <c r="H39" s="9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71">
        <v>10</v>
      </c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9"/>
      <c r="AU39" s="305"/>
      <c r="AV39" s="305"/>
      <c r="AW39" s="305"/>
      <c r="AX39" s="305"/>
      <c r="AY39" s="305"/>
      <c r="AZ39" s="305"/>
    </row>
    <row r="40" spans="1:52" x14ac:dyDescent="0.25">
      <c r="A40" s="1"/>
      <c r="B40" s="341" t="s">
        <v>348</v>
      </c>
      <c r="C40" s="37" t="s">
        <v>96</v>
      </c>
      <c r="D40" s="37" t="s">
        <v>97</v>
      </c>
      <c r="E40" s="43" t="s">
        <v>80</v>
      </c>
      <c r="F40" s="342" t="s">
        <v>133</v>
      </c>
      <c r="G40" s="342" t="s">
        <v>137</v>
      </c>
      <c r="H40" s="343" t="s">
        <v>135</v>
      </c>
      <c r="I40" s="81" t="s">
        <v>159</v>
      </c>
      <c r="J40" s="341" t="s">
        <v>71</v>
      </c>
      <c r="K40" s="342" t="s">
        <v>123</v>
      </c>
      <c r="L40" s="342" t="s">
        <v>124</v>
      </c>
      <c r="M40" s="342" t="s">
        <v>180</v>
      </c>
      <c r="N40" s="342" t="s">
        <v>72</v>
      </c>
      <c r="O40" s="341" t="s">
        <v>181</v>
      </c>
      <c r="P40" s="343" t="s">
        <v>182</v>
      </c>
      <c r="Q40" s="341" t="s">
        <v>190</v>
      </c>
      <c r="R40" s="80" t="s">
        <v>203</v>
      </c>
      <c r="S40" s="1"/>
      <c r="T40" s="341" t="s">
        <v>97</v>
      </c>
      <c r="U40" s="341" t="s">
        <v>191</v>
      </c>
      <c r="V40" s="343" t="s">
        <v>204</v>
      </c>
      <c r="W40" s="342" t="s">
        <v>190</v>
      </c>
      <c r="X40" s="343" t="s">
        <v>203</v>
      </c>
      <c r="Y40" s="1"/>
      <c r="Z40" s="1" t="s">
        <v>336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5">
      <c r="A41" s="305"/>
      <c r="B41" s="29">
        <v>1</v>
      </c>
      <c r="C41" s="50"/>
      <c r="D41" s="26" t="s">
        <v>79</v>
      </c>
      <c r="E41" s="31" t="str">
        <f t="shared" ref="E41" si="103">IF($C41="","",VLOOKUP($C41,$C$3:$AK$24,$E$1-2,FALSE))</f>
        <v/>
      </c>
      <c r="F41" s="339" t="str">
        <f t="shared" ref="F41:F49" si="104">IF($C41="","",VLOOKUP($C41,$C$3:$AK$24,18+$B41,FALSE))</f>
        <v/>
      </c>
      <c r="G41" s="339" t="str">
        <f>IF($C41="","",IF(VLOOKUP($C41,$C$3:$AK$24,18+3,FALSE)=1,3,IF(VLOOKUP($C41,$C$3:$AK$24,18+4,FALSE)=1,4,IF(VLOOKUP($C41,$C$3:$AK$24,18+1,FALSE)=1,1,IF(VLOOKUP($C41,$C$3:$AK$24,18+5,FALSE)=1,5,IF(VLOOKUP($C41,$C$3:$AK$24,18+2,FALSE)=1,2,IF(VLOOKUP($C41,$C$3:$AK$24,18+6,FALSE)=1,6,IF(VLOOKUP($C41,$C$3:$AK$24,18+7,FALSE)=1,7,IF(VLOOKUP($C41,$C$3:$AK$24,18+8,FALSE)=1,8,9)))))))))</f>
        <v/>
      </c>
      <c r="H41" s="8" t="str">
        <f>IF($C41="","",VLOOKUP($C41,$C$3:$AK$24,35,FALSE))</f>
        <v/>
      </c>
      <c r="I41" s="82">
        <v>3</v>
      </c>
      <c r="J41" s="345" t="str">
        <f>IF($C41="","",VLOOKUP($C41,$C$3:$AZ$24,17+AD$1,FALSE))</f>
        <v/>
      </c>
      <c r="K41" s="339" t="str">
        <f t="shared" ref="K41:N49" si="105">IF($C41="","",VLOOKUP($C41,$C$3:$AZ$24,17+AE$1,FALSE))</f>
        <v/>
      </c>
      <c r="L41" s="339" t="str">
        <f t="shared" si="105"/>
        <v/>
      </c>
      <c r="M41" s="339" t="str">
        <f t="shared" si="105"/>
        <v/>
      </c>
      <c r="N41" s="339" t="str">
        <f t="shared" si="105"/>
        <v/>
      </c>
      <c r="O41" s="345" t="str">
        <f t="shared" ref="O41:P49" si="106">IF($C41="","",VLOOKUP($C41,$C$3:$AZ$24,1+AI$1,FALSE))</f>
        <v/>
      </c>
      <c r="P41" s="340" t="str">
        <f t="shared" si="106"/>
        <v/>
      </c>
      <c r="Q41" s="107" t="str">
        <f t="shared" ref="Q41:Q49" si="107">IF($C41="","",IF($D41="DH","-",VLOOKUP($C41,$C$2:$AZ$24,9+VLOOKUP($D41,$T$26:$U$34,2,FALSE),FALSE)))</f>
        <v/>
      </c>
      <c r="R41" s="94" t="str">
        <f t="shared" ref="R41:R49" si="108">IF($C41="","",IF($D41="DH","-",VLOOKUP($C41,$C$2:$AZ$24,VLOOKUP($D41,$T$26:$V$34,3,FALSE),FALSE)))</f>
        <v/>
      </c>
      <c r="S41" s="305"/>
      <c r="T41" s="345" t="s">
        <v>71</v>
      </c>
      <c r="U41" s="345">
        <v>2</v>
      </c>
      <c r="V41" s="340">
        <v>8</v>
      </c>
      <c r="W41" s="339" t="str">
        <f>VLOOKUP($T41,$D$37:$R$46,14,FALSE)</f>
        <v/>
      </c>
      <c r="X41" s="340" t="str">
        <f>VLOOKUP($T41,$D$37:$R$46,15,FALSE)</f>
        <v/>
      </c>
      <c r="Y41" s="305"/>
      <c r="Z41" s="305" t="s">
        <v>337</v>
      </c>
      <c r="AA41" s="305">
        <v>1</v>
      </c>
      <c r="AB41" s="305"/>
      <c r="AC41" s="305"/>
      <c r="AD41" s="305"/>
      <c r="AE41" s="305"/>
      <c r="AF41" s="305"/>
      <c r="AG41" s="400" t="s">
        <v>384</v>
      </c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2"/>
      <c r="AU41" s="305"/>
      <c r="AV41" s="305"/>
      <c r="AW41" s="305"/>
      <c r="AX41" s="305"/>
      <c r="AY41" s="305"/>
      <c r="AZ41" s="305"/>
    </row>
    <row r="42" spans="1:52" x14ac:dyDescent="0.25">
      <c r="A42" s="305"/>
      <c r="B42" s="29">
        <v>2</v>
      </c>
      <c r="C42" s="51"/>
      <c r="D42" s="30" t="s">
        <v>78</v>
      </c>
      <c r="E42" s="31" t="str">
        <f>IF($C42="","",VLOOKUP($C42,$C$3:$AK$24,$E$1-2,FALSE))</f>
        <v/>
      </c>
      <c r="F42" s="339" t="str">
        <f t="shared" si="104"/>
        <v/>
      </c>
      <c r="G42" s="339" t="str">
        <f t="shared" ref="G42:G49" si="109">IF($C42="","",IF(VLOOKUP($C42,$C$3:$AK$24,18+3,FALSE)=1,3,IF(VLOOKUP($C42,$C$3:$AK$24,18+4,FALSE)=1,4,IF(VLOOKUP($C42,$C$3:$AK$24,18+1,FALSE)=1,1,IF(VLOOKUP($C42,$C$3:$AK$24,18+5,FALSE)=1,5,IF(VLOOKUP($C42,$C$3:$AK$24,18+2,FALSE)=1,2,IF(VLOOKUP($C42,$C$3:$AK$24,18+6,FALSE)=1,6,IF(VLOOKUP($C42,$C$3:$AK$24,18+7,FALSE)=1,7,IF(VLOOKUP($C42,$C$3:$AK$24,18+8,FALSE)=1,8,9)))))))))</f>
        <v/>
      </c>
      <c r="H42" s="8" t="str">
        <f t="shared" ref="H42:H49" si="110">IF($C42="","",VLOOKUP($C42,$C$3:$AK$24,35,FALSE))</f>
        <v/>
      </c>
      <c r="I42" s="82">
        <v>5</v>
      </c>
      <c r="J42" s="345" t="str">
        <f t="shared" ref="J42:J49" si="111">IF($C42="","",VLOOKUP($C42,$C$3:$AZ$24,17+AD$1,FALSE))</f>
        <v/>
      </c>
      <c r="K42" s="339" t="str">
        <f t="shared" si="105"/>
        <v/>
      </c>
      <c r="L42" s="339" t="str">
        <f t="shared" si="105"/>
        <v/>
      </c>
      <c r="M42" s="339" t="str">
        <f t="shared" si="105"/>
        <v/>
      </c>
      <c r="N42" s="339" t="str">
        <f t="shared" si="105"/>
        <v/>
      </c>
      <c r="O42" s="345" t="str">
        <f t="shared" si="106"/>
        <v/>
      </c>
      <c r="P42" s="340" t="str">
        <f t="shared" si="106"/>
        <v/>
      </c>
      <c r="Q42" s="108" t="str">
        <f t="shared" si="107"/>
        <v/>
      </c>
      <c r="R42" s="94" t="str">
        <f t="shared" si="108"/>
        <v/>
      </c>
      <c r="S42" s="305"/>
      <c r="T42" s="345" t="s">
        <v>73</v>
      </c>
      <c r="U42" s="345">
        <v>3</v>
      </c>
      <c r="V42" s="340">
        <v>9</v>
      </c>
      <c r="W42" s="339" t="str">
        <f t="shared" ref="W42:W48" si="112">VLOOKUP($T42,$D$37:$R$46,14,FALSE)</f>
        <v/>
      </c>
      <c r="X42" s="340" t="str">
        <f t="shared" ref="X42:X48" si="113">VLOOKUP($T42,$D$37:$R$46,15,FALSE)</f>
        <v/>
      </c>
      <c r="Y42" s="305"/>
      <c r="Z42" s="305" t="s">
        <v>338</v>
      </c>
      <c r="AA42" s="305">
        <v>3</v>
      </c>
      <c r="AB42" s="305"/>
      <c r="AC42" s="305"/>
      <c r="AD42" s="305"/>
      <c r="AE42" s="305"/>
      <c r="AF42" s="305"/>
      <c r="AG42" s="192">
        <v>1</v>
      </c>
      <c r="AH42" s="396" t="s">
        <v>368</v>
      </c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4"/>
      <c r="AU42" s="305"/>
      <c r="AV42" s="305"/>
      <c r="AW42" s="305"/>
      <c r="AX42" s="305"/>
      <c r="AY42" s="305"/>
      <c r="AZ42" s="305"/>
    </row>
    <row r="43" spans="1:52" x14ac:dyDescent="0.25">
      <c r="A43" s="305"/>
      <c r="B43" s="29">
        <v>3</v>
      </c>
      <c r="C43" s="51"/>
      <c r="D43" s="58" t="s">
        <v>73</v>
      </c>
      <c r="E43" s="31" t="str">
        <f t="shared" ref="E43:E49" si="114">IF($C43="","",VLOOKUP($C43,$C$3:$AK$24,$E$1-2,FALSE))</f>
        <v/>
      </c>
      <c r="F43" s="339" t="str">
        <f t="shared" si="104"/>
        <v/>
      </c>
      <c r="G43" s="339" t="str">
        <f t="shared" si="109"/>
        <v/>
      </c>
      <c r="H43" s="8" t="str">
        <f t="shared" si="110"/>
        <v/>
      </c>
      <c r="I43" s="82">
        <v>1</v>
      </c>
      <c r="J43" s="345" t="str">
        <f t="shared" si="111"/>
        <v/>
      </c>
      <c r="K43" s="339" t="str">
        <f t="shared" si="105"/>
        <v/>
      </c>
      <c r="L43" s="339" t="str">
        <f t="shared" si="105"/>
        <v/>
      </c>
      <c r="M43" s="339" t="str">
        <f t="shared" si="105"/>
        <v/>
      </c>
      <c r="N43" s="339" t="str">
        <f t="shared" si="105"/>
        <v/>
      </c>
      <c r="O43" s="345" t="str">
        <f t="shared" si="106"/>
        <v/>
      </c>
      <c r="P43" s="340" t="str">
        <f t="shared" si="106"/>
        <v/>
      </c>
      <c r="Q43" s="108" t="str">
        <f t="shared" si="107"/>
        <v/>
      </c>
      <c r="R43" s="94" t="str">
        <f t="shared" si="108"/>
        <v/>
      </c>
      <c r="S43" s="305"/>
      <c r="T43" s="345" t="s">
        <v>74</v>
      </c>
      <c r="U43" s="345">
        <v>4</v>
      </c>
      <c r="V43" s="340">
        <v>9</v>
      </c>
      <c r="W43" s="339" t="e">
        <f t="shared" si="112"/>
        <v>#N/A</v>
      </c>
      <c r="X43" s="340" t="e">
        <f t="shared" si="113"/>
        <v>#N/A</v>
      </c>
      <c r="Y43" s="305"/>
      <c r="Z43" s="305" t="s">
        <v>341</v>
      </c>
      <c r="AA43" s="305">
        <v>5</v>
      </c>
      <c r="AB43" s="305"/>
      <c r="AC43" s="305"/>
      <c r="AD43" s="305"/>
      <c r="AE43" s="305"/>
      <c r="AF43" s="305"/>
      <c r="AG43" s="70">
        <v>2</v>
      </c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4"/>
      <c r="AU43" s="305"/>
      <c r="AV43" s="305"/>
      <c r="AW43" s="305"/>
      <c r="AX43" s="305"/>
      <c r="AY43" s="305"/>
      <c r="AZ43" s="305"/>
    </row>
    <row r="44" spans="1:52" x14ac:dyDescent="0.25">
      <c r="A44" s="305"/>
      <c r="B44" s="29">
        <v>4</v>
      </c>
      <c r="C44" s="51"/>
      <c r="D44" s="58" t="s">
        <v>76</v>
      </c>
      <c r="E44" s="31" t="str">
        <f t="shared" si="114"/>
        <v/>
      </c>
      <c r="F44" s="339" t="str">
        <f t="shared" si="104"/>
        <v/>
      </c>
      <c r="G44" s="339" t="str">
        <f t="shared" si="109"/>
        <v/>
      </c>
      <c r="H44" s="8" t="str">
        <f t="shared" si="110"/>
        <v/>
      </c>
      <c r="I44" s="82">
        <v>2</v>
      </c>
      <c r="J44" s="345" t="str">
        <f t="shared" si="111"/>
        <v/>
      </c>
      <c r="K44" s="339" t="str">
        <f t="shared" si="105"/>
        <v/>
      </c>
      <c r="L44" s="339" t="str">
        <f t="shared" si="105"/>
        <v/>
      </c>
      <c r="M44" s="339" t="str">
        <f t="shared" si="105"/>
        <v/>
      </c>
      <c r="N44" s="339" t="str">
        <f t="shared" si="105"/>
        <v/>
      </c>
      <c r="O44" s="345" t="str">
        <f t="shared" si="106"/>
        <v/>
      </c>
      <c r="P44" s="340" t="str">
        <f t="shared" si="106"/>
        <v/>
      </c>
      <c r="Q44" s="108" t="str">
        <f t="shared" si="107"/>
        <v/>
      </c>
      <c r="R44" s="94" t="str">
        <f t="shared" si="108"/>
        <v/>
      </c>
      <c r="S44" s="305"/>
      <c r="T44" s="345" t="s">
        <v>75</v>
      </c>
      <c r="U44" s="345">
        <v>5</v>
      </c>
      <c r="V44" s="340">
        <v>9</v>
      </c>
      <c r="W44" s="339" t="e">
        <f t="shared" si="112"/>
        <v>#N/A</v>
      </c>
      <c r="X44" s="340" t="e">
        <f t="shared" si="113"/>
        <v>#N/A</v>
      </c>
      <c r="Y44" s="305"/>
      <c r="Z44" s="305" t="s">
        <v>340</v>
      </c>
      <c r="AA44" s="305">
        <v>2</v>
      </c>
      <c r="AB44" s="305"/>
      <c r="AC44" s="305"/>
      <c r="AD44" s="305"/>
      <c r="AE44" s="305"/>
      <c r="AF44" s="305"/>
      <c r="AG44" s="70">
        <v>3</v>
      </c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4"/>
      <c r="AU44" s="305"/>
      <c r="AV44" s="305"/>
      <c r="AW44" s="305"/>
      <c r="AX44" s="305"/>
      <c r="AY44" s="305"/>
      <c r="AZ44" s="305"/>
    </row>
    <row r="45" spans="1:52" x14ac:dyDescent="0.25">
      <c r="A45" s="305"/>
      <c r="B45" s="29">
        <v>5</v>
      </c>
      <c r="C45" s="51"/>
      <c r="D45" s="58" t="s">
        <v>71</v>
      </c>
      <c r="E45" s="31" t="str">
        <f t="shared" si="114"/>
        <v/>
      </c>
      <c r="F45" s="339" t="str">
        <f t="shared" si="104"/>
        <v/>
      </c>
      <c r="G45" s="339" t="str">
        <f t="shared" si="109"/>
        <v/>
      </c>
      <c r="H45" s="8" t="str">
        <f t="shared" si="110"/>
        <v/>
      </c>
      <c r="I45" s="82">
        <v>4</v>
      </c>
      <c r="J45" s="345" t="str">
        <f t="shared" si="111"/>
        <v/>
      </c>
      <c r="K45" s="339" t="str">
        <f t="shared" si="105"/>
        <v/>
      </c>
      <c r="L45" s="339" t="str">
        <f t="shared" si="105"/>
        <v/>
      </c>
      <c r="M45" s="339" t="str">
        <f t="shared" si="105"/>
        <v/>
      </c>
      <c r="N45" s="339" t="str">
        <f t="shared" si="105"/>
        <v/>
      </c>
      <c r="O45" s="345" t="str">
        <f t="shared" si="106"/>
        <v/>
      </c>
      <c r="P45" s="340" t="str">
        <f t="shared" si="106"/>
        <v/>
      </c>
      <c r="Q45" s="108" t="str">
        <f t="shared" si="107"/>
        <v/>
      </c>
      <c r="R45" s="94" t="str">
        <f t="shared" si="108"/>
        <v/>
      </c>
      <c r="S45" s="305"/>
      <c r="T45" s="345" t="s">
        <v>76</v>
      </c>
      <c r="U45" s="345">
        <v>6</v>
      </c>
      <c r="V45" s="340">
        <v>9</v>
      </c>
      <c r="W45" s="339" t="str">
        <f t="shared" si="112"/>
        <v/>
      </c>
      <c r="X45" s="340" t="str">
        <f t="shared" si="113"/>
        <v/>
      </c>
      <c r="Y45" s="305"/>
      <c r="Z45" s="305" t="s">
        <v>339</v>
      </c>
      <c r="AA45" s="305">
        <v>4</v>
      </c>
      <c r="AB45" s="305"/>
      <c r="AC45" s="305"/>
      <c r="AD45" s="305"/>
      <c r="AE45" s="305"/>
      <c r="AF45" s="305"/>
      <c r="AG45" s="70">
        <v>4</v>
      </c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4"/>
      <c r="AU45" s="305"/>
      <c r="AV45" s="305"/>
      <c r="AW45" s="305"/>
      <c r="AX45" s="305"/>
      <c r="AY45" s="305"/>
      <c r="AZ45" s="305"/>
    </row>
    <row r="46" spans="1:52" x14ac:dyDescent="0.25">
      <c r="A46" s="305"/>
      <c r="B46" s="29">
        <v>6</v>
      </c>
      <c r="C46" s="51"/>
      <c r="D46" s="58" t="s">
        <v>77</v>
      </c>
      <c r="E46" s="31" t="str">
        <f t="shared" si="114"/>
        <v/>
      </c>
      <c r="F46" s="339" t="str">
        <f t="shared" si="104"/>
        <v/>
      </c>
      <c r="G46" s="339" t="str">
        <f t="shared" si="109"/>
        <v/>
      </c>
      <c r="H46" s="8" t="str">
        <f t="shared" si="110"/>
        <v/>
      </c>
      <c r="I46" s="82">
        <v>6</v>
      </c>
      <c r="J46" s="345" t="str">
        <f t="shared" si="111"/>
        <v/>
      </c>
      <c r="K46" s="339" t="str">
        <f t="shared" si="105"/>
        <v/>
      </c>
      <c r="L46" s="339" t="str">
        <f t="shared" si="105"/>
        <v/>
      </c>
      <c r="M46" s="339" t="str">
        <f t="shared" si="105"/>
        <v/>
      </c>
      <c r="N46" s="339" t="str">
        <f t="shared" si="105"/>
        <v/>
      </c>
      <c r="O46" s="345" t="str">
        <f t="shared" si="106"/>
        <v/>
      </c>
      <c r="P46" s="340" t="str">
        <f t="shared" si="106"/>
        <v/>
      </c>
      <c r="Q46" s="108" t="str">
        <f t="shared" si="107"/>
        <v/>
      </c>
      <c r="R46" s="94" t="str">
        <f t="shared" si="108"/>
        <v/>
      </c>
      <c r="S46" s="305"/>
      <c r="T46" s="345" t="s">
        <v>77</v>
      </c>
      <c r="U46" s="345">
        <v>7</v>
      </c>
      <c r="V46" s="340">
        <v>10</v>
      </c>
      <c r="W46" s="339" t="str">
        <f t="shared" si="112"/>
        <v/>
      </c>
      <c r="X46" s="340" t="str">
        <f t="shared" si="113"/>
        <v/>
      </c>
      <c r="Y46" s="305"/>
      <c r="Z46" s="305" t="s">
        <v>343</v>
      </c>
      <c r="AA46" s="305">
        <v>6</v>
      </c>
      <c r="AB46" s="305"/>
      <c r="AC46" s="305"/>
      <c r="AD46" s="305"/>
      <c r="AE46" s="305"/>
      <c r="AF46" s="305"/>
      <c r="AG46" s="70">
        <v>5</v>
      </c>
      <c r="AH46" s="403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5"/>
      <c r="AU46" s="305"/>
      <c r="AV46" s="305"/>
      <c r="AW46" s="305"/>
      <c r="AX46" s="305"/>
      <c r="AY46" s="305"/>
      <c r="AZ46" s="305"/>
    </row>
    <row r="47" spans="1:52" x14ac:dyDescent="0.25">
      <c r="A47" s="305"/>
      <c r="B47" s="29">
        <v>7</v>
      </c>
      <c r="C47" s="51"/>
      <c r="D47" s="58" t="s">
        <v>10</v>
      </c>
      <c r="E47" s="31" t="str">
        <f t="shared" si="114"/>
        <v/>
      </c>
      <c r="F47" s="339" t="str">
        <f t="shared" si="104"/>
        <v/>
      </c>
      <c r="G47" s="339" t="str">
        <f t="shared" si="109"/>
        <v/>
      </c>
      <c r="H47" s="8" t="str">
        <f t="shared" si="110"/>
        <v/>
      </c>
      <c r="I47" s="82">
        <v>7</v>
      </c>
      <c r="J47" s="345" t="str">
        <f t="shared" si="111"/>
        <v/>
      </c>
      <c r="K47" s="339" t="str">
        <f t="shared" si="105"/>
        <v/>
      </c>
      <c r="L47" s="339" t="str">
        <f t="shared" si="105"/>
        <v/>
      </c>
      <c r="M47" s="339" t="str">
        <f t="shared" si="105"/>
        <v/>
      </c>
      <c r="N47" s="339" t="str">
        <f t="shared" si="105"/>
        <v/>
      </c>
      <c r="O47" s="345" t="str">
        <f t="shared" si="106"/>
        <v/>
      </c>
      <c r="P47" s="340" t="str">
        <f t="shared" si="106"/>
        <v/>
      </c>
      <c r="Q47" s="108" t="str">
        <f t="shared" si="107"/>
        <v/>
      </c>
      <c r="R47" s="94" t="str">
        <f t="shared" si="108"/>
        <v/>
      </c>
      <c r="S47" s="305"/>
      <c r="T47" s="345" t="s">
        <v>78</v>
      </c>
      <c r="U47" s="345">
        <v>8</v>
      </c>
      <c r="V47" s="340">
        <v>10</v>
      </c>
      <c r="W47" s="339" t="str">
        <f t="shared" si="112"/>
        <v/>
      </c>
      <c r="X47" s="340" t="str">
        <f t="shared" si="113"/>
        <v/>
      </c>
      <c r="Y47" s="305"/>
      <c r="Z47" s="305" t="s">
        <v>344</v>
      </c>
      <c r="AA47" s="305">
        <v>7</v>
      </c>
      <c r="AB47" s="305"/>
      <c r="AC47" s="305"/>
      <c r="AD47" s="305"/>
      <c r="AE47" s="305"/>
      <c r="AF47" s="305"/>
      <c r="AG47" s="70">
        <v>6</v>
      </c>
      <c r="AH47" s="392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4"/>
      <c r="AU47" s="305"/>
      <c r="AV47" s="305"/>
      <c r="AW47" s="305"/>
      <c r="AX47" s="305"/>
      <c r="AY47" s="305"/>
      <c r="AZ47" s="305"/>
    </row>
    <row r="48" spans="1:52" x14ac:dyDescent="0.25">
      <c r="A48" s="305"/>
      <c r="B48" s="29">
        <v>8</v>
      </c>
      <c r="C48" s="51"/>
      <c r="D48" s="58" t="s">
        <v>74</v>
      </c>
      <c r="E48" s="31" t="str">
        <f t="shared" si="114"/>
        <v/>
      </c>
      <c r="F48" s="339" t="str">
        <f t="shared" si="104"/>
        <v/>
      </c>
      <c r="G48" s="339" t="str">
        <f t="shared" si="109"/>
        <v/>
      </c>
      <c r="H48" s="8" t="str">
        <f t="shared" si="110"/>
        <v/>
      </c>
      <c r="I48" s="82">
        <v>8</v>
      </c>
      <c r="J48" s="345" t="str">
        <f t="shared" si="111"/>
        <v/>
      </c>
      <c r="K48" s="339" t="str">
        <f t="shared" si="105"/>
        <v/>
      </c>
      <c r="L48" s="339" t="str">
        <f t="shared" si="105"/>
        <v/>
      </c>
      <c r="M48" s="339" t="str">
        <f t="shared" si="105"/>
        <v/>
      </c>
      <c r="N48" s="339" t="str">
        <f t="shared" si="105"/>
        <v/>
      </c>
      <c r="O48" s="345" t="str">
        <f t="shared" si="106"/>
        <v/>
      </c>
      <c r="P48" s="340" t="str">
        <f t="shared" si="106"/>
        <v/>
      </c>
      <c r="Q48" s="108" t="str">
        <f t="shared" si="107"/>
        <v/>
      </c>
      <c r="R48" s="94" t="str">
        <f t="shared" si="108"/>
        <v/>
      </c>
      <c r="S48" s="305"/>
      <c r="T48" s="47" t="s">
        <v>79</v>
      </c>
      <c r="U48" s="47">
        <v>9</v>
      </c>
      <c r="V48" s="338">
        <v>10</v>
      </c>
      <c r="W48" s="337" t="str">
        <f t="shared" si="112"/>
        <v/>
      </c>
      <c r="X48" s="338" t="str">
        <f t="shared" si="113"/>
        <v/>
      </c>
      <c r="Y48" s="305"/>
      <c r="Z48" s="305" t="s">
        <v>345</v>
      </c>
      <c r="AA48" s="305">
        <v>8</v>
      </c>
      <c r="AB48" s="305"/>
      <c r="AC48" s="305"/>
      <c r="AD48" s="305"/>
      <c r="AE48" s="305"/>
      <c r="AF48" s="305"/>
      <c r="AG48" s="70">
        <v>7</v>
      </c>
      <c r="AH48" s="392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4"/>
      <c r="AU48" s="305"/>
      <c r="AV48" s="305"/>
      <c r="AW48" s="305"/>
      <c r="AX48" s="305"/>
      <c r="AY48" s="305"/>
      <c r="AZ48" s="305"/>
    </row>
    <row r="49" spans="1:52" x14ac:dyDescent="0.25">
      <c r="A49" s="305"/>
      <c r="B49" s="32">
        <v>9</v>
      </c>
      <c r="C49" s="52"/>
      <c r="D49" s="33" t="s">
        <v>75</v>
      </c>
      <c r="E49" s="35" t="str">
        <f t="shared" si="114"/>
        <v/>
      </c>
      <c r="F49" s="337" t="str">
        <f t="shared" si="104"/>
        <v/>
      </c>
      <c r="G49" s="337" t="str">
        <f t="shared" si="109"/>
        <v/>
      </c>
      <c r="H49" s="62" t="str">
        <f t="shared" si="110"/>
        <v/>
      </c>
      <c r="I49" s="83">
        <v>9</v>
      </c>
      <c r="J49" s="47" t="str">
        <f t="shared" si="111"/>
        <v/>
      </c>
      <c r="K49" s="337" t="str">
        <f t="shared" si="105"/>
        <v/>
      </c>
      <c r="L49" s="337" t="str">
        <f t="shared" si="105"/>
        <v/>
      </c>
      <c r="M49" s="337" t="str">
        <f t="shared" si="105"/>
        <v/>
      </c>
      <c r="N49" s="337" t="str">
        <f t="shared" si="105"/>
        <v/>
      </c>
      <c r="O49" s="47" t="str">
        <f t="shared" si="106"/>
        <v/>
      </c>
      <c r="P49" s="338" t="str">
        <f t="shared" si="106"/>
        <v/>
      </c>
      <c r="Q49" s="109" t="str">
        <f t="shared" si="107"/>
        <v/>
      </c>
      <c r="R49" s="95" t="str">
        <f t="shared" si="108"/>
        <v/>
      </c>
      <c r="S49" s="305"/>
      <c r="T49" s="305"/>
      <c r="U49" s="305"/>
      <c r="V49" s="305"/>
      <c r="W49" s="305"/>
      <c r="X49" s="305"/>
      <c r="Y49" s="305"/>
      <c r="Z49" s="305" t="s">
        <v>342</v>
      </c>
      <c r="AA49" s="305">
        <v>9</v>
      </c>
      <c r="AB49" s="305"/>
      <c r="AC49" s="305"/>
      <c r="AD49" s="305"/>
      <c r="AE49" s="305"/>
      <c r="AF49" s="305"/>
      <c r="AG49" s="70">
        <v>8</v>
      </c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05"/>
      <c r="AV49" s="305"/>
      <c r="AW49" s="305"/>
      <c r="AX49" s="305"/>
      <c r="AY49" s="305"/>
      <c r="AZ49" s="305"/>
    </row>
    <row r="50" spans="1:52" s="238" customFormat="1" x14ac:dyDescent="0.25">
      <c r="A50" s="305"/>
      <c r="B50" s="4"/>
      <c r="C50" s="30"/>
      <c r="D50" s="30"/>
      <c r="E50" s="30"/>
      <c r="F50" s="339"/>
      <c r="G50" s="339"/>
      <c r="H50" s="9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70">
        <v>9</v>
      </c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7"/>
      <c r="AU50" s="305"/>
      <c r="AV50" s="305"/>
      <c r="AW50" s="305"/>
      <c r="AX50" s="305"/>
      <c r="AY50" s="305"/>
      <c r="AZ50" s="305"/>
    </row>
    <row r="51" spans="1:52" x14ac:dyDescent="0.25">
      <c r="A51" s="305"/>
      <c r="B51" s="25" t="s">
        <v>171</v>
      </c>
      <c r="C51" s="28">
        <f>COUNTA(C6:C14,C17:C22,C25:C27)</f>
        <v>3</v>
      </c>
      <c r="D51" s="250" t="e">
        <f>C51/$C$50</f>
        <v>#DIV/0!</v>
      </c>
      <c r="E51" s="30"/>
      <c r="F51" s="339"/>
      <c r="G51" s="339"/>
      <c r="H51" s="9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71">
        <v>10</v>
      </c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9"/>
      <c r="AU51" s="305"/>
      <c r="AV51" s="305"/>
      <c r="AW51" s="305"/>
      <c r="AX51" s="305"/>
      <c r="AY51" s="305"/>
      <c r="AZ51" s="305"/>
    </row>
    <row r="52" spans="1:52" x14ac:dyDescent="0.25">
      <c r="A52" s="305"/>
      <c r="B52" s="29" t="s">
        <v>172</v>
      </c>
      <c r="C52" s="31">
        <f>COUNTA(C56:C61,C64:C65,C68:C77)</f>
        <v>2</v>
      </c>
      <c r="D52" s="250" t="e">
        <f>C52/$C$50</f>
        <v>#DIV/0!</v>
      </c>
      <c r="E52" s="30"/>
      <c r="F52" s="339"/>
      <c r="G52" s="339"/>
      <c r="H52" s="9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</row>
    <row r="53" spans="1:52" x14ac:dyDescent="0.25">
      <c r="A53" s="305"/>
      <c r="B53" s="32" t="s">
        <v>173</v>
      </c>
      <c r="C53" s="35">
        <f>C51+C52</f>
        <v>5</v>
      </c>
      <c r="D53" s="30"/>
      <c r="E53" s="30"/>
      <c r="F53" s="339"/>
      <c r="G53" s="339"/>
      <c r="H53" s="9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</row>
    <row r="54" spans="1:52" x14ac:dyDescent="0.25">
      <c r="A54" s="305"/>
      <c r="F54" s="305"/>
      <c r="G54" s="305"/>
      <c r="H54" s="305"/>
      <c r="I54" s="305">
        <v>12</v>
      </c>
      <c r="J54" s="305"/>
      <c r="K54" s="305">
        <v>17</v>
      </c>
      <c r="L54" s="305">
        <v>18</v>
      </c>
      <c r="M54" s="305">
        <v>19</v>
      </c>
      <c r="N54" s="305">
        <v>23</v>
      </c>
      <c r="O54" s="305">
        <v>25</v>
      </c>
      <c r="P54" s="305">
        <v>27</v>
      </c>
      <c r="Q54" s="305">
        <v>29</v>
      </c>
      <c r="R54" s="305">
        <v>31</v>
      </c>
      <c r="S54" s="305">
        <v>33</v>
      </c>
      <c r="T54" s="305">
        <v>35</v>
      </c>
      <c r="U54" s="305">
        <v>37</v>
      </c>
      <c r="V54" s="305">
        <v>39</v>
      </c>
      <c r="W54" s="305">
        <v>41</v>
      </c>
      <c r="X54" s="305">
        <v>43</v>
      </c>
      <c r="Y54" s="305">
        <v>45</v>
      </c>
      <c r="Z54" s="305">
        <v>47</v>
      </c>
      <c r="AA54" s="305">
        <v>48</v>
      </c>
      <c r="AB54" s="305">
        <v>49</v>
      </c>
      <c r="AC54" s="305">
        <v>52</v>
      </c>
      <c r="AD54" s="305">
        <v>20</v>
      </c>
      <c r="AE54" s="305">
        <v>21</v>
      </c>
      <c r="AF54" s="305">
        <v>22</v>
      </c>
      <c r="AG54" s="305">
        <v>54</v>
      </c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</row>
    <row r="55" spans="1:52" ht="74.25" x14ac:dyDescent="0.25">
      <c r="A55" s="66" t="s">
        <v>170</v>
      </c>
      <c r="B55" s="341" t="s">
        <v>104</v>
      </c>
      <c r="C55" s="37" t="s">
        <v>96</v>
      </c>
      <c r="D55" s="37" t="s">
        <v>70</v>
      </c>
      <c r="E55" s="43" t="s">
        <v>81</v>
      </c>
      <c r="F55" s="39" t="s">
        <v>160</v>
      </c>
      <c r="G55" s="39" t="s">
        <v>161</v>
      </c>
      <c r="H55" s="39" t="s">
        <v>162</v>
      </c>
      <c r="I55" s="69" t="s">
        <v>189</v>
      </c>
      <c r="J55" s="69" t="s">
        <v>166</v>
      </c>
      <c r="K55" s="67" t="s">
        <v>163</v>
      </c>
      <c r="L55" s="67" t="s">
        <v>164</v>
      </c>
      <c r="M55" s="68" t="s">
        <v>165</v>
      </c>
      <c r="N55" s="67" t="s">
        <v>40</v>
      </c>
      <c r="O55" s="67" t="s">
        <v>42</v>
      </c>
      <c r="P55" s="67" t="s">
        <v>44</v>
      </c>
      <c r="Q55" s="67" t="s">
        <v>46</v>
      </c>
      <c r="R55" s="67" t="s">
        <v>48</v>
      </c>
      <c r="S55" s="67" t="s">
        <v>87</v>
      </c>
      <c r="T55" s="67" t="s">
        <v>51</v>
      </c>
      <c r="U55" s="67" t="s">
        <v>53</v>
      </c>
      <c r="V55" s="67" t="s">
        <v>55</v>
      </c>
      <c r="W55" s="67" t="s">
        <v>57</v>
      </c>
      <c r="X55" s="67" t="s">
        <v>59</v>
      </c>
      <c r="Y55" s="68" t="s">
        <v>61</v>
      </c>
      <c r="Z55" s="72" t="s">
        <v>176</v>
      </c>
      <c r="AA55" s="67" t="s">
        <v>175</v>
      </c>
      <c r="AB55" s="68" t="s">
        <v>177</v>
      </c>
      <c r="AC55" s="251" t="s">
        <v>354</v>
      </c>
      <c r="AD55" s="67" t="s">
        <v>163</v>
      </c>
      <c r="AE55" s="67" t="s">
        <v>164</v>
      </c>
      <c r="AF55" s="68" t="s">
        <v>165</v>
      </c>
      <c r="AG55" s="251" t="s">
        <v>174</v>
      </c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  <c r="AT55" s="339"/>
      <c r="AU55" s="339"/>
      <c r="AV55" s="339"/>
      <c r="AW55" s="339"/>
      <c r="AX55" s="339"/>
      <c r="AY55" s="339"/>
      <c r="AZ55" s="339"/>
    </row>
    <row r="56" spans="1:52" x14ac:dyDescent="0.25">
      <c r="A56" s="339">
        <v>1</v>
      </c>
      <c r="B56" s="29" t="s">
        <v>87</v>
      </c>
      <c r="C56" s="344" t="s">
        <v>741</v>
      </c>
      <c r="D56" s="30" t="e">
        <f>IF($C56="","",VLOOKUP($C56,AMAPit!$A$10:$BJ$122,D$4-2,FALSE))</f>
        <v>#N/A</v>
      </c>
      <c r="E56" s="31" t="e">
        <f>IF($C56="","",VLOOKUP($C56,AMAPit!$A$10:$BJ$122,E$4-1,FALSE))</f>
        <v>#N/A</v>
      </c>
      <c r="F56" s="339" t="e">
        <f t="shared" ref="F56:F61" si="115">IF($C56="","",IF(AVERAGE(K56:M56)&gt;7,1,0))</f>
        <v>#N/A</v>
      </c>
      <c r="G56" s="339" t="e">
        <f t="shared" ref="G56:G61" si="116">IF($C56="","",IF(AVERAGE(K56:M56)&gt;6.5,1,0))</f>
        <v>#N/A</v>
      </c>
      <c r="H56" s="339" t="e">
        <f t="shared" ref="H56:H61" si="117">IF($C56="","",IF(AVERAGE(K56:M56)&gt;6,1,0))</f>
        <v>#N/A</v>
      </c>
      <c r="I56" s="91" t="e">
        <f>IF($C56="","",VLOOKUP($C56,AMAPit!$A$10:$BJ$122,I$54,FALSE))</f>
        <v>#N/A</v>
      </c>
      <c r="J56" s="70">
        <f t="shared" ref="J56:J61" si="118">IF($C56="","",COUNT(N56:Y56))</f>
        <v>0</v>
      </c>
      <c r="K56" s="339" t="e">
        <f>IF($C56="","",VLOOKUP($C56,AMAPit!$A$10:$BJ$122,K$54,FALSE))</f>
        <v>#N/A</v>
      </c>
      <c r="L56" s="339" t="e">
        <f>IF($C56="","",VLOOKUP($C56,AMAPit!$A$10:$BJ$122,L$54,FALSE))</f>
        <v>#N/A</v>
      </c>
      <c r="M56" s="340" t="e">
        <f>IF($C56="","",VLOOKUP($C56,AMAPit!$A$10:$BJ$122,M$54,FALSE))</f>
        <v>#N/A</v>
      </c>
      <c r="N56" s="339" t="e">
        <f>IF($C56="","",VLOOKUP($C56,AMAPit!$A$10:$BJ$122,N$54,FALSE))</f>
        <v>#N/A</v>
      </c>
      <c r="O56" s="339" t="e">
        <f>IF($C56="","",VLOOKUP($C56,AMAPit!$A$10:$BJ$122,O$54,FALSE))</f>
        <v>#N/A</v>
      </c>
      <c r="P56" s="339" t="e">
        <f>IF($C56="","",VLOOKUP($C56,AMAPit!$A$10:$BJ$122,P$54,FALSE))</f>
        <v>#N/A</v>
      </c>
      <c r="Q56" s="339" t="e">
        <f>IF($C56="","",VLOOKUP($C56,AMAPit!$A$10:$BJ$122,Q$54,FALSE))</f>
        <v>#N/A</v>
      </c>
      <c r="R56" s="339" t="e">
        <f>IF($C56="","",VLOOKUP($C56,AMAPit!$A$10:$BJ$122,R$54,FALSE))</f>
        <v>#N/A</v>
      </c>
      <c r="S56" s="339" t="e">
        <f>IF($C56="","",VLOOKUP($C56,AMAPit!$A$10:$BJ$122,S$54,FALSE))</f>
        <v>#N/A</v>
      </c>
      <c r="T56" s="339" t="e">
        <f>IF($C56="","",VLOOKUP($C56,AMAPit!$A$10:$BJ$122,T$54,FALSE))</f>
        <v>#N/A</v>
      </c>
      <c r="U56" s="339" t="e">
        <f>IF($C56="","",VLOOKUP($C56,AMAPit!$A$10:$BJ$122,U$54,FALSE))</f>
        <v>#N/A</v>
      </c>
      <c r="V56" s="339" t="e">
        <f>IF($C56="","",VLOOKUP($C56,AMAPit!$A$10:$BJ$122,V$54,FALSE))</f>
        <v>#N/A</v>
      </c>
      <c r="W56" s="339" t="e">
        <f>IF($C56="","",VLOOKUP($C56,AMAPit!$A$10:$BJ$122,W$54,FALSE))</f>
        <v>#N/A</v>
      </c>
      <c r="X56" s="339" t="e">
        <f>IF($C56="","",VLOOKUP($C56,AMAPit!$A$10:$BJ$122,X$54,FALSE))</f>
        <v>#N/A</v>
      </c>
      <c r="Y56" s="340" t="e">
        <f>IF($C56="","",VLOOKUP($C56,AMAPit!$A$10:$BJ$122,Y$54,FALSE))</f>
        <v>#N/A</v>
      </c>
      <c r="Z56" s="345" t="e">
        <f>IF($C56="","",VLOOKUP($C56,AMAPit!$A$10:$BJ$122,Z$54,FALSE))</f>
        <v>#N/A</v>
      </c>
      <c r="AA56" s="339" t="e">
        <f>IF($C56="","",VLOOKUP($C56,AMAPit!$A$10:$BJ$122,AA$54,FALSE))</f>
        <v>#N/A</v>
      </c>
      <c r="AB56" s="73" t="e">
        <f>IF($C56="","",VLOOKUP($C56,AMAPit!$A$10:$BJ$122,AB$54,FALSE))</f>
        <v>#N/A</v>
      </c>
      <c r="AC56" s="252" t="e">
        <f>IF($C56="","",VLOOKUP($C56,AMAPit!$A$10:$BJ$122,AC$54,FALSE))</f>
        <v>#N/A</v>
      </c>
      <c r="AD56" s="339" t="e">
        <f>IF($C56="","",VLOOKUP($C56,AMAPit!$A$10:$BJ$122,AD$54,FALSE))</f>
        <v>#N/A</v>
      </c>
      <c r="AE56" s="339" t="e">
        <f>IF($C56="","",VLOOKUP($C56,AMAPit!$A$10:$BJ$122,AE$54,FALSE))</f>
        <v>#N/A</v>
      </c>
      <c r="AF56" s="340" t="e">
        <f>IF($C56="","",VLOOKUP($C56,AMAPit!$A$10:$BJ$122,AF$54,FALSE))</f>
        <v>#N/A</v>
      </c>
      <c r="AG56" s="252" t="e">
        <f>IF($C56="","",VLOOKUP($C56,AMAPit!$A$10:$BJ$122,AG$54,FALSE))</f>
        <v>#N/A</v>
      </c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</row>
    <row r="57" spans="1:52" x14ac:dyDescent="0.25">
      <c r="A57" s="339">
        <v>2</v>
      </c>
      <c r="B57" s="29" t="s">
        <v>87</v>
      </c>
      <c r="C57" s="344" t="s">
        <v>566</v>
      </c>
      <c r="D57" s="30" t="e">
        <f>IF($C57="","",VLOOKUP($C57,AMAPit!$A$10:$BJ$122,D$4-2,FALSE))</f>
        <v>#N/A</v>
      </c>
      <c r="E57" s="31" t="e">
        <f>IF($C57="","",VLOOKUP($C57,AMAPit!$A$10:$BJ$122,E$4-1,FALSE))</f>
        <v>#N/A</v>
      </c>
      <c r="F57" s="339" t="e">
        <f t="shared" si="115"/>
        <v>#N/A</v>
      </c>
      <c r="G57" s="339" t="e">
        <f t="shared" si="116"/>
        <v>#N/A</v>
      </c>
      <c r="H57" s="339" t="e">
        <f t="shared" si="117"/>
        <v>#N/A</v>
      </c>
      <c r="I57" s="92" t="e">
        <f>IF($C57="","",VLOOKUP($C57,AMAPit!$A$10:$BJ$122,I$54,FALSE))</f>
        <v>#N/A</v>
      </c>
      <c r="J57" s="70">
        <f t="shared" si="118"/>
        <v>0</v>
      </c>
      <c r="K57" s="339" t="e">
        <f>IF($C57="","",VLOOKUP($C57,AMAPit!$A$10:$BJ$122,K$54,FALSE))</f>
        <v>#N/A</v>
      </c>
      <c r="L57" s="339" t="e">
        <f>IF($C57="","",VLOOKUP($C57,AMAPit!$A$10:$BJ$122,L$54,FALSE))</f>
        <v>#N/A</v>
      </c>
      <c r="M57" s="340" t="e">
        <f>IF($C57="","",VLOOKUP($C57,AMAPit!$A$10:$BJ$122,M$54,FALSE))</f>
        <v>#N/A</v>
      </c>
      <c r="N57" s="339" t="e">
        <f>IF($C57="","",VLOOKUP($C57,AMAPit!$A$10:$BJ$122,N$54,FALSE))</f>
        <v>#N/A</v>
      </c>
      <c r="O57" s="339" t="e">
        <f>IF($C57="","",VLOOKUP($C57,AMAPit!$A$10:$BJ$122,O$54,FALSE))</f>
        <v>#N/A</v>
      </c>
      <c r="P57" s="339" t="e">
        <f>IF($C57="","",VLOOKUP($C57,AMAPit!$A$10:$BJ$122,P$54,FALSE))</f>
        <v>#N/A</v>
      </c>
      <c r="Q57" s="339" t="e">
        <f>IF($C57="","",VLOOKUP($C57,AMAPit!$A$10:$BJ$122,Q$54,FALSE))</f>
        <v>#N/A</v>
      </c>
      <c r="R57" s="339" t="e">
        <f>IF($C57="","",VLOOKUP($C57,AMAPit!$A$10:$BJ$122,R$54,FALSE))</f>
        <v>#N/A</v>
      </c>
      <c r="S57" s="339" t="e">
        <f>IF($C57="","",VLOOKUP($C57,AMAPit!$A$10:$BJ$122,S$54,FALSE))</f>
        <v>#N/A</v>
      </c>
      <c r="T57" s="339" t="e">
        <f>IF($C57="","",VLOOKUP($C57,AMAPit!$A$10:$BJ$122,T$54,FALSE))</f>
        <v>#N/A</v>
      </c>
      <c r="U57" s="339" t="e">
        <f>IF($C57="","",VLOOKUP($C57,AMAPit!$A$10:$BJ$122,U$54,FALSE))</f>
        <v>#N/A</v>
      </c>
      <c r="V57" s="339" t="e">
        <f>IF($C57="","",VLOOKUP($C57,AMAPit!$A$10:$BJ$122,V$54,FALSE))</f>
        <v>#N/A</v>
      </c>
      <c r="W57" s="339" t="e">
        <f>IF($C57="","",VLOOKUP($C57,AMAPit!$A$10:$BJ$122,W$54,FALSE))</f>
        <v>#N/A</v>
      </c>
      <c r="X57" s="339" t="e">
        <f>IF($C57="","",VLOOKUP($C57,AMAPit!$A$10:$BJ$122,X$54,FALSE))</f>
        <v>#N/A</v>
      </c>
      <c r="Y57" s="340" t="e">
        <f>IF($C57="","",VLOOKUP($C57,AMAPit!$A$10:$BJ$122,Y$54,FALSE))</f>
        <v>#N/A</v>
      </c>
      <c r="Z57" s="345" t="e">
        <f>IF($C57="","",VLOOKUP($C57,AMAPit!$A$10:$BJ$122,Z$54,FALSE))</f>
        <v>#N/A</v>
      </c>
      <c r="AA57" s="339" t="e">
        <f>IF($C57="","",VLOOKUP($C57,AMAPit!$A$10:$BJ$122,AA$54,FALSE))</f>
        <v>#N/A</v>
      </c>
      <c r="AB57" s="73" t="e">
        <f>IF($C57="","",VLOOKUP($C57,AMAPit!$A$10:$BJ$122,AB$54,FALSE))</f>
        <v>#N/A</v>
      </c>
      <c r="AC57" s="60" t="e">
        <f>IF($C57="","",VLOOKUP($C57,AMAPit!$A$10:$BJ$122,AC$54,FALSE))</f>
        <v>#N/A</v>
      </c>
      <c r="AD57" s="339" t="e">
        <f>IF($C57="","",VLOOKUP($C57,AMAPit!$A$10:$BJ$122,AD$54,FALSE))</f>
        <v>#N/A</v>
      </c>
      <c r="AE57" s="339" t="e">
        <f>IF($C57="","",VLOOKUP($C57,AMAPit!$A$10:$BJ$122,AE$54,FALSE))</f>
        <v>#N/A</v>
      </c>
      <c r="AF57" s="340" t="e">
        <f>IF($C57="","",VLOOKUP($C57,AMAPit!$A$10:$BJ$122,AF$54,FALSE))</f>
        <v>#N/A</v>
      </c>
      <c r="AG57" s="60" t="e">
        <f>IF($C57="","",VLOOKUP($C57,AMAPit!$A$10:$BJ$122,AG$54,FALSE))</f>
        <v>#N/A</v>
      </c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</row>
    <row r="58" spans="1:52" x14ac:dyDescent="0.25">
      <c r="A58" s="339">
        <v>3</v>
      </c>
      <c r="B58" s="29" t="s">
        <v>87</v>
      </c>
      <c r="C58" s="344"/>
      <c r="D58" s="30" t="str">
        <f>IF($C58="","",VLOOKUP($C58,AMAPit!$A$10:$BJ$122,D$4-2,FALSE))</f>
        <v/>
      </c>
      <c r="E58" s="31" t="str">
        <f>IF($C58="","",VLOOKUP($C58,AMAPit!$A$10:$BJ$125,E$4-1,FALSE))</f>
        <v/>
      </c>
      <c r="F58" s="339" t="str">
        <f t="shared" si="115"/>
        <v/>
      </c>
      <c r="G58" s="339" t="str">
        <f t="shared" si="116"/>
        <v/>
      </c>
      <c r="H58" s="339" t="str">
        <f t="shared" si="117"/>
        <v/>
      </c>
      <c r="I58" s="92" t="str">
        <f>IF($C58="","",VLOOKUP($C58,AMAPit!$A$10:$BJ$122,I$54,FALSE))</f>
        <v/>
      </c>
      <c r="J58" s="70" t="str">
        <f t="shared" si="118"/>
        <v/>
      </c>
      <c r="K58" s="339" t="str">
        <f>IF($C58="","",VLOOKUP($C58,AMAPit!$A$10:$BJ$122,K$54,FALSE))</f>
        <v/>
      </c>
      <c r="L58" s="339" t="str">
        <f>IF($C58="","",VLOOKUP($C58,AMAPit!$A$10:$BJ$122,L$54,FALSE))</f>
        <v/>
      </c>
      <c r="M58" s="340" t="str">
        <f>IF($C58="","",VLOOKUP($C58,AMAPit!$A$10:$BJ$122,M$54,FALSE))</f>
        <v/>
      </c>
      <c r="N58" s="339" t="str">
        <f>IF($C58="","",VLOOKUP($C58,AMAPit!$A$10:$BJ$122,N$54,FALSE))</f>
        <v/>
      </c>
      <c r="O58" s="339" t="str">
        <f>IF($C58="","",VLOOKUP($C58,AMAPit!$A$10:$BJ$122,O$54,FALSE))</f>
        <v/>
      </c>
      <c r="P58" s="339" t="str">
        <f>IF($C58="","",VLOOKUP($C58,AMAPit!$A$10:$BJ$122,P$54,FALSE))</f>
        <v/>
      </c>
      <c r="Q58" s="339" t="str">
        <f>IF($C58="","",VLOOKUP($C58,AMAPit!$A$10:$BJ$122,Q$54,FALSE))</f>
        <v/>
      </c>
      <c r="R58" s="339" t="str">
        <f>IF($C58="","",VLOOKUP($C58,AMAPit!$A$10:$BJ$122,R$54,FALSE))</f>
        <v/>
      </c>
      <c r="S58" s="339" t="str">
        <f>IF($C58="","",VLOOKUP($C58,AMAPit!$A$10:$BJ$122,S$54,FALSE))</f>
        <v/>
      </c>
      <c r="T58" s="339" t="str">
        <f>IF($C58="","",VLOOKUP($C58,AMAPit!$A$10:$BJ$122,T$54,FALSE))</f>
        <v/>
      </c>
      <c r="U58" s="339" t="str">
        <f>IF($C58="","",VLOOKUP($C58,AMAPit!$A$10:$BJ$122,U$54,FALSE))</f>
        <v/>
      </c>
      <c r="V58" s="339" t="str">
        <f>IF($C58="","",VLOOKUP($C58,AMAPit!$A$10:$BJ$122,V$54,FALSE))</f>
        <v/>
      </c>
      <c r="W58" s="339" t="str">
        <f>IF($C58="","",VLOOKUP($C58,AMAPit!$A$10:$BJ$122,W$54,FALSE))</f>
        <v/>
      </c>
      <c r="X58" s="339" t="str">
        <f>IF($C58="","",VLOOKUP($C58,AMAPit!$A$10:$BJ$122,X$54,FALSE))</f>
        <v/>
      </c>
      <c r="Y58" s="340" t="str">
        <f>IF($C58="","",VLOOKUP($C58,AMAPit!$A$10:$BJ$122,Y$54,FALSE))</f>
        <v/>
      </c>
      <c r="Z58" s="345" t="str">
        <f>IF($C58="","",VLOOKUP($C58,AMAPit!$A$10:$BJ$122,Z$54,FALSE))</f>
        <v/>
      </c>
      <c r="AA58" s="339" t="str">
        <f>IF($C58="","",VLOOKUP($C58,AMAPit!$A$10:$BJ$122,AA$54,FALSE))</f>
        <v/>
      </c>
      <c r="AB58" s="73" t="str">
        <f>IF($C58="","",VLOOKUP($C58,AMAPit!$A$10:$BJ$122,AB$54,FALSE))</f>
        <v/>
      </c>
      <c r="AC58" s="60" t="str">
        <f>IF($C58="","",VLOOKUP($C58,AMAPit!$A$10:$BJ$122,AC$54,FALSE))</f>
        <v/>
      </c>
      <c r="AD58" s="339" t="str">
        <f>IF($C58="","",VLOOKUP($C58,AMAPit!$A$10:$BJ$122,AD$54,FALSE))</f>
        <v/>
      </c>
      <c r="AE58" s="339" t="str">
        <f>IF($C58="","",VLOOKUP($C58,AMAPit!$A$10:$BJ$122,AE$54,FALSE))</f>
        <v/>
      </c>
      <c r="AF58" s="340" t="str">
        <f>IF($C58="","",VLOOKUP($C58,AMAPit!$A$10:$BJ$122,AF$54,FALSE))</f>
        <v/>
      </c>
      <c r="AG58" s="60" t="str">
        <f>IF($C58="","",VLOOKUP($C58,AMAPit!$A$10:$BJ$122,AG$54,FALSE))</f>
        <v/>
      </c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</row>
    <row r="59" spans="1:52" x14ac:dyDescent="0.25">
      <c r="A59" s="339">
        <v>4</v>
      </c>
      <c r="B59" s="29" t="s">
        <v>87</v>
      </c>
      <c r="C59" s="58"/>
      <c r="D59" s="30" t="str">
        <f>IF($C59="","",VLOOKUP($C59,AMAPit!$A$10:$BJ$122,D$4-2,FALSE))</f>
        <v/>
      </c>
      <c r="E59" s="31" t="str">
        <f>IF($C59="","",VLOOKUP($C59,AMAPit!$A$10:$BJ$125,E$4-1,FALSE))</f>
        <v/>
      </c>
      <c r="F59" s="339" t="str">
        <f t="shared" si="115"/>
        <v/>
      </c>
      <c r="G59" s="339" t="str">
        <f t="shared" si="116"/>
        <v/>
      </c>
      <c r="H59" s="339" t="str">
        <f t="shared" si="117"/>
        <v/>
      </c>
      <c r="I59" s="92" t="str">
        <f>IF($C59="","",VLOOKUP($C59,AMAPit!$A$10:$BJ$122,I$54,FALSE))</f>
        <v/>
      </c>
      <c r="J59" s="70" t="str">
        <f t="shared" si="118"/>
        <v/>
      </c>
      <c r="K59" s="339" t="str">
        <f>IF($C59="","",VLOOKUP($C59,AMAPit!$A$10:$BJ$122,K$54,FALSE))</f>
        <v/>
      </c>
      <c r="L59" s="339" t="str">
        <f>IF($C59="","",VLOOKUP($C59,AMAPit!$A$10:$BJ$122,L$54,FALSE))</f>
        <v/>
      </c>
      <c r="M59" s="340" t="str">
        <f>IF($C59="","",VLOOKUP($C59,AMAPit!$A$10:$BJ$122,M$54,FALSE))</f>
        <v/>
      </c>
      <c r="N59" s="339" t="str">
        <f>IF($C59="","",VLOOKUP($C59,AMAPit!$A$10:$BJ$122,N$54,FALSE))</f>
        <v/>
      </c>
      <c r="O59" s="339" t="str">
        <f>IF($C59="","",VLOOKUP($C59,AMAPit!$A$10:$BJ$122,O$54,FALSE))</f>
        <v/>
      </c>
      <c r="P59" s="339" t="str">
        <f>IF($C59="","",VLOOKUP($C59,AMAPit!$A$10:$BJ$122,P$54,FALSE))</f>
        <v/>
      </c>
      <c r="Q59" s="339" t="str">
        <f>IF($C59="","",VLOOKUP($C59,AMAPit!$A$10:$BJ$122,Q$54,FALSE))</f>
        <v/>
      </c>
      <c r="R59" s="339" t="str">
        <f>IF($C59="","",VLOOKUP($C59,AMAPit!$A$10:$BJ$122,R$54,FALSE))</f>
        <v/>
      </c>
      <c r="S59" s="339" t="str">
        <f>IF($C59="","",VLOOKUP($C59,AMAPit!$A$10:$BJ$122,S$54,FALSE))</f>
        <v/>
      </c>
      <c r="T59" s="339" t="str">
        <f>IF($C59="","",VLOOKUP($C59,AMAPit!$A$10:$BJ$122,T$54,FALSE))</f>
        <v/>
      </c>
      <c r="U59" s="339" t="str">
        <f>IF($C59="","",VLOOKUP($C59,AMAPit!$A$10:$BJ$122,U$54,FALSE))</f>
        <v/>
      </c>
      <c r="V59" s="339" t="str">
        <f>IF($C59="","",VLOOKUP($C59,AMAPit!$A$10:$BJ$122,V$54,FALSE))</f>
        <v/>
      </c>
      <c r="W59" s="339" t="str">
        <f>IF($C59="","",VLOOKUP($C59,AMAPit!$A$10:$BJ$122,W$54,FALSE))</f>
        <v/>
      </c>
      <c r="X59" s="339" t="str">
        <f>IF($C59="","",VLOOKUP($C59,AMAPit!$A$10:$BJ$122,X$54,FALSE))</f>
        <v/>
      </c>
      <c r="Y59" s="340" t="str">
        <f>IF($C59="","",VLOOKUP($C59,AMAPit!$A$10:$BJ$122,Y$54,FALSE))</f>
        <v/>
      </c>
      <c r="Z59" s="345" t="str">
        <f>IF($C59="","",VLOOKUP($C59,AMAPit!$A$10:$BJ$122,Z$54,FALSE))</f>
        <v/>
      </c>
      <c r="AA59" s="339" t="str">
        <f>IF($C59="","",VLOOKUP($C59,AMAPit!$A$10:$BJ$122,AA$54,FALSE))</f>
        <v/>
      </c>
      <c r="AB59" s="73" t="str">
        <f>IF($C59="","",VLOOKUP($C59,AMAPit!$A$10:$BJ$122,AB$54,FALSE))</f>
        <v/>
      </c>
      <c r="AC59" s="60" t="str">
        <f>IF($C59="","",VLOOKUP($C59,AMAPit!$A$10:$BJ$122,AC$54,FALSE))</f>
        <v/>
      </c>
      <c r="AD59" s="339" t="str">
        <f>IF($C59="","",VLOOKUP($C59,AMAPit!$A$10:$BJ$122,AD$54,FALSE))</f>
        <v/>
      </c>
      <c r="AE59" s="339" t="str">
        <f>IF($C59="","",VLOOKUP($C59,AMAPit!$A$10:$BJ$122,AE$54,FALSE))</f>
        <v/>
      </c>
      <c r="AF59" s="340" t="str">
        <f>IF($C59="","",VLOOKUP($C59,AMAPit!$A$10:$BJ$122,AF$54,FALSE))</f>
        <v/>
      </c>
      <c r="AG59" s="60" t="str">
        <f>IF($C59="","",VLOOKUP($C59,AMAPit!$A$10:$BJ$122,AG$54,FALSE))</f>
        <v/>
      </c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</row>
    <row r="60" spans="1:52" x14ac:dyDescent="0.25">
      <c r="A60" s="339">
        <v>5</v>
      </c>
      <c r="B60" s="29" t="s">
        <v>87</v>
      </c>
      <c r="C60" s="58"/>
      <c r="D60" s="30" t="str">
        <f>IF($C60="","",VLOOKUP($C60,AMAPit!$A$10:$BJ$122,D$4-2,FALSE))</f>
        <v/>
      </c>
      <c r="E60" s="31" t="str">
        <f>IF($C60="","",VLOOKUP($C60,AMAPit!$A$10:$BJ$125,E$4-1,FALSE))</f>
        <v/>
      </c>
      <c r="F60" s="339" t="str">
        <f t="shared" si="115"/>
        <v/>
      </c>
      <c r="G60" s="339" t="str">
        <f t="shared" si="116"/>
        <v/>
      </c>
      <c r="H60" s="339" t="str">
        <f t="shared" si="117"/>
        <v/>
      </c>
      <c r="I60" s="92" t="str">
        <f>IF($C60="","",VLOOKUP($C60,AMAPit!$A$10:$BJ$122,I$54,FALSE))</f>
        <v/>
      </c>
      <c r="J60" s="70" t="str">
        <f t="shared" si="118"/>
        <v/>
      </c>
      <c r="K60" s="339" t="str">
        <f>IF($C60="","",VLOOKUP($C60,AMAPit!$A$10:$BJ$122,K$54,FALSE))</f>
        <v/>
      </c>
      <c r="L60" s="339" t="str">
        <f>IF($C60="","",VLOOKUP($C60,AMAPit!$A$10:$BJ$122,L$54,FALSE))</f>
        <v/>
      </c>
      <c r="M60" s="340" t="str">
        <f>IF($C60="","",VLOOKUP($C60,AMAPit!$A$10:$BJ$122,M$54,FALSE))</f>
        <v/>
      </c>
      <c r="N60" s="339" t="str">
        <f>IF($C60="","",VLOOKUP($C60,AMAPit!$A$10:$BJ$122,N$54,FALSE))</f>
        <v/>
      </c>
      <c r="O60" s="339" t="str">
        <f>IF($C60="","",VLOOKUP($C60,AMAPit!$A$10:$BJ$122,O$54,FALSE))</f>
        <v/>
      </c>
      <c r="P60" s="339" t="str">
        <f>IF($C60="","",VLOOKUP($C60,AMAPit!$A$10:$BJ$122,P$54,FALSE))</f>
        <v/>
      </c>
      <c r="Q60" s="339" t="str">
        <f>IF($C60="","",VLOOKUP($C60,AMAPit!$A$10:$BJ$122,Q$54,FALSE))</f>
        <v/>
      </c>
      <c r="R60" s="339" t="str">
        <f>IF($C60="","",VLOOKUP($C60,AMAPit!$A$10:$BJ$122,R$54,FALSE))</f>
        <v/>
      </c>
      <c r="S60" s="339" t="str">
        <f>IF($C60="","",VLOOKUP($C60,AMAPit!$A$10:$BJ$122,S$54,FALSE))</f>
        <v/>
      </c>
      <c r="T60" s="339" t="str">
        <f>IF($C60="","",VLOOKUP($C60,AMAPit!$A$10:$BJ$122,T$54,FALSE))</f>
        <v/>
      </c>
      <c r="U60" s="339" t="str">
        <f>IF($C60="","",VLOOKUP($C60,AMAPit!$A$10:$BJ$122,U$54,FALSE))</f>
        <v/>
      </c>
      <c r="V60" s="339" t="str">
        <f>IF($C60="","",VLOOKUP($C60,AMAPit!$A$10:$BJ$122,V$54,FALSE))</f>
        <v/>
      </c>
      <c r="W60" s="339" t="str">
        <f>IF($C60="","",VLOOKUP($C60,AMAPit!$A$10:$BJ$122,W$54,FALSE))</f>
        <v/>
      </c>
      <c r="X60" s="339" t="str">
        <f>IF($C60="","",VLOOKUP($C60,AMAPit!$A$10:$BJ$122,X$54,FALSE))</f>
        <v/>
      </c>
      <c r="Y60" s="340" t="str">
        <f>IF($C60="","",VLOOKUP($C60,AMAPit!$A$10:$BJ$122,Y$54,FALSE))</f>
        <v/>
      </c>
      <c r="Z60" s="345" t="str">
        <f>IF($C60="","",VLOOKUP($C60,AMAPit!$A$10:$BJ$122,Z$54,FALSE))</f>
        <v/>
      </c>
      <c r="AA60" s="339" t="str">
        <f>IF($C60="","",VLOOKUP($C60,AMAPit!$A$10:$BJ$122,AA$54,FALSE))</f>
        <v/>
      </c>
      <c r="AB60" s="73" t="str">
        <f>IF($C60="","",VLOOKUP($C60,AMAPit!$A$10:$BJ$122,AB$54,FALSE))</f>
        <v/>
      </c>
      <c r="AC60" s="60" t="str">
        <f>IF($C60="","",VLOOKUP($C60,AMAPit!$A$10:$BJ$122,AC$54,FALSE))</f>
        <v/>
      </c>
      <c r="AD60" s="339" t="str">
        <f>IF($C60="","",VLOOKUP($C60,AMAPit!$A$10:$BJ$122,AD$54,FALSE))</f>
        <v/>
      </c>
      <c r="AE60" s="339" t="str">
        <f>IF($C60="","",VLOOKUP($C60,AMAPit!$A$10:$BJ$122,AE$54,FALSE))</f>
        <v/>
      </c>
      <c r="AF60" s="340" t="str">
        <f>IF($C60="","",VLOOKUP($C60,AMAPit!$A$10:$BJ$122,AF$54,FALSE))</f>
        <v/>
      </c>
      <c r="AG60" s="60" t="str">
        <f>IF($C60="","",VLOOKUP($C60,AMAPit!$A$10:$BJ$122,AG$54,FALSE))</f>
        <v/>
      </c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</row>
    <row r="61" spans="1:52" x14ac:dyDescent="0.25">
      <c r="A61" s="339">
        <v>6</v>
      </c>
      <c r="B61" s="32" t="s">
        <v>105</v>
      </c>
      <c r="C61" s="279"/>
      <c r="D61" s="33" t="str">
        <f>IF($C61="","",VLOOKUP($C61,AMAPit!$A$10:$BJ$122,D$4-2,FALSE))</f>
        <v/>
      </c>
      <c r="E61" s="35" t="str">
        <f>IF($C61="","",VLOOKUP($C61,AMAPit!$A$10:$BJ$125,E$4-1,FALSE))</f>
        <v/>
      </c>
      <c r="F61" s="337" t="str">
        <f t="shared" si="115"/>
        <v/>
      </c>
      <c r="G61" s="337" t="str">
        <f t="shared" si="116"/>
        <v/>
      </c>
      <c r="H61" s="337" t="str">
        <f t="shared" si="117"/>
        <v/>
      </c>
      <c r="I61" s="93" t="str">
        <f>IF($C61="","",VLOOKUP($C61,AMAPit!$A$10:$BJ$122,I$54,FALSE))</f>
        <v/>
      </c>
      <c r="J61" s="71" t="str">
        <f t="shared" si="118"/>
        <v/>
      </c>
      <c r="K61" s="337" t="str">
        <f>IF($C61="","",VLOOKUP($C61,AMAPit!$A$10:$BJ$122,K$54,FALSE))</f>
        <v/>
      </c>
      <c r="L61" s="337" t="str">
        <f>IF($C61="","",VLOOKUP($C61,AMAPit!$A$10:$BJ$122,L$54,FALSE))</f>
        <v/>
      </c>
      <c r="M61" s="338" t="str">
        <f>IF($C61="","",VLOOKUP($C61,AMAPit!$A$10:$BJ$122,M$54,FALSE))</f>
        <v/>
      </c>
      <c r="N61" s="337" t="str">
        <f>IF($C61="","",VLOOKUP($C61,AMAPit!$A$10:$BJ$122,N$54,FALSE))</f>
        <v/>
      </c>
      <c r="O61" s="337" t="str">
        <f>IF($C61="","",VLOOKUP($C61,AMAPit!$A$10:$BJ$122,O$54,FALSE))</f>
        <v/>
      </c>
      <c r="P61" s="337" t="str">
        <f>IF($C61="","",VLOOKUP($C61,AMAPit!$A$10:$BJ$122,P$54,FALSE))</f>
        <v/>
      </c>
      <c r="Q61" s="337" t="str">
        <f>IF($C61="","",VLOOKUP($C61,AMAPit!$A$10:$BJ$122,Q$54,FALSE))</f>
        <v/>
      </c>
      <c r="R61" s="337" t="str">
        <f>IF($C61="","",VLOOKUP($C61,AMAPit!$A$10:$BJ$122,R$54,FALSE))</f>
        <v/>
      </c>
      <c r="S61" s="337" t="str">
        <f>IF($C61="","",VLOOKUP($C61,AMAPit!$A$10:$BJ$122,S$54,FALSE))</f>
        <v/>
      </c>
      <c r="T61" s="337" t="str">
        <f>IF($C61="","",VLOOKUP($C61,AMAPit!$A$10:$BJ$122,T$54,FALSE))</f>
        <v/>
      </c>
      <c r="U61" s="337" t="str">
        <f>IF($C61="","",VLOOKUP($C61,AMAPit!$A$10:$BJ$122,U$54,FALSE))</f>
        <v/>
      </c>
      <c r="V61" s="337" t="str">
        <f>IF($C61="","",VLOOKUP($C61,AMAPit!$A$10:$BJ$122,V$54,FALSE))</f>
        <v/>
      </c>
      <c r="W61" s="337" t="str">
        <f>IF($C61="","",VLOOKUP($C61,AMAPit!$A$10:$BJ$122,W$54,FALSE))</f>
        <v/>
      </c>
      <c r="X61" s="337" t="str">
        <f>IF($C61="","",VLOOKUP($C61,AMAPit!$A$10:$BJ$122,X$54,FALSE))</f>
        <v/>
      </c>
      <c r="Y61" s="338" t="str">
        <f>IF($C61="","",VLOOKUP($C61,AMAPit!$A$10:$BJ$122,Y$54,FALSE))</f>
        <v/>
      </c>
      <c r="Z61" s="47" t="str">
        <f>IF($C61="","",VLOOKUP($C61,AMAPit!$A$10:$BJ$122,Z$54,FALSE))</f>
        <v/>
      </c>
      <c r="AA61" s="337" t="str">
        <f>IF($C61="","",VLOOKUP($C61,AMAPit!$A$10:$BJ$122,AA$54,FALSE))</f>
        <v/>
      </c>
      <c r="AB61" s="74" t="str">
        <f>IF($C61="","",VLOOKUP($C61,AMAPit!$A$10:$BJ$122,AB$54,FALSE))</f>
        <v/>
      </c>
      <c r="AC61" s="61" t="str">
        <f>IF($C61="","",VLOOKUP($C61,AMAPit!$A$10:$BJ$122,AC$54,FALSE))</f>
        <v/>
      </c>
      <c r="AD61" s="337" t="str">
        <f>IF($C61="","",VLOOKUP($C61,AMAPit!$A$10:$BJ$122,AD$54,FALSE))</f>
        <v/>
      </c>
      <c r="AE61" s="337" t="str">
        <f>IF($C61="","",VLOOKUP($C61,AMAPit!$A$10:$BJ$122,AE$54,FALSE))</f>
        <v/>
      </c>
      <c r="AF61" s="338" t="str">
        <f>IF($C61="","",VLOOKUP($C61,AMAPit!$A$10:$BJ$122,AF$54,FALSE))</f>
        <v/>
      </c>
      <c r="AG61" s="61" t="str">
        <f>IF($C61="","",VLOOKUP($C61,AMAPit!$A$10:$BJ$122,AG$54,FALSE))</f>
        <v/>
      </c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</row>
    <row r="62" spans="1:52" x14ac:dyDescent="0.25">
      <c r="A62" s="305"/>
      <c r="C62" s="280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39"/>
      <c r="AA62" s="339"/>
      <c r="AB62" s="339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</row>
    <row r="63" spans="1:52" ht="57" x14ac:dyDescent="0.25">
      <c r="A63" s="18" t="s">
        <v>170</v>
      </c>
      <c r="B63" s="341" t="s">
        <v>106</v>
      </c>
      <c r="C63" s="281" t="s">
        <v>96</v>
      </c>
      <c r="D63" s="37" t="s">
        <v>70</v>
      </c>
      <c r="E63" s="37" t="s">
        <v>81</v>
      </c>
      <c r="F63" s="48" t="s">
        <v>167</v>
      </c>
      <c r="G63" s="40" t="s">
        <v>168</v>
      </c>
      <c r="H63" s="49" t="s">
        <v>169</v>
      </c>
      <c r="I63" s="69" t="s">
        <v>189</v>
      </c>
      <c r="J63" s="40" t="s">
        <v>166</v>
      </c>
      <c r="K63" s="72" t="s">
        <v>163</v>
      </c>
      <c r="L63" s="67" t="s">
        <v>164</v>
      </c>
      <c r="M63" s="68" t="s">
        <v>165</v>
      </c>
      <c r="N63" s="67" t="s">
        <v>40</v>
      </c>
      <c r="O63" s="67" t="s">
        <v>42</v>
      </c>
      <c r="P63" s="67" t="s">
        <v>44</v>
      </c>
      <c r="Q63" s="67" t="s">
        <v>46</v>
      </c>
      <c r="R63" s="67" t="s">
        <v>48</v>
      </c>
      <c r="S63" s="67" t="s">
        <v>87</v>
      </c>
      <c r="T63" s="67" t="s">
        <v>51</v>
      </c>
      <c r="U63" s="67" t="s">
        <v>53</v>
      </c>
      <c r="V63" s="67" t="s">
        <v>55</v>
      </c>
      <c r="W63" s="67" t="s">
        <v>57</v>
      </c>
      <c r="X63" s="67" t="s">
        <v>59</v>
      </c>
      <c r="Y63" s="68" t="s">
        <v>61</v>
      </c>
      <c r="Z63" s="72" t="s">
        <v>176</v>
      </c>
      <c r="AA63" s="67" t="s">
        <v>175</v>
      </c>
      <c r="AB63" s="68" t="s">
        <v>177</v>
      </c>
      <c r="AC63" s="251" t="s">
        <v>354</v>
      </c>
      <c r="AD63" s="67" t="s">
        <v>163</v>
      </c>
      <c r="AE63" s="67" t="s">
        <v>164</v>
      </c>
      <c r="AF63" s="68" t="s">
        <v>165</v>
      </c>
      <c r="AG63" s="251" t="s">
        <v>174</v>
      </c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</row>
    <row r="64" spans="1:52" x14ac:dyDescent="0.25">
      <c r="A64" s="305">
        <v>1</v>
      </c>
      <c r="B64" s="29" t="s">
        <v>88</v>
      </c>
      <c r="C64" s="58"/>
      <c r="D64" s="30" t="str">
        <f>IF($C64="","",VLOOKUP($C64,AMAPit!$A$10:$BJ$122,D$4-2,FALSE))</f>
        <v/>
      </c>
      <c r="E64" s="30" t="str">
        <f>IF($C64="","",VLOOKUP($C64,AMAPit!$A$10:$BJ$125,E$4-1,FALSE))</f>
        <v/>
      </c>
      <c r="F64" s="345" t="str">
        <f t="shared" ref="F64:F65" si="119">IF($C64="","",IF(AVERAGE(K64:M64)&gt;7,1,0))</f>
        <v/>
      </c>
      <c r="G64" s="339" t="str">
        <f t="shared" ref="G64:G65" si="120">IF($C64="","",IF(AVERAGE(K64:M64)&gt;6.5,1,0))</f>
        <v/>
      </c>
      <c r="H64" s="340" t="str">
        <f t="shared" ref="H64:H65" si="121">IF($C64="","",IF(AVERAGE(K64:M64)&gt;6,1,0))</f>
        <v/>
      </c>
      <c r="I64" s="91" t="str">
        <f>IF($C64="","",VLOOKUP($C64,AMAPit!$A$10:$BJ$122,I$54,FALSE))</f>
        <v/>
      </c>
      <c r="J64" s="339" t="str">
        <f t="shared" ref="J64:J65" si="122">IF($C64="","",COUNT(N64:Y64))</f>
        <v/>
      </c>
      <c r="K64" s="345" t="str">
        <f>IF($C64="","",VLOOKUP($C64,AMAPit!$A$10:$BJ$122,K$54,FALSE))</f>
        <v/>
      </c>
      <c r="L64" s="339" t="str">
        <f>IF($C64="","",VLOOKUP($C64,AMAPit!$A$10:$BJ$122,L$54,FALSE))</f>
        <v/>
      </c>
      <c r="M64" s="340" t="str">
        <f>IF($C64="","",VLOOKUP($C64,AMAPit!$A$10:$BJ$122,M$54,FALSE))</f>
        <v/>
      </c>
      <c r="N64" s="339" t="str">
        <f>IF($C64="","",VLOOKUP($C64,AMAPit!$A$10:$BJ$122,N$54,FALSE))</f>
        <v/>
      </c>
      <c r="O64" s="339" t="str">
        <f>IF($C64="","",VLOOKUP($C64,AMAPit!$A$10:$BJ$122,O$54,FALSE))</f>
        <v/>
      </c>
      <c r="P64" s="339" t="str">
        <f>IF($C64="","",VLOOKUP($C64,AMAPit!$A$10:$BJ$122,P$54,FALSE))</f>
        <v/>
      </c>
      <c r="Q64" s="339" t="str">
        <f>IF($C64="","",VLOOKUP($C64,AMAPit!$A$10:$BJ$122,Q$54,FALSE))</f>
        <v/>
      </c>
      <c r="R64" s="339" t="str">
        <f>IF($C64="","",VLOOKUP($C64,AMAPit!$A$10:$BJ$122,R$54,FALSE))</f>
        <v/>
      </c>
      <c r="S64" s="339" t="str">
        <f>IF($C64="","",VLOOKUP($C64,AMAPit!$A$10:$BJ$122,S$54,FALSE))</f>
        <v/>
      </c>
      <c r="T64" s="339" t="str">
        <f>IF($C64="","",VLOOKUP($C64,AMAPit!$A$10:$BJ$122,T$54,FALSE))</f>
        <v/>
      </c>
      <c r="U64" s="339" t="str">
        <f>IF($C64="","",VLOOKUP($C64,AMAPit!$A$10:$BJ$122,U$54,FALSE))</f>
        <v/>
      </c>
      <c r="V64" s="339" t="str">
        <f>IF($C64="","",VLOOKUP($C64,AMAPit!$A$10:$BJ$122,V$54,FALSE))</f>
        <v/>
      </c>
      <c r="W64" s="339" t="str">
        <f>IF($C64="","",VLOOKUP($C64,AMAPit!$A$10:$BJ$122,W$54,FALSE))</f>
        <v/>
      </c>
      <c r="X64" s="339" t="str">
        <f>IF($C64="","",VLOOKUP($C64,AMAPit!$A$10:$BJ$122,X$54,FALSE))</f>
        <v/>
      </c>
      <c r="Y64" s="340" t="str">
        <f>IF($C64="","",VLOOKUP($C64,AMAPit!$A$10:$BJ$122,Y$54,FALSE))</f>
        <v/>
      </c>
      <c r="Z64" s="345" t="str">
        <f>IF($C64="","",VLOOKUP($C64,AMAPit!$A$10:$BJ$122,Z$54,FALSE))</f>
        <v/>
      </c>
      <c r="AA64" s="339" t="str">
        <f>IF($C64="","",VLOOKUP($C64,AMAPit!$A$10:$BJ$122,AA$54,FALSE))</f>
        <v/>
      </c>
      <c r="AB64" s="73" t="str">
        <f>IF($C64="","",VLOOKUP($C64,AMAPit!$A$10:$BJ$122,AB$54,FALSE))</f>
        <v/>
      </c>
      <c r="AC64" s="252" t="str">
        <f>IF($C64="","",VLOOKUP($C64,AMAPit!$A$10:$BJ$122,AC$54,FALSE))</f>
        <v/>
      </c>
      <c r="AD64" s="339" t="str">
        <f>IF($C64="","",VLOOKUP($C64,AMAPit!$A$10:$BJ$122,AD$54,FALSE))</f>
        <v/>
      </c>
      <c r="AE64" s="339" t="str">
        <f>IF($C64="","",VLOOKUP($C64,AMAPit!$A$10:$BJ$122,AE$54,FALSE))</f>
        <v/>
      </c>
      <c r="AF64" s="340" t="str">
        <f>IF($C64="","",VLOOKUP($C64,AMAPit!$A$10:$BJ$122,AF$54,FALSE))</f>
        <v/>
      </c>
      <c r="AG64" s="252" t="str">
        <f>IF($C64="","",VLOOKUP($C64,AMAPit!$A$10:$BJ$122,AG$54,FALSE))</f>
        <v/>
      </c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</row>
    <row r="65" spans="1:52" x14ac:dyDescent="0.25">
      <c r="A65" s="305">
        <v>2</v>
      </c>
      <c r="B65" s="32" t="s">
        <v>107</v>
      </c>
      <c r="C65" s="282"/>
      <c r="D65" s="33" t="str">
        <f>IF($C65="","",VLOOKUP($C65,AMAPit!$A$10:$BJ$122,D$4-2,FALSE))</f>
        <v/>
      </c>
      <c r="E65" s="33" t="str">
        <f>IF($C65="","",VLOOKUP($C65,AMAPit!$A$10:$BJ$125,E$4-1,FALSE))</f>
        <v/>
      </c>
      <c r="F65" s="47" t="str">
        <f t="shared" si="119"/>
        <v/>
      </c>
      <c r="G65" s="337" t="str">
        <f t="shared" si="120"/>
        <v/>
      </c>
      <c r="H65" s="338" t="str">
        <f t="shared" si="121"/>
        <v/>
      </c>
      <c r="I65" s="93" t="str">
        <f>IF($C65="","",VLOOKUP($C65,AMAPit!$A$10:$BJ$122,I$54,FALSE))</f>
        <v/>
      </c>
      <c r="J65" s="337" t="str">
        <f t="shared" si="122"/>
        <v/>
      </c>
      <c r="K65" s="47" t="str">
        <f>IF($C65="","",VLOOKUP($C65,AMAPit!$A$10:$BJ$122,K$54,FALSE))</f>
        <v/>
      </c>
      <c r="L65" s="337" t="str">
        <f>IF($C65="","",VLOOKUP($C65,AMAPit!$A$10:$BJ$122,L$54,FALSE))</f>
        <v/>
      </c>
      <c r="M65" s="338" t="str">
        <f>IF($C65="","",VLOOKUP($C65,AMAPit!$A$10:$BJ$122,M$54,FALSE))</f>
        <v/>
      </c>
      <c r="N65" s="337" t="str">
        <f>IF($C65="","",VLOOKUP($C65,AMAPit!$A$10:$BJ$122,N$54,FALSE))</f>
        <v/>
      </c>
      <c r="O65" s="337" t="str">
        <f>IF($C65="","",VLOOKUP($C65,AMAPit!$A$10:$BJ$122,O$54,FALSE))</f>
        <v/>
      </c>
      <c r="P65" s="337" t="str">
        <f>IF($C65="","",VLOOKUP($C65,AMAPit!$A$10:$BJ$122,P$54,FALSE))</f>
        <v/>
      </c>
      <c r="Q65" s="337" t="str">
        <f>IF($C65="","",VLOOKUP($C65,AMAPit!$A$10:$BJ$122,Q$54,FALSE))</f>
        <v/>
      </c>
      <c r="R65" s="337" t="str">
        <f>IF($C65="","",VLOOKUP($C65,AMAPit!$A$10:$BJ$122,R$54,FALSE))</f>
        <v/>
      </c>
      <c r="S65" s="337" t="str">
        <f>IF($C65="","",VLOOKUP($C65,AMAPit!$A$10:$BJ$122,S$54,FALSE))</f>
        <v/>
      </c>
      <c r="T65" s="337" t="str">
        <f>IF($C65="","",VLOOKUP($C65,AMAPit!$A$10:$BJ$122,T$54,FALSE))</f>
        <v/>
      </c>
      <c r="U65" s="337" t="str">
        <f>IF($C65="","",VLOOKUP($C65,AMAPit!$A$10:$BJ$122,U$54,FALSE))</f>
        <v/>
      </c>
      <c r="V65" s="337" t="str">
        <f>IF($C65="","",VLOOKUP($C65,AMAPit!$A$10:$BJ$122,V$54,FALSE))</f>
        <v/>
      </c>
      <c r="W65" s="337" t="str">
        <f>IF($C65="","",VLOOKUP($C65,AMAPit!$A$10:$BJ$122,W$54,FALSE))</f>
        <v/>
      </c>
      <c r="X65" s="337" t="str">
        <f>IF($C65="","",VLOOKUP($C65,AMAPit!$A$10:$BJ$122,X$54,FALSE))</f>
        <v/>
      </c>
      <c r="Y65" s="338" t="str">
        <f>IF($C65="","",VLOOKUP($C65,AMAPit!$A$10:$BJ$122,Y$54,FALSE))</f>
        <v/>
      </c>
      <c r="Z65" s="47" t="str">
        <f>IF($C65="","",VLOOKUP($C65,AMAPit!$A$10:$BJ$122,Z$54,FALSE))</f>
        <v/>
      </c>
      <c r="AA65" s="337" t="str">
        <f>IF($C65="","",VLOOKUP($C65,AMAPit!$A$10:$BJ$122,AA$54,FALSE))</f>
        <v/>
      </c>
      <c r="AB65" s="74" t="str">
        <f>IF($C65="","",VLOOKUP($C65,AMAPit!$A$10:$BJ$122,AB$54,FALSE))</f>
        <v/>
      </c>
      <c r="AC65" s="61" t="str">
        <f>IF($C65="","",VLOOKUP($C65,AMAPit!$A$10:$BJ$122,AC$54,FALSE))</f>
        <v/>
      </c>
      <c r="AD65" s="337" t="str">
        <f>IF($C65="","",VLOOKUP($C65,AMAPit!$A$10:$BJ$122,AD$54,FALSE))</f>
        <v/>
      </c>
      <c r="AE65" s="337" t="str">
        <f>IF($C65="","",VLOOKUP($C65,AMAPit!$A$10:$BJ$122,AE$54,FALSE))</f>
        <v/>
      </c>
      <c r="AF65" s="338" t="str">
        <f>IF($C65="","",VLOOKUP($C65,AMAPit!$A$10:$BJ$122,AF$54,FALSE))</f>
        <v/>
      </c>
      <c r="AG65" s="61" t="str">
        <f>IF($C65="","",VLOOKUP($C65,AMAPit!$A$10:$BJ$122,AG$54,FALSE))</f>
        <v/>
      </c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</row>
    <row r="66" spans="1:52" x14ac:dyDescent="0.25">
      <c r="A66" s="305"/>
      <c r="C66" s="280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39"/>
      <c r="AA66" s="339"/>
      <c r="AB66" s="339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</row>
    <row r="67" spans="1:52" ht="57" x14ac:dyDescent="0.25">
      <c r="A67" s="18" t="s">
        <v>170</v>
      </c>
      <c r="B67" s="341" t="s">
        <v>108</v>
      </c>
      <c r="C67" s="281" t="s">
        <v>96</v>
      </c>
      <c r="D67" s="37" t="s">
        <v>70</v>
      </c>
      <c r="E67" s="37" t="s">
        <v>81</v>
      </c>
      <c r="F67" s="48" t="s">
        <v>167</v>
      </c>
      <c r="G67" s="40" t="s">
        <v>168</v>
      </c>
      <c r="H67" s="49" t="s">
        <v>169</v>
      </c>
      <c r="I67" s="69" t="s">
        <v>189</v>
      </c>
      <c r="J67" s="40" t="s">
        <v>166</v>
      </c>
      <c r="K67" s="72" t="s">
        <v>163</v>
      </c>
      <c r="L67" s="67" t="s">
        <v>164</v>
      </c>
      <c r="M67" s="68" t="s">
        <v>165</v>
      </c>
      <c r="N67" s="67" t="s">
        <v>40</v>
      </c>
      <c r="O67" s="67" t="s">
        <v>42</v>
      </c>
      <c r="P67" s="67" t="s">
        <v>44</v>
      </c>
      <c r="Q67" s="67" t="s">
        <v>46</v>
      </c>
      <c r="R67" s="67" t="s">
        <v>48</v>
      </c>
      <c r="S67" s="67" t="s">
        <v>87</v>
      </c>
      <c r="T67" s="67" t="s">
        <v>51</v>
      </c>
      <c r="U67" s="67" t="s">
        <v>53</v>
      </c>
      <c r="V67" s="67" t="s">
        <v>55</v>
      </c>
      <c r="W67" s="67" t="s">
        <v>57</v>
      </c>
      <c r="X67" s="67" t="s">
        <v>59</v>
      </c>
      <c r="Y67" s="68" t="s">
        <v>61</v>
      </c>
      <c r="Z67" s="72" t="s">
        <v>176</v>
      </c>
      <c r="AA67" s="67" t="s">
        <v>175</v>
      </c>
      <c r="AB67" s="68" t="s">
        <v>177</v>
      </c>
      <c r="AC67" s="251" t="s">
        <v>354</v>
      </c>
      <c r="AD67" s="67" t="s">
        <v>163</v>
      </c>
      <c r="AE67" s="67" t="s">
        <v>164</v>
      </c>
      <c r="AF67" s="68" t="s">
        <v>165</v>
      </c>
      <c r="AG67" s="251" t="s">
        <v>174</v>
      </c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</row>
    <row r="68" spans="1:52" x14ac:dyDescent="0.25">
      <c r="A68" s="305">
        <v>1</v>
      </c>
      <c r="B68" s="29" t="s">
        <v>109</v>
      </c>
      <c r="C68" s="58"/>
      <c r="D68" s="30" t="str">
        <f>IF($C68="","",VLOOKUP($C68,AMAPit!$A$10:$BJ$122,D$4-2,FALSE))</f>
        <v/>
      </c>
      <c r="E68" s="30" t="str">
        <f>IF($C68="","",VLOOKUP($C68,AMAPit!$A$10:$BJ$125,E$4-1,FALSE))</f>
        <v/>
      </c>
      <c r="F68" s="345" t="str">
        <f t="shared" ref="F68:F77" si="123">IF($C68="","",IF(AVERAGE(K68:M68)&gt;7,1,0))</f>
        <v/>
      </c>
      <c r="G68" s="339" t="str">
        <f t="shared" ref="G68:G77" si="124">IF($C68="","",IF(AVERAGE(K68:M68)&gt;6.5,1,0))</f>
        <v/>
      </c>
      <c r="H68" s="340" t="str">
        <f t="shared" ref="H68:H77" si="125">IF($C68="","",IF(AVERAGE(K68:M68)&gt;6,1,0))</f>
        <v/>
      </c>
      <c r="I68" s="92" t="str">
        <f>IF($C68="","",VLOOKUP($C68,AMAPit!$A$10:$BJ$122,I$54,FALSE))</f>
        <v/>
      </c>
      <c r="J68" s="339" t="str">
        <f t="shared" ref="J68:J77" si="126">IF($C68="","",COUNT(N68:Y68))</f>
        <v/>
      </c>
      <c r="K68" s="345" t="str">
        <f>IF($C68="","",VLOOKUP($C68,AMAPit!$A$10:$BJ$122,K$54,FALSE))</f>
        <v/>
      </c>
      <c r="L68" s="339" t="str">
        <f>IF($C68="","",VLOOKUP($C68,AMAPit!$A$10:$BJ$122,L$54,FALSE))</f>
        <v/>
      </c>
      <c r="M68" s="340" t="str">
        <f>IF($C68="","",VLOOKUP($C68,AMAPit!$A$10:$BJ$122,M$54,FALSE))</f>
        <v/>
      </c>
      <c r="N68" s="339" t="str">
        <f>IF($C68="","",VLOOKUP($C68,AMAPit!$A$10:$BJ$122,N$54,FALSE))</f>
        <v/>
      </c>
      <c r="O68" s="339" t="str">
        <f>IF($C68="","",VLOOKUP($C68,AMAPit!$A$10:$BJ$122,O$54,FALSE))</f>
        <v/>
      </c>
      <c r="P68" s="339" t="str">
        <f>IF($C68="","",VLOOKUP($C68,AMAPit!$A$10:$BJ$122,P$54,FALSE))</f>
        <v/>
      </c>
      <c r="Q68" s="339" t="str">
        <f>IF($C68="","",VLOOKUP($C68,AMAPit!$A$10:$BJ$122,Q$54,FALSE))</f>
        <v/>
      </c>
      <c r="R68" s="339" t="str">
        <f>IF($C68="","",VLOOKUP($C68,AMAPit!$A$10:$BJ$122,R$54,FALSE))</f>
        <v/>
      </c>
      <c r="S68" s="339" t="str">
        <f>IF($C68="","",VLOOKUP($C68,AMAPit!$A$10:$BJ$122,S$54,FALSE))</f>
        <v/>
      </c>
      <c r="T68" s="339" t="str">
        <f>IF($C68="","",VLOOKUP($C68,AMAPit!$A$10:$BJ$122,T$54,FALSE))</f>
        <v/>
      </c>
      <c r="U68" s="339" t="str">
        <f>IF($C68="","",VLOOKUP($C68,AMAPit!$A$10:$BJ$122,U$54,FALSE))</f>
        <v/>
      </c>
      <c r="V68" s="339" t="str">
        <f>IF($C68="","",VLOOKUP($C68,AMAPit!$A$10:$BJ$122,V$54,FALSE))</f>
        <v/>
      </c>
      <c r="W68" s="339" t="str">
        <f>IF($C68="","",VLOOKUP($C68,AMAPit!$A$10:$BJ$122,W$54,FALSE))</f>
        <v/>
      </c>
      <c r="X68" s="339" t="str">
        <f>IF($C68="","",VLOOKUP($C68,AMAPit!$A$10:$BJ$122,X$54,FALSE))</f>
        <v/>
      </c>
      <c r="Y68" s="340" t="str">
        <f>IF($C68="","",VLOOKUP($C68,AMAPit!$A$10:$BJ$122,Y$54,FALSE))</f>
        <v/>
      </c>
      <c r="Z68" s="345" t="str">
        <f>IF($C68="","",VLOOKUP($C68,AMAPit!$A$10:$BJ$122,Z$54,FALSE))</f>
        <v/>
      </c>
      <c r="AA68" s="339" t="str">
        <f>IF($C68="","",VLOOKUP($C68,AMAPit!$A$10:$BJ$122,AA$54,FALSE))</f>
        <v/>
      </c>
      <c r="AB68" s="73" t="str">
        <f>IF($C68="","",VLOOKUP($C68,AMAPit!$A$10:$BJ$122,AB$54,FALSE))</f>
        <v/>
      </c>
      <c r="AC68" s="252" t="str">
        <f>IF($C68="","",VLOOKUP($C68,AMAPit!$A$10:$BJ$122,AC$54,FALSE))</f>
        <v/>
      </c>
      <c r="AD68" s="339" t="str">
        <f>IF($C68="","",VLOOKUP($C68,AMAPit!$A$10:$BJ$122,AD$54,FALSE))</f>
        <v/>
      </c>
      <c r="AE68" s="339" t="str">
        <f>IF($C68="","",VLOOKUP($C68,AMAPit!$A$10:$BJ$122,AE$54,FALSE))</f>
        <v/>
      </c>
      <c r="AF68" s="340" t="str">
        <f>IF($C68="","",VLOOKUP($C68,AMAPit!$A$10:$BJ$122,AF$54,FALSE))</f>
        <v/>
      </c>
      <c r="AG68" s="252" t="str">
        <f>IF($C68="","",VLOOKUP($C68,AMAPit!$A$10:$BJ$122,AG$54,FALSE))</f>
        <v/>
      </c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</row>
    <row r="69" spans="1:52" x14ac:dyDescent="0.25">
      <c r="A69" s="305">
        <v>2</v>
      </c>
      <c r="B69" s="29" t="s">
        <v>110</v>
      </c>
      <c r="C69" s="58"/>
      <c r="D69" s="30" t="str">
        <f>IF($C69="","",VLOOKUP($C69,AMAPit!$A$10:$BJ$122,D$4-2,FALSE))</f>
        <v/>
      </c>
      <c r="E69" s="30" t="str">
        <f>IF($C69="","",VLOOKUP($C69,AMAPit!$A$10:$BJ$125,E$4-1,FALSE))</f>
        <v/>
      </c>
      <c r="F69" s="345" t="str">
        <f t="shared" si="123"/>
        <v/>
      </c>
      <c r="G69" s="339" t="str">
        <f t="shared" si="124"/>
        <v/>
      </c>
      <c r="H69" s="340" t="str">
        <f t="shared" si="125"/>
        <v/>
      </c>
      <c r="I69" s="92" t="str">
        <f>IF($C69="","",VLOOKUP($C69,AMAPit!$A$10:$BJ$122,I$54,FALSE))</f>
        <v/>
      </c>
      <c r="J69" s="339" t="str">
        <f t="shared" si="126"/>
        <v/>
      </c>
      <c r="K69" s="345" t="str">
        <f>IF($C69="","",VLOOKUP($C69,AMAPit!$A$10:$BJ$122,K$54,FALSE))</f>
        <v/>
      </c>
      <c r="L69" s="339" t="str">
        <f>IF($C69="","",VLOOKUP($C69,AMAPit!$A$10:$BJ$122,L$54,FALSE))</f>
        <v/>
      </c>
      <c r="M69" s="340" t="str">
        <f>IF($C69="","",VLOOKUP($C69,AMAPit!$A$10:$BJ$122,M$54,FALSE))</f>
        <v/>
      </c>
      <c r="N69" s="339" t="str">
        <f>IF($C69="","",VLOOKUP($C69,AMAPit!$A$10:$BJ$122,N$54,FALSE))</f>
        <v/>
      </c>
      <c r="O69" s="339" t="str">
        <f>IF($C69="","",VLOOKUP($C69,AMAPit!$A$10:$BJ$122,O$54,FALSE))</f>
        <v/>
      </c>
      <c r="P69" s="339" t="str">
        <f>IF($C69="","",VLOOKUP($C69,AMAPit!$A$10:$BJ$122,P$54,FALSE))</f>
        <v/>
      </c>
      <c r="Q69" s="339" t="str">
        <f>IF($C69="","",VLOOKUP($C69,AMAPit!$A$10:$BJ$122,Q$54,FALSE))</f>
        <v/>
      </c>
      <c r="R69" s="339" t="str">
        <f>IF($C69="","",VLOOKUP($C69,AMAPit!$A$10:$BJ$122,R$54,FALSE))</f>
        <v/>
      </c>
      <c r="S69" s="339" t="str">
        <f>IF($C69="","",VLOOKUP($C69,AMAPit!$A$10:$BJ$122,S$54,FALSE))</f>
        <v/>
      </c>
      <c r="T69" s="339" t="str">
        <f>IF($C69="","",VLOOKUP($C69,AMAPit!$A$10:$BJ$122,T$54,FALSE))</f>
        <v/>
      </c>
      <c r="U69" s="339" t="str">
        <f>IF($C69="","",VLOOKUP($C69,AMAPit!$A$10:$BJ$122,U$54,FALSE))</f>
        <v/>
      </c>
      <c r="V69" s="339" t="str">
        <f>IF($C69="","",VLOOKUP($C69,AMAPit!$A$10:$BJ$122,V$54,FALSE))</f>
        <v/>
      </c>
      <c r="W69" s="339" t="str">
        <f>IF($C69="","",VLOOKUP($C69,AMAPit!$A$10:$BJ$122,W$54,FALSE))</f>
        <v/>
      </c>
      <c r="X69" s="339" t="str">
        <f>IF($C69="","",VLOOKUP($C69,AMAPit!$A$10:$BJ$122,X$54,FALSE))</f>
        <v/>
      </c>
      <c r="Y69" s="340" t="str">
        <f>IF($C69="","",VLOOKUP($C69,AMAPit!$A$10:$BJ$122,Y$54,FALSE))</f>
        <v/>
      </c>
      <c r="Z69" s="345" t="str">
        <f>IF($C69="","",VLOOKUP($C69,AMAPit!$A$10:$BJ$122,Z$54,FALSE))</f>
        <v/>
      </c>
      <c r="AA69" s="339" t="str">
        <f>IF($C69="","",VLOOKUP($C69,AMAPit!$A$10:$BJ$122,AA$54,FALSE))</f>
        <v/>
      </c>
      <c r="AB69" s="73" t="str">
        <f>IF($C69="","",VLOOKUP($C69,AMAPit!$A$10:$BJ$122,AB$54,FALSE))</f>
        <v/>
      </c>
      <c r="AC69" s="60" t="str">
        <f>IF($C69="","",VLOOKUP($C69,AMAPit!$A$10:$BJ$122,AC$54,FALSE))</f>
        <v/>
      </c>
      <c r="AD69" s="339" t="str">
        <f>IF($C69="","",VLOOKUP($C69,AMAPit!$A$10:$BJ$122,AD$54,FALSE))</f>
        <v/>
      </c>
      <c r="AE69" s="339" t="str">
        <f>IF($C69="","",VLOOKUP($C69,AMAPit!$A$10:$BJ$122,AE$54,FALSE))</f>
        <v/>
      </c>
      <c r="AF69" s="340" t="str">
        <f>IF($C69="","",VLOOKUP($C69,AMAPit!$A$10:$BJ$122,AF$54,FALSE))</f>
        <v/>
      </c>
      <c r="AG69" s="60" t="str">
        <f>IF($C69="","",VLOOKUP($C69,AMAPit!$A$10:$BJ$122,AG$54,FALSE))</f>
        <v/>
      </c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</row>
    <row r="70" spans="1:52" x14ac:dyDescent="0.25">
      <c r="A70" s="305">
        <v>3</v>
      </c>
      <c r="B70" s="29" t="s">
        <v>11</v>
      </c>
      <c r="C70" s="58"/>
      <c r="D70" s="30" t="str">
        <f>IF($C70="","",VLOOKUP($C70,AMAPit!$A$10:$BJ$122,D$4-2,FALSE))</f>
        <v/>
      </c>
      <c r="E70" s="30" t="str">
        <f>IF($C70="","",VLOOKUP($C70,AMAPit!$A$10:$BJ$125,E$4-1,FALSE))</f>
        <v/>
      </c>
      <c r="F70" s="345" t="str">
        <f t="shared" si="123"/>
        <v/>
      </c>
      <c r="G70" s="339" t="str">
        <f t="shared" si="124"/>
        <v/>
      </c>
      <c r="H70" s="340" t="str">
        <f t="shared" si="125"/>
        <v/>
      </c>
      <c r="I70" s="92" t="str">
        <f>IF($C70="","",VLOOKUP($C70,AMAPit!$A$10:$BJ$122,I$54,FALSE))</f>
        <v/>
      </c>
      <c r="J70" s="339" t="str">
        <f t="shared" si="126"/>
        <v/>
      </c>
      <c r="K70" s="345" t="str">
        <f>IF($C70="","",VLOOKUP($C70,AMAPit!$A$10:$BJ$122,K$54,FALSE))</f>
        <v/>
      </c>
      <c r="L70" s="339" t="str">
        <f>IF($C70="","",VLOOKUP($C70,AMAPit!$A$10:$BJ$122,L$54,FALSE))</f>
        <v/>
      </c>
      <c r="M70" s="340" t="str">
        <f>IF($C70="","",VLOOKUP($C70,AMAPit!$A$10:$BJ$122,M$54,FALSE))</f>
        <v/>
      </c>
      <c r="N70" s="339" t="str">
        <f>IF($C70="","",VLOOKUP($C70,AMAPit!$A$10:$BJ$122,N$54,FALSE))</f>
        <v/>
      </c>
      <c r="O70" s="339" t="str">
        <f>IF($C70="","",VLOOKUP($C70,AMAPit!$A$10:$BJ$122,O$54,FALSE))</f>
        <v/>
      </c>
      <c r="P70" s="339" t="str">
        <f>IF($C70="","",VLOOKUP($C70,AMAPit!$A$10:$BJ$122,P$54,FALSE))</f>
        <v/>
      </c>
      <c r="Q70" s="339" t="str">
        <f>IF($C70="","",VLOOKUP($C70,AMAPit!$A$10:$BJ$122,Q$54,FALSE))</f>
        <v/>
      </c>
      <c r="R70" s="339" t="str">
        <f>IF($C70="","",VLOOKUP($C70,AMAPit!$A$10:$BJ$122,R$54,FALSE))</f>
        <v/>
      </c>
      <c r="S70" s="339" t="str">
        <f>IF($C70="","",VLOOKUP($C70,AMAPit!$A$10:$BJ$122,S$54,FALSE))</f>
        <v/>
      </c>
      <c r="T70" s="339" t="str">
        <f>IF($C70="","",VLOOKUP($C70,AMAPit!$A$10:$BJ$122,T$54,FALSE))</f>
        <v/>
      </c>
      <c r="U70" s="339" t="str">
        <f>IF($C70="","",VLOOKUP($C70,AMAPit!$A$10:$BJ$122,U$54,FALSE))</f>
        <v/>
      </c>
      <c r="V70" s="339" t="str">
        <f>IF($C70="","",VLOOKUP($C70,AMAPit!$A$10:$BJ$122,V$54,FALSE))</f>
        <v/>
      </c>
      <c r="W70" s="339" t="str">
        <f>IF($C70="","",VLOOKUP($C70,AMAPit!$A$10:$BJ$122,W$54,FALSE))</f>
        <v/>
      </c>
      <c r="X70" s="339" t="str">
        <f>IF($C70="","",VLOOKUP($C70,AMAPit!$A$10:$BJ$122,X$54,FALSE))</f>
        <v/>
      </c>
      <c r="Y70" s="340" t="str">
        <f>IF($C70="","",VLOOKUP($C70,AMAPit!$A$10:$BJ$122,Y$54,FALSE))</f>
        <v/>
      </c>
      <c r="Z70" s="345" t="str">
        <f>IF($C70="","",VLOOKUP($C70,AMAPit!$A$10:$BJ$122,Z$54,FALSE))</f>
        <v/>
      </c>
      <c r="AA70" s="339" t="str">
        <f>IF($C70="","",VLOOKUP($C70,AMAPit!$A$10:$BJ$122,AA$54,FALSE))</f>
        <v/>
      </c>
      <c r="AB70" s="73" t="str">
        <f>IF($C70="","",VLOOKUP($C70,AMAPit!$A$10:$BJ$122,AB$54,FALSE))</f>
        <v/>
      </c>
      <c r="AC70" s="60" t="str">
        <f>IF($C70="","",VLOOKUP($C70,AMAPit!$A$10:$BJ$122,AC$54,FALSE))</f>
        <v/>
      </c>
      <c r="AD70" s="339" t="str">
        <f>IF($C70="","",VLOOKUP($C70,AMAPit!$A$10:$BJ$122,AD$54,FALSE))</f>
        <v/>
      </c>
      <c r="AE70" s="339" t="str">
        <f>IF($C70="","",VLOOKUP($C70,AMAPit!$A$10:$BJ$122,AE$54,FALSE))</f>
        <v/>
      </c>
      <c r="AF70" s="340" t="str">
        <f>IF($C70="","",VLOOKUP($C70,AMAPit!$A$10:$BJ$122,AF$54,FALSE))</f>
        <v/>
      </c>
      <c r="AG70" s="60" t="str">
        <f>IF($C70="","",VLOOKUP($C70,AMAPit!$A$10:$BJ$122,AG$54,FALSE))</f>
        <v/>
      </c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</row>
    <row r="71" spans="1:52" x14ac:dyDescent="0.25">
      <c r="A71" s="305">
        <v>4</v>
      </c>
      <c r="B71" s="29" t="s">
        <v>11</v>
      </c>
      <c r="C71" s="58"/>
      <c r="D71" s="30" t="str">
        <f>IF($C71="","",VLOOKUP($C71,AMAPit!$A$10:$BJ$122,D$4-2,FALSE))</f>
        <v/>
      </c>
      <c r="E71" s="30" t="str">
        <f>IF($C71="","",VLOOKUP($C71,AMAPit!$A$10:$BJ$125,E$4-1,FALSE))</f>
        <v/>
      </c>
      <c r="F71" s="345" t="str">
        <f t="shared" si="123"/>
        <v/>
      </c>
      <c r="G71" s="339" t="str">
        <f t="shared" si="124"/>
        <v/>
      </c>
      <c r="H71" s="340" t="str">
        <f t="shared" si="125"/>
        <v/>
      </c>
      <c r="I71" s="92" t="str">
        <f>IF($C71="","",VLOOKUP($C71,AMAPit!$A$10:$BJ$122,I$54,FALSE))</f>
        <v/>
      </c>
      <c r="J71" s="339" t="str">
        <f t="shared" si="126"/>
        <v/>
      </c>
      <c r="K71" s="345" t="str">
        <f>IF($C71="","",VLOOKUP($C71,AMAPit!$A$10:$BJ$122,K$54,FALSE))</f>
        <v/>
      </c>
      <c r="L71" s="339" t="str">
        <f>IF($C71="","",VLOOKUP($C71,AMAPit!$A$10:$BJ$122,L$54,FALSE))</f>
        <v/>
      </c>
      <c r="M71" s="340" t="str">
        <f>IF($C71="","",VLOOKUP($C71,AMAPit!$A$10:$BJ$122,M$54,FALSE))</f>
        <v/>
      </c>
      <c r="N71" s="339" t="str">
        <f>IF($C71="","",VLOOKUP($C71,AMAPit!$A$10:$BJ$122,N$54,FALSE))</f>
        <v/>
      </c>
      <c r="O71" s="339" t="str">
        <f>IF($C71="","",VLOOKUP($C71,AMAPit!$A$10:$BJ$122,O$54,FALSE))</f>
        <v/>
      </c>
      <c r="P71" s="339" t="str">
        <f>IF($C71="","",VLOOKUP($C71,AMAPit!$A$10:$BJ$122,P$54,FALSE))</f>
        <v/>
      </c>
      <c r="Q71" s="339" t="str">
        <f>IF($C71="","",VLOOKUP($C71,AMAPit!$A$10:$BJ$122,Q$54,FALSE))</f>
        <v/>
      </c>
      <c r="R71" s="339" t="str">
        <f>IF($C71="","",VLOOKUP($C71,AMAPit!$A$10:$BJ$122,R$54,FALSE))</f>
        <v/>
      </c>
      <c r="S71" s="339" t="str">
        <f>IF($C71="","",VLOOKUP($C71,AMAPit!$A$10:$BJ$122,S$54,FALSE))</f>
        <v/>
      </c>
      <c r="T71" s="339" t="str">
        <f>IF($C71="","",VLOOKUP($C71,AMAPit!$A$10:$BJ$122,T$54,FALSE))</f>
        <v/>
      </c>
      <c r="U71" s="339" t="str">
        <f>IF($C71="","",VLOOKUP($C71,AMAPit!$A$10:$BJ$122,U$54,FALSE))</f>
        <v/>
      </c>
      <c r="V71" s="339" t="str">
        <f>IF($C71="","",VLOOKUP($C71,AMAPit!$A$10:$BJ$122,V$54,FALSE))</f>
        <v/>
      </c>
      <c r="W71" s="339" t="str">
        <f>IF($C71="","",VLOOKUP($C71,AMAPit!$A$10:$BJ$122,W$54,FALSE))</f>
        <v/>
      </c>
      <c r="X71" s="339" t="str">
        <f>IF($C71="","",VLOOKUP($C71,AMAPit!$A$10:$BJ$122,X$54,FALSE))</f>
        <v/>
      </c>
      <c r="Y71" s="340" t="str">
        <f>IF($C71="","",VLOOKUP($C71,AMAPit!$A$10:$BJ$122,Y$54,FALSE))</f>
        <v/>
      </c>
      <c r="Z71" s="345" t="str">
        <f>IF($C71="","",VLOOKUP($C71,AMAPit!$A$10:$BJ$122,Z$54,FALSE))</f>
        <v/>
      </c>
      <c r="AA71" s="339" t="str">
        <f>IF($C71="","",VLOOKUP($C71,AMAPit!$A$10:$BJ$122,AA$54,FALSE))</f>
        <v/>
      </c>
      <c r="AB71" s="73" t="str">
        <f>IF($C71="","",VLOOKUP($C71,AMAPit!$A$10:$BJ$122,AB$54,FALSE))</f>
        <v/>
      </c>
      <c r="AC71" s="60" t="str">
        <f>IF($C71="","",VLOOKUP($C71,AMAPit!$A$10:$BJ$122,AC$54,FALSE))</f>
        <v/>
      </c>
      <c r="AD71" s="339" t="str">
        <f>IF($C71="","",VLOOKUP($C71,AMAPit!$A$10:$BJ$122,AD$54,FALSE))</f>
        <v/>
      </c>
      <c r="AE71" s="339" t="str">
        <f>IF($C71="","",VLOOKUP($C71,AMAPit!$A$10:$BJ$122,AE$54,FALSE))</f>
        <v/>
      </c>
      <c r="AF71" s="340" t="str">
        <f>IF($C71="","",VLOOKUP($C71,AMAPit!$A$10:$BJ$122,AF$54,FALSE))</f>
        <v/>
      </c>
      <c r="AG71" s="60" t="str">
        <f>IF($C71="","",VLOOKUP($C71,AMAPit!$A$10:$BJ$122,AG$54,FALSE))</f>
        <v/>
      </c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</row>
    <row r="72" spans="1:52" x14ac:dyDescent="0.25">
      <c r="A72" s="305">
        <v>5</v>
      </c>
      <c r="B72" s="29" t="s">
        <v>11</v>
      </c>
      <c r="C72" s="58"/>
      <c r="D72" s="30" t="str">
        <f>IF($C72="","",VLOOKUP($C72,AMAPit!$A$10:$BJ$122,D$4-2,FALSE))</f>
        <v/>
      </c>
      <c r="E72" s="30" t="str">
        <f>IF($C72="","",VLOOKUP($C72,AMAPit!$A$10:$BJ$125,E$4-1,FALSE))</f>
        <v/>
      </c>
      <c r="F72" s="345" t="str">
        <f t="shared" si="123"/>
        <v/>
      </c>
      <c r="G72" s="339" t="str">
        <f t="shared" si="124"/>
        <v/>
      </c>
      <c r="H72" s="340" t="str">
        <f t="shared" si="125"/>
        <v/>
      </c>
      <c r="I72" s="92" t="str">
        <f>IF($C72="","",VLOOKUP($C72,AMAPit!$A$10:$BJ$122,I$54,FALSE))</f>
        <v/>
      </c>
      <c r="J72" s="339" t="str">
        <f t="shared" si="126"/>
        <v/>
      </c>
      <c r="K72" s="345" t="str">
        <f>IF($C72="","",VLOOKUP($C72,AMAPit!$A$10:$BJ$122,K$54,FALSE))</f>
        <v/>
      </c>
      <c r="L72" s="339" t="str">
        <f>IF($C72="","",VLOOKUP($C72,AMAPit!$A$10:$BJ$122,L$54,FALSE))</f>
        <v/>
      </c>
      <c r="M72" s="340" t="str">
        <f>IF($C72="","",VLOOKUP($C72,AMAPit!$A$10:$BJ$122,M$54,FALSE))</f>
        <v/>
      </c>
      <c r="N72" s="339" t="str">
        <f>IF($C72="","",VLOOKUP($C72,AMAPit!$A$10:$BJ$122,N$54,FALSE))</f>
        <v/>
      </c>
      <c r="O72" s="339" t="str">
        <f>IF($C72="","",VLOOKUP($C72,AMAPit!$A$10:$BJ$122,O$54,FALSE))</f>
        <v/>
      </c>
      <c r="P72" s="339" t="str">
        <f>IF($C72="","",VLOOKUP($C72,AMAPit!$A$10:$BJ$122,P$54,FALSE))</f>
        <v/>
      </c>
      <c r="Q72" s="339" t="str">
        <f>IF($C72="","",VLOOKUP($C72,AMAPit!$A$10:$BJ$122,Q$54,FALSE))</f>
        <v/>
      </c>
      <c r="R72" s="339" t="str">
        <f>IF($C72="","",VLOOKUP($C72,AMAPit!$A$10:$BJ$122,R$54,FALSE))</f>
        <v/>
      </c>
      <c r="S72" s="339" t="str">
        <f>IF($C72="","",VLOOKUP($C72,AMAPit!$A$10:$BJ$122,S$54,FALSE))</f>
        <v/>
      </c>
      <c r="T72" s="339" t="str">
        <f>IF($C72="","",VLOOKUP($C72,AMAPit!$A$10:$BJ$122,T$54,FALSE))</f>
        <v/>
      </c>
      <c r="U72" s="339" t="str">
        <f>IF($C72="","",VLOOKUP($C72,AMAPit!$A$10:$BJ$122,U$54,FALSE))</f>
        <v/>
      </c>
      <c r="V72" s="339" t="str">
        <f>IF($C72="","",VLOOKUP($C72,AMAPit!$A$10:$BJ$122,V$54,FALSE))</f>
        <v/>
      </c>
      <c r="W72" s="339" t="str">
        <f>IF($C72="","",VLOOKUP($C72,AMAPit!$A$10:$BJ$122,W$54,FALSE))</f>
        <v/>
      </c>
      <c r="X72" s="339" t="str">
        <f>IF($C72="","",VLOOKUP($C72,AMAPit!$A$10:$BJ$122,X$54,FALSE))</f>
        <v/>
      </c>
      <c r="Y72" s="340" t="str">
        <f>IF($C72="","",VLOOKUP($C72,AMAPit!$A$10:$BJ$122,Y$54,FALSE))</f>
        <v/>
      </c>
      <c r="Z72" s="345" t="str">
        <f>IF($C72="","",VLOOKUP($C72,AMAPit!$A$10:$BJ$122,Z$54,FALSE))</f>
        <v/>
      </c>
      <c r="AA72" s="339" t="str">
        <f>IF($C72="","",VLOOKUP($C72,AMAPit!$A$10:$BJ$122,AA$54,FALSE))</f>
        <v/>
      </c>
      <c r="AB72" s="73" t="str">
        <f>IF($C72="","",VLOOKUP($C72,AMAPit!$A$10:$BJ$122,AB$54,FALSE))</f>
        <v/>
      </c>
      <c r="AC72" s="60" t="str">
        <f>IF($C72="","",VLOOKUP($C72,AMAPit!$A$10:$BJ$122,AC$54,FALSE))</f>
        <v/>
      </c>
      <c r="AD72" s="339" t="str">
        <f>IF($C72="","",VLOOKUP($C72,AMAPit!$A$10:$BJ$122,AD$54,FALSE))</f>
        <v/>
      </c>
      <c r="AE72" s="339" t="str">
        <f>IF($C72="","",VLOOKUP($C72,AMAPit!$A$10:$BJ$122,AE$54,FALSE))</f>
        <v/>
      </c>
      <c r="AF72" s="340" t="str">
        <f>IF($C72="","",VLOOKUP($C72,AMAPit!$A$10:$BJ$122,AF$54,FALSE))</f>
        <v/>
      </c>
      <c r="AG72" s="60" t="str">
        <f>IF($C72="","",VLOOKUP($C72,AMAPit!$A$10:$BJ$122,AG$54,FALSE))</f>
        <v/>
      </c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</row>
    <row r="73" spans="1:52" x14ac:dyDescent="0.25">
      <c r="A73" s="305">
        <v>6</v>
      </c>
      <c r="B73" s="29" t="s">
        <v>11</v>
      </c>
      <c r="C73" s="58"/>
      <c r="D73" s="30" t="str">
        <f>IF($C73="","",VLOOKUP($C73,AMAPit!$A$10:$BJ$122,D$4-2,FALSE))</f>
        <v/>
      </c>
      <c r="E73" s="30" t="str">
        <f>IF($C73="","",VLOOKUP($C73,AMAPit!$A$10:$BJ$125,E$4-1,FALSE))</f>
        <v/>
      </c>
      <c r="F73" s="345" t="str">
        <f t="shared" si="123"/>
        <v/>
      </c>
      <c r="G73" s="339" t="str">
        <f t="shared" si="124"/>
        <v/>
      </c>
      <c r="H73" s="340" t="str">
        <f t="shared" si="125"/>
        <v/>
      </c>
      <c r="I73" s="92" t="str">
        <f>IF($C73="","",VLOOKUP($C73,AMAPit!$A$10:$BJ$122,I$54,FALSE))</f>
        <v/>
      </c>
      <c r="J73" s="339" t="str">
        <f t="shared" si="126"/>
        <v/>
      </c>
      <c r="K73" s="345" t="str">
        <f>IF($C73="","",VLOOKUP($C73,AMAPit!$A$10:$BJ$122,K$54,FALSE))</f>
        <v/>
      </c>
      <c r="L73" s="339" t="str">
        <f>IF($C73="","",VLOOKUP($C73,AMAPit!$A$10:$BJ$122,L$54,FALSE))</f>
        <v/>
      </c>
      <c r="M73" s="340" t="str">
        <f>IF($C73="","",VLOOKUP($C73,AMAPit!$A$10:$BJ$122,M$54,FALSE))</f>
        <v/>
      </c>
      <c r="N73" s="339" t="str">
        <f>IF($C73="","",VLOOKUP($C73,AMAPit!$A$10:$BJ$122,N$54,FALSE))</f>
        <v/>
      </c>
      <c r="O73" s="339" t="str">
        <f>IF($C73="","",VLOOKUP($C73,AMAPit!$A$10:$BJ$122,O$54,FALSE))</f>
        <v/>
      </c>
      <c r="P73" s="339" t="str">
        <f>IF($C73="","",VLOOKUP($C73,AMAPit!$A$10:$BJ$122,P$54,FALSE))</f>
        <v/>
      </c>
      <c r="Q73" s="339" t="str">
        <f>IF($C73="","",VLOOKUP($C73,AMAPit!$A$10:$BJ$122,Q$54,FALSE))</f>
        <v/>
      </c>
      <c r="R73" s="339" t="str">
        <f>IF($C73="","",VLOOKUP($C73,AMAPit!$A$10:$BJ$122,R$54,FALSE))</f>
        <v/>
      </c>
      <c r="S73" s="339" t="str">
        <f>IF($C73="","",VLOOKUP($C73,AMAPit!$A$10:$BJ$122,S$54,FALSE))</f>
        <v/>
      </c>
      <c r="T73" s="339" t="str">
        <f>IF($C73="","",VLOOKUP($C73,AMAPit!$A$10:$BJ$122,T$54,FALSE))</f>
        <v/>
      </c>
      <c r="U73" s="339" t="str">
        <f>IF($C73="","",VLOOKUP($C73,AMAPit!$A$10:$BJ$122,U$54,FALSE))</f>
        <v/>
      </c>
      <c r="V73" s="339" t="str">
        <f>IF($C73="","",VLOOKUP($C73,AMAPit!$A$10:$BJ$122,V$54,FALSE))</f>
        <v/>
      </c>
      <c r="W73" s="339" t="str">
        <f>IF($C73="","",VLOOKUP($C73,AMAPit!$A$10:$BJ$122,W$54,FALSE))</f>
        <v/>
      </c>
      <c r="X73" s="339" t="str">
        <f>IF($C73="","",VLOOKUP($C73,AMAPit!$A$10:$BJ$122,X$54,FALSE))</f>
        <v/>
      </c>
      <c r="Y73" s="340" t="str">
        <f>IF($C73="","",VLOOKUP($C73,AMAPit!$A$10:$BJ$122,Y$54,FALSE))</f>
        <v/>
      </c>
      <c r="Z73" s="345" t="str">
        <f>IF($C73="","",VLOOKUP($C73,AMAPit!$A$10:$BJ$122,Z$54,FALSE))</f>
        <v/>
      </c>
      <c r="AA73" s="339" t="str">
        <f>IF($C73="","",VLOOKUP($C73,AMAPit!$A$10:$BJ$122,AA$54,FALSE))</f>
        <v/>
      </c>
      <c r="AB73" s="73" t="str">
        <f>IF($C73="","",VLOOKUP($C73,AMAPit!$A$10:$BJ$122,AB$54,FALSE))</f>
        <v/>
      </c>
      <c r="AC73" s="60" t="str">
        <f>IF($C73="","",VLOOKUP($C73,AMAPit!$A$10:$BJ$122,AC$54,FALSE))</f>
        <v/>
      </c>
      <c r="AD73" s="339" t="str">
        <f>IF($C73="","",VLOOKUP($C73,AMAPit!$A$10:$BJ$122,AD$54,FALSE))</f>
        <v/>
      </c>
      <c r="AE73" s="339" t="str">
        <f>IF($C73="","",VLOOKUP($C73,AMAPit!$A$10:$BJ$122,AE$54,FALSE))</f>
        <v/>
      </c>
      <c r="AF73" s="340" t="str">
        <f>IF($C73="","",VLOOKUP($C73,AMAPit!$A$10:$BJ$122,AF$54,FALSE))</f>
        <v/>
      </c>
      <c r="AG73" s="60" t="str">
        <f>IF($C73="","",VLOOKUP($C73,AMAPit!$A$10:$BJ$122,AG$54,FALSE))</f>
        <v/>
      </c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</row>
    <row r="74" spans="1:52" x14ac:dyDescent="0.25">
      <c r="A74" s="305">
        <v>7</v>
      </c>
      <c r="B74" s="29" t="s">
        <v>11</v>
      </c>
      <c r="C74" s="58"/>
      <c r="D74" s="30" t="str">
        <f>IF($C74="","",VLOOKUP($C74,AMAPit!$A$10:$BJ$122,D$4-2,FALSE))</f>
        <v/>
      </c>
      <c r="E74" s="30" t="str">
        <f>IF($C74="","",VLOOKUP($C74,AMAPit!$A$10:$BJ$125,E$4-1,FALSE))</f>
        <v/>
      </c>
      <c r="F74" s="345" t="str">
        <f t="shared" si="123"/>
        <v/>
      </c>
      <c r="G74" s="339" t="str">
        <f t="shared" si="124"/>
        <v/>
      </c>
      <c r="H74" s="340" t="str">
        <f t="shared" si="125"/>
        <v/>
      </c>
      <c r="I74" s="92" t="str">
        <f>IF($C74="","",VLOOKUP($C74,AMAPit!$A$10:$BJ$122,I$54,FALSE))</f>
        <v/>
      </c>
      <c r="J74" s="339" t="str">
        <f t="shared" si="126"/>
        <v/>
      </c>
      <c r="K74" s="345" t="str">
        <f>IF($C74="","",VLOOKUP($C74,AMAPit!$A$10:$BJ$122,K$54,FALSE))</f>
        <v/>
      </c>
      <c r="L74" s="339" t="str">
        <f>IF($C74="","",VLOOKUP($C74,AMAPit!$A$10:$BJ$122,L$54,FALSE))</f>
        <v/>
      </c>
      <c r="M74" s="340" t="str">
        <f>IF($C74="","",VLOOKUP($C74,AMAPit!$A$10:$BJ$122,M$54,FALSE))</f>
        <v/>
      </c>
      <c r="N74" s="339" t="str">
        <f>IF($C74="","",VLOOKUP($C74,AMAPit!$A$10:$BJ$122,N$54,FALSE))</f>
        <v/>
      </c>
      <c r="O74" s="339" t="str">
        <f>IF($C74="","",VLOOKUP($C74,AMAPit!$A$10:$BJ$122,O$54,FALSE))</f>
        <v/>
      </c>
      <c r="P74" s="339" t="str">
        <f>IF($C74="","",VLOOKUP($C74,AMAPit!$A$10:$BJ$122,P$54,FALSE))</f>
        <v/>
      </c>
      <c r="Q74" s="339" t="str">
        <f>IF($C74="","",VLOOKUP($C74,AMAPit!$A$10:$BJ$122,Q$54,FALSE))</f>
        <v/>
      </c>
      <c r="R74" s="339" t="str">
        <f>IF($C74="","",VLOOKUP($C74,AMAPit!$A$10:$BJ$122,R$54,FALSE))</f>
        <v/>
      </c>
      <c r="S74" s="339" t="str">
        <f>IF($C74="","",VLOOKUP($C74,AMAPit!$A$10:$BJ$122,S$54,FALSE))</f>
        <v/>
      </c>
      <c r="T74" s="339" t="str">
        <f>IF($C74="","",VLOOKUP($C74,AMAPit!$A$10:$BJ$122,T$54,FALSE))</f>
        <v/>
      </c>
      <c r="U74" s="339" t="str">
        <f>IF($C74="","",VLOOKUP($C74,AMAPit!$A$10:$BJ$122,U$54,FALSE))</f>
        <v/>
      </c>
      <c r="V74" s="339" t="str">
        <f>IF($C74="","",VLOOKUP($C74,AMAPit!$A$10:$BJ$122,V$54,FALSE))</f>
        <v/>
      </c>
      <c r="W74" s="339" t="str">
        <f>IF($C74="","",VLOOKUP($C74,AMAPit!$A$10:$BJ$122,W$54,FALSE))</f>
        <v/>
      </c>
      <c r="X74" s="339" t="str">
        <f>IF($C74="","",VLOOKUP($C74,AMAPit!$A$10:$BJ$122,X$54,FALSE))</f>
        <v/>
      </c>
      <c r="Y74" s="340" t="str">
        <f>IF($C74="","",VLOOKUP($C74,AMAPit!$A$10:$BJ$122,Y$54,FALSE))</f>
        <v/>
      </c>
      <c r="Z74" s="345" t="str">
        <f>IF($C74="","",VLOOKUP($C74,AMAPit!$A$10:$BJ$122,Z$54,FALSE))</f>
        <v/>
      </c>
      <c r="AA74" s="339" t="str">
        <f>IF($C74="","",VLOOKUP($C74,AMAPit!$A$10:$BJ$122,AA$54,FALSE))</f>
        <v/>
      </c>
      <c r="AB74" s="73" t="str">
        <f>IF($C74="","",VLOOKUP($C74,AMAPit!$A$10:$BJ$122,AB$54,FALSE))</f>
        <v/>
      </c>
      <c r="AC74" s="60" t="str">
        <f>IF($C74="","",VLOOKUP($C74,AMAPit!$A$10:$BJ$122,AC$54,FALSE))</f>
        <v/>
      </c>
      <c r="AD74" s="339" t="str">
        <f>IF($C74="","",VLOOKUP($C74,AMAPit!$A$10:$BJ$122,AD$54,FALSE))</f>
        <v/>
      </c>
      <c r="AE74" s="339" t="str">
        <f>IF($C74="","",VLOOKUP($C74,AMAPit!$A$10:$BJ$122,AE$54,FALSE))</f>
        <v/>
      </c>
      <c r="AF74" s="340" t="str">
        <f>IF($C74="","",VLOOKUP($C74,AMAPit!$A$10:$BJ$122,AF$54,FALSE))</f>
        <v/>
      </c>
      <c r="AG74" s="60" t="str">
        <f>IF($C74="","",VLOOKUP($C74,AMAPit!$A$10:$BJ$122,AG$54,FALSE))</f>
        <v/>
      </c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</row>
    <row r="75" spans="1:52" x14ac:dyDescent="0.25">
      <c r="A75" s="305">
        <v>8</v>
      </c>
      <c r="B75" s="29" t="s">
        <v>11</v>
      </c>
      <c r="C75" s="58"/>
      <c r="D75" s="30" t="str">
        <f>IF($C75="","",VLOOKUP($C75,AMAPit!$A$10:$BJ$122,D$4-2,FALSE))</f>
        <v/>
      </c>
      <c r="E75" s="30" t="str">
        <f>IF($C75="","",VLOOKUP($C75,AMAPit!$A$10:$BJ$125,E$4-1,FALSE))</f>
        <v/>
      </c>
      <c r="F75" s="345" t="str">
        <f t="shared" si="123"/>
        <v/>
      </c>
      <c r="G75" s="339" t="str">
        <f t="shared" si="124"/>
        <v/>
      </c>
      <c r="H75" s="340" t="str">
        <f t="shared" si="125"/>
        <v/>
      </c>
      <c r="I75" s="92" t="str">
        <f>IF($C75="","",VLOOKUP($C75,AMAPit!$A$10:$BJ$122,I$54,FALSE))</f>
        <v/>
      </c>
      <c r="J75" s="339" t="str">
        <f t="shared" si="126"/>
        <v/>
      </c>
      <c r="K75" s="345" t="str">
        <f>IF($C75="","",VLOOKUP($C75,AMAPit!$A$10:$BJ$122,K$54,FALSE))</f>
        <v/>
      </c>
      <c r="L75" s="339" t="str">
        <f>IF($C75="","",VLOOKUP($C75,AMAPit!$A$10:$BJ$122,L$54,FALSE))</f>
        <v/>
      </c>
      <c r="M75" s="340" t="str">
        <f>IF($C75="","",VLOOKUP($C75,AMAPit!$A$10:$BJ$122,M$54,FALSE))</f>
        <v/>
      </c>
      <c r="N75" s="339" t="str">
        <f>IF($C75="","",VLOOKUP($C75,AMAPit!$A$10:$BJ$122,N$54,FALSE))</f>
        <v/>
      </c>
      <c r="O75" s="339" t="str">
        <f>IF($C75="","",VLOOKUP($C75,AMAPit!$A$10:$BJ$122,O$54,FALSE))</f>
        <v/>
      </c>
      <c r="P75" s="339" t="str">
        <f>IF($C75="","",VLOOKUP($C75,AMAPit!$A$10:$BJ$122,P$54,FALSE))</f>
        <v/>
      </c>
      <c r="Q75" s="339" t="str">
        <f>IF($C75="","",VLOOKUP($C75,AMAPit!$A$10:$BJ$122,Q$54,FALSE))</f>
        <v/>
      </c>
      <c r="R75" s="339" t="str">
        <f>IF($C75="","",VLOOKUP($C75,AMAPit!$A$10:$BJ$122,R$54,FALSE))</f>
        <v/>
      </c>
      <c r="S75" s="339" t="str">
        <f>IF($C75="","",VLOOKUP($C75,AMAPit!$A$10:$BJ$122,S$54,FALSE))</f>
        <v/>
      </c>
      <c r="T75" s="339" t="str">
        <f>IF($C75="","",VLOOKUP($C75,AMAPit!$A$10:$BJ$122,T$54,FALSE))</f>
        <v/>
      </c>
      <c r="U75" s="339" t="str">
        <f>IF($C75="","",VLOOKUP($C75,AMAPit!$A$10:$BJ$122,U$54,FALSE))</f>
        <v/>
      </c>
      <c r="V75" s="339" t="str">
        <f>IF($C75="","",VLOOKUP($C75,AMAPit!$A$10:$BJ$122,V$54,FALSE))</f>
        <v/>
      </c>
      <c r="W75" s="339" t="str">
        <f>IF($C75="","",VLOOKUP($C75,AMAPit!$A$10:$BJ$122,W$54,FALSE))</f>
        <v/>
      </c>
      <c r="X75" s="339" t="str">
        <f>IF($C75="","",VLOOKUP($C75,AMAPit!$A$10:$BJ$122,X$54,FALSE))</f>
        <v/>
      </c>
      <c r="Y75" s="340" t="str">
        <f>IF($C75="","",VLOOKUP($C75,AMAPit!$A$10:$BJ$122,Y$54,FALSE))</f>
        <v/>
      </c>
      <c r="Z75" s="345" t="str">
        <f>IF($C75="","",VLOOKUP($C75,AMAPit!$A$10:$BJ$122,Z$54,FALSE))</f>
        <v/>
      </c>
      <c r="AA75" s="339" t="str">
        <f>IF($C75="","",VLOOKUP($C75,AMAPit!$A$10:$BJ$122,AA$54,FALSE))</f>
        <v/>
      </c>
      <c r="AB75" s="73" t="str">
        <f>IF($C75="","",VLOOKUP($C75,AMAPit!$A$10:$BJ$122,AB$54,FALSE))</f>
        <v/>
      </c>
      <c r="AC75" s="60" t="str">
        <f>IF($C75="","",VLOOKUP($C75,AMAPit!$A$10:$BJ$122,AC$54,FALSE))</f>
        <v/>
      </c>
      <c r="AD75" s="339" t="str">
        <f>IF($C75="","",VLOOKUP($C75,AMAPit!$A$10:$BJ$122,AD$54,FALSE))</f>
        <v/>
      </c>
      <c r="AE75" s="339" t="str">
        <f>IF($C75="","",VLOOKUP($C75,AMAPit!$A$10:$BJ$122,AE$54,FALSE))</f>
        <v/>
      </c>
      <c r="AF75" s="340" t="str">
        <f>IF($C75="","",VLOOKUP($C75,AMAPit!$A$10:$BJ$122,AF$54,FALSE))</f>
        <v/>
      </c>
      <c r="AG75" s="60" t="str">
        <f>IF($C75="","",VLOOKUP($C75,AMAPit!$A$10:$BJ$122,AG$54,FALSE))</f>
        <v/>
      </c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</row>
    <row r="76" spans="1:52" x14ac:dyDescent="0.25">
      <c r="A76" s="305">
        <v>9</v>
      </c>
      <c r="B76" s="29" t="s">
        <v>11</v>
      </c>
      <c r="C76" s="58"/>
      <c r="D76" s="30" t="str">
        <f>IF($C76="","",VLOOKUP($C76,AMAPit!$A$10:$BJ$122,D$4-2,FALSE))</f>
        <v/>
      </c>
      <c r="E76" s="30" t="str">
        <f>IF($C76="","",VLOOKUP($C76,AMAPit!$A$10:$BJ$125,E$4-1,FALSE))</f>
        <v/>
      </c>
      <c r="F76" s="345" t="str">
        <f t="shared" si="123"/>
        <v/>
      </c>
      <c r="G76" s="339" t="str">
        <f t="shared" si="124"/>
        <v/>
      </c>
      <c r="H76" s="340" t="str">
        <f t="shared" si="125"/>
        <v/>
      </c>
      <c r="I76" s="92" t="str">
        <f>IF($C76="","",VLOOKUP($C76,AMAPit!$A$10:$BJ$122,I$54,FALSE))</f>
        <v/>
      </c>
      <c r="J76" s="339" t="str">
        <f t="shared" si="126"/>
        <v/>
      </c>
      <c r="K76" s="345" t="str">
        <f>IF($C76="","",VLOOKUP($C76,AMAPit!$A$10:$BJ$122,K$54,FALSE))</f>
        <v/>
      </c>
      <c r="L76" s="339" t="str">
        <f>IF($C76="","",VLOOKUP($C76,AMAPit!$A$10:$BJ$122,L$54,FALSE))</f>
        <v/>
      </c>
      <c r="M76" s="340" t="str">
        <f>IF($C76="","",VLOOKUP($C76,AMAPit!$A$10:$BJ$122,M$54,FALSE))</f>
        <v/>
      </c>
      <c r="N76" s="339" t="str">
        <f>IF($C76="","",VLOOKUP($C76,AMAPit!$A$10:$BJ$122,N$54,FALSE))</f>
        <v/>
      </c>
      <c r="O76" s="339" t="str">
        <f>IF($C76="","",VLOOKUP($C76,AMAPit!$A$10:$BJ$122,O$54,FALSE))</f>
        <v/>
      </c>
      <c r="P76" s="339" t="str">
        <f>IF($C76="","",VLOOKUP($C76,AMAPit!$A$10:$BJ$122,P$54,FALSE))</f>
        <v/>
      </c>
      <c r="Q76" s="339" t="str">
        <f>IF($C76="","",VLOOKUP($C76,AMAPit!$A$10:$BJ$122,Q$54,FALSE))</f>
        <v/>
      </c>
      <c r="R76" s="339" t="str">
        <f>IF($C76="","",VLOOKUP($C76,AMAPit!$A$10:$BJ$122,R$54,FALSE))</f>
        <v/>
      </c>
      <c r="S76" s="339" t="str">
        <f>IF($C76="","",VLOOKUP($C76,AMAPit!$A$10:$BJ$122,S$54,FALSE))</f>
        <v/>
      </c>
      <c r="T76" s="339" t="str">
        <f>IF($C76="","",VLOOKUP($C76,AMAPit!$A$10:$BJ$122,T$54,FALSE))</f>
        <v/>
      </c>
      <c r="U76" s="339" t="str">
        <f>IF($C76="","",VLOOKUP($C76,AMAPit!$A$10:$BJ$122,U$54,FALSE))</f>
        <v/>
      </c>
      <c r="V76" s="339" t="str">
        <f>IF($C76="","",VLOOKUP($C76,AMAPit!$A$10:$BJ$122,V$54,FALSE))</f>
        <v/>
      </c>
      <c r="W76" s="339" t="str">
        <f>IF($C76="","",VLOOKUP($C76,AMAPit!$A$10:$BJ$122,W$54,FALSE))</f>
        <v/>
      </c>
      <c r="X76" s="339" t="str">
        <f>IF($C76="","",VLOOKUP($C76,AMAPit!$A$10:$BJ$122,X$54,FALSE))</f>
        <v/>
      </c>
      <c r="Y76" s="340" t="str">
        <f>IF($C76="","",VLOOKUP($C76,AMAPit!$A$10:$BJ$122,Y$54,FALSE))</f>
        <v/>
      </c>
      <c r="Z76" s="345" t="str">
        <f>IF($C76="","",VLOOKUP($C76,AMAPit!$A$10:$BJ$122,Z$54,FALSE))</f>
        <v/>
      </c>
      <c r="AA76" s="339" t="str">
        <f>IF($C76="","",VLOOKUP($C76,AMAPit!$A$10:$BJ$122,AA$54,FALSE))</f>
        <v/>
      </c>
      <c r="AB76" s="73" t="str">
        <f>IF($C76="","",VLOOKUP($C76,AMAPit!$A$10:$BJ$122,AB$54,FALSE))</f>
        <v/>
      </c>
      <c r="AC76" s="60" t="str">
        <f>IF($C76="","",VLOOKUP($C76,AMAPit!$A$10:$BJ$122,AC$54,FALSE))</f>
        <v/>
      </c>
      <c r="AD76" s="339" t="str">
        <f>IF($C76="","",VLOOKUP($C76,AMAPit!$A$10:$BJ$122,AD$54,FALSE))</f>
        <v/>
      </c>
      <c r="AE76" s="339" t="str">
        <f>IF($C76="","",VLOOKUP($C76,AMAPit!$A$10:$BJ$122,AE$54,FALSE))</f>
        <v/>
      </c>
      <c r="AF76" s="340" t="str">
        <f>IF($C76="","",VLOOKUP($C76,AMAPit!$A$10:$BJ$122,AF$54,FALSE))</f>
        <v/>
      </c>
      <c r="AG76" s="60" t="str">
        <f>IF($C76="","",VLOOKUP($C76,AMAPit!$A$10:$BJ$122,AG$54,FALSE))</f>
        <v/>
      </c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</row>
    <row r="77" spans="1:52" x14ac:dyDescent="0.25">
      <c r="A77" s="305">
        <v>10</v>
      </c>
      <c r="B77" s="32" t="s">
        <v>11</v>
      </c>
      <c r="C77" s="33"/>
      <c r="D77" s="33" t="str">
        <f>IF($C77="","",VLOOKUP($C77,AMAPit!$A$10:$BJ$122,D$4-2,FALSE))</f>
        <v/>
      </c>
      <c r="E77" s="33" t="str">
        <f>IF($C77="","",VLOOKUP($C77,AMAPit!$A$10:$BJ$125,E$4-1,FALSE))</f>
        <v/>
      </c>
      <c r="F77" s="47" t="str">
        <f t="shared" si="123"/>
        <v/>
      </c>
      <c r="G77" s="337" t="str">
        <f t="shared" si="124"/>
        <v/>
      </c>
      <c r="H77" s="338" t="str">
        <f t="shared" si="125"/>
        <v/>
      </c>
      <c r="I77" s="93" t="str">
        <f>IF($C77="","",VLOOKUP($C77,AMAPit!$A$10:$BJ$122,I$54,FALSE))</f>
        <v/>
      </c>
      <c r="J77" s="337" t="str">
        <f t="shared" si="126"/>
        <v/>
      </c>
      <c r="K77" s="47" t="str">
        <f>IF($C77="","",VLOOKUP($C77,AMAPit!$A$10:$BJ$122,K$54,FALSE))</f>
        <v/>
      </c>
      <c r="L77" s="337" t="str">
        <f>IF($C77="","",VLOOKUP($C77,AMAPit!$A$10:$BJ$122,L$54,FALSE))</f>
        <v/>
      </c>
      <c r="M77" s="338" t="str">
        <f>IF($C77="","",VLOOKUP($C77,AMAPit!$A$10:$BJ$122,M$54,FALSE))</f>
        <v/>
      </c>
      <c r="N77" s="337" t="str">
        <f>IF($C77="","",VLOOKUP($C77,AMAPit!$A$10:$BJ$122,N$54,FALSE))</f>
        <v/>
      </c>
      <c r="O77" s="337" t="str">
        <f>IF($C77="","",VLOOKUP($C77,AMAPit!$A$10:$BJ$122,O$54,FALSE))</f>
        <v/>
      </c>
      <c r="P77" s="337" t="str">
        <f>IF($C77="","",VLOOKUP($C77,AMAPit!$A$10:$BJ$122,P$54,FALSE))</f>
        <v/>
      </c>
      <c r="Q77" s="337" t="str">
        <f>IF($C77="","",VLOOKUP($C77,AMAPit!$A$10:$BJ$122,Q$54,FALSE))</f>
        <v/>
      </c>
      <c r="R77" s="337" t="str">
        <f>IF($C77="","",VLOOKUP($C77,AMAPit!$A$10:$BJ$122,R$54,FALSE))</f>
        <v/>
      </c>
      <c r="S77" s="337" t="str">
        <f>IF($C77="","",VLOOKUP($C77,AMAPit!$A$10:$BJ$122,S$54,FALSE))</f>
        <v/>
      </c>
      <c r="T77" s="337" t="str">
        <f>IF($C77="","",VLOOKUP($C77,AMAPit!$A$10:$BJ$122,T$54,FALSE))</f>
        <v/>
      </c>
      <c r="U77" s="337" t="str">
        <f>IF($C77="","",VLOOKUP($C77,AMAPit!$A$10:$BJ$122,U$54,FALSE))</f>
        <v/>
      </c>
      <c r="V77" s="337" t="str">
        <f>IF($C77="","",VLOOKUP($C77,AMAPit!$A$10:$BJ$122,V$54,FALSE))</f>
        <v/>
      </c>
      <c r="W77" s="337" t="str">
        <f>IF($C77="","",VLOOKUP($C77,AMAPit!$A$10:$BJ$122,W$54,FALSE))</f>
        <v/>
      </c>
      <c r="X77" s="337" t="str">
        <f>IF($C77="","",VLOOKUP($C77,AMAPit!$A$10:$BJ$122,X$54,FALSE))</f>
        <v/>
      </c>
      <c r="Y77" s="338" t="str">
        <f>IF($C77="","",VLOOKUP($C77,AMAPit!$A$10:$BJ$122,Y$54,FALSE))</f>
        <v/>
      </c>
      <c r="Z77" s="47" t="str">
        <f>IF($C77="","",VLOOKUP($C77,AMAPit!$A$10:$BJ$122,Z$54,FALSE))</f>
        <v/>
      </c>
      <c r="AA77" s="337" t="str">
        <f>IF($C77="","",VLOOKUP($C77,AMAPit!$A$10:$BJ$122,AA$54,FALSE))</f>
        <v/>
      </c>
      <c r="AB77" s="74" t="str">
        <f>IF($C77="","",VLOOKUP($C77,AMAPit!$A$10:$BJ$122,AB$54,FALSE))</f>
        <v/>
      </c>
      <c r="AC77" s="61" t="str">
        <f>IF($C77="","",VLOOKUP($C77,AMAPit!$A$10:$BJ$122,AC$54,FALSE))</f>
        <v/>
      </c>
      <c r="AD77" s="337" t="str">
        <f>IF($C77="","",VLOOKUP($C77,AMAPit!$A$10:$BJ$122,AD$54,FALSE))</f>
        <v/>
      </c>
      <c r="AE77" s="337" t="str">
        <f>IF($C77="","",VLOOKUP($C77,AMAPit!$A$10:$BJ$122,AE$54,FALSE))</f>
        <v/>
      </c>
      <c r="AF77" s="338" t="str">
        <f>IF($C77="","",VLOOKUP($C77,AMAPit!$A$10:$BJ$122,AF$54,FALSE))</f>
        <v/>
      </c>
      <c r="AG77" s="61" t="str">
        <f>IF($C77="","",VLOOKUP($C77,AMAPit!$A$10:$BJ$122,AG$54,FALSE))</f>
        <v/>
      </c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</row>
  </sheetData>
  <mergeCells count="22">
    <mergeCell ref="AH49:AT49"/>
    <mergeCell ref="AH50:AT50"/>
    <mergeCell ref="AH51:AT51"/>
    <mergeCell ref="AH44:AT44"/>
    <mergeCell ref="AH45:AT45"/>
    <mergeCell ref="AH46:AT46"/>
    <mergeCell ref="AH47:AT47"/>
    <mergeCell ref="AH48:AT48"/>
    <mergeCell ref="AH34:AT34"/>
    <mergeCell ref="AH35:AT35"/>
    <mergeCell ref="AG41:AT41"/>
    <mergeCell ref="AH42:AT42"/>
    <mergeCell ref="AH43:AT43"/>
    <mergeCell ref="AH36:AT36"/>
    <mergeCell ref="AH37:AT37"/>
    <mergeCell ref="AH38:AT38"/>
    <mergeCell ref="AH39:AT39"/>
    <mergeCell ref="AG29:AT29"/>
    <mergeCell ref="AH30:AT30"/>
    <mergeCell ref="AH31:AT31"/>
    <mergeCell ref="AH32:AT32"/>
    <mergeCell ref="AH33:AT33"/>
  </mergeCells>
  <conditionalFormatting sqref="G16">
    <cfRule type="expression" dxfId="46" priority="15">
      <formula>IF(SUM(G17:G22)&gt;1,1,0)</formula>
    </cfRule>
  </conditionalFormatting>
  <conditionalFormatting sqref="H16">
    <cfRule type="expression" dxfId="45" priority="14">
      <formula>IF(SUM(H17:H22)&gt;1,1,0)</formula>
    </cfRule>
  </conditionalFormatting>
  <conditionalFormatting sqref="F16">
    <cfRule type="expression" dxfId="44" priority="13">
      <formula>IF(SUM(F17:F22)&gt;1,1,0)</formula>
    </cfRule>
  </conditionalFormatting>
  <conditionalFormatting sqref="I5">
    <cfRule type="expression" dxfId="43" priority="12">
      <formula>-IF(SUM(I6:I14)&gt;1,1,0)</formula>
    </cfRule>
  </conditionalFormatting>
  <conditionalFormatting sqref="H5">
    <cfRule type="expression" dxfId="42" priority="11">
      <formula>-IF(SUM(H6:H14)&gt;1,1,0)</formula>
    </cfRule>
  </conditionalFormatting>
  <conditionalFormatting sqref="F24">
    <cfRule type="expression" dxfId="41" priority="10">
      <formula>IF(SUM($F$22:$F$24)&gt;1,1,0)</formula>
    </cfRule>
  </conditionalFormatting>
  <conditionalFormatting sqref="F55">
    <cfRule type="expression" dxfId="40" priority="9">
      <formula>IF(SUM($F$53:$F$58)&gt;1,1,0)</formula>
    </cfRule>
  </conditionalFormatting>
  <conditionalFormatting sqref="H55">
    <cfRule type="expression" dxfId="39" priority="8">
      <formula>IF(SUM($H$53:$H$58)&gt;3,1,0)</formula>
    </cfRule>
  </conditionalFormatting>
  <conditionalFormatting sqref="G55">
    <cfRule type="expression" dxfId="38" priority="7">
      <formula>IF(SUM($G$53:$G$58)&gt;2,1,0)</formula>
    </cfRule>
  </conditionalFormatting>
  <conditionalFormatting sqref="C25:C27 C17:C22 C6:C14">
    <cfRule type="expression" dxfId="37" priority="5">
      <formula>IF($AK6&lt;4.5,1,0)</formula>
    </cfRule>
    <cfRule type="expression" dxfId="36" priority="6">
      <formula>IF($AK6&gt;7,1,0)</formula>
    </cfRule>
  </conditionalFormatting>
  <conditionalFormatting sqref="C18">
    <cfRule type="expression" dxfId="35" priority="3">
      <formula>IF($AK18&lt;4.5,1,0)</formula>
    </cfRule>
    <cfRule type="expression" dxfId="34" priority="4">
      <formula>IF($AK18&gt;7,1,0)</formula>
    </cfRule>
  </conditionalFormatting>
  <conditionalFormatting sqref="F5">
    <cfRule type="expression" dxfId="33" priority="2">
      <formula>IF(SUM(F6:F14)&gt;1,1,0)</formula>
    </cfRule>
  </conditionalFormatting>
  <conditionalFormatting sqref="G5">
    <cfRule type="expression" dxfId="32" priority="1">
      <formula>IF(SUM(G6:G14)&gt;1,1,0)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Sheet10">
    <tabColor theme="3"/>
  </sheetPr>
  <dimension ref="A1:AZ77"/>
  <sheetViews>
    <sheetView zoomScale="85" zoomScaleNormal="85" workbookViewId="0">
      <pane ySplit="3" topLeftCell="A53" activePane="bottomLeft" state="frozenSplit"/>
      <selection pane="bottomLeft" activeCell="AL63" sqref="AL63"/>
    </sheetView>
  </sheetViews>
  <sheetFormatPr defaultRowHeight="15" x14ac:dyDescent="0.25"/>
  <cols>
    <col min="1" max="1" width="3.140625" customWidth="1"/>
    <col min="2" max="2" width="10.7109375" style="1" bestFit="1" customWidth="1"/>
    <col min="3" max="3" width="20" style="19" bestFit="1" customWidth="1"/>
    <col min="4" max="4" width="4.5703125" style="19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C1" s="253" t="s">
        <v>355</v>
      </c>
      <c r="D1" s="253" t="s">
        <v>356</v>
      </c>
    </row>
    <row r="2" spans="1:52" x14ac:dyDescent="0.25">
      <c r="B2" s="253" t="s">
        <v>357</v>
      </c>
      <c r="C2" s="254">
        <v>3.5</v>
      </c>
      <c r="D2" s="254">
        <v>1</v>
      </c>
    </row>
    <row r="3" spans="1:52" x14ac:dyDescent="0.25">
      <c r="B3" s="253" t="s">
        <v>358</v>
      </c>
      <c r="C3" s="254">
        <v>4.25</v>
      </c>
      <c r="D3" s="254">
        <v>1</v>
      </c>
    </row>
    <row r="4" spans="1:52" x14ac:dyDescent="0.25">
      <c r="A4" s="305"/>
      <c r="D4" s="19">
        <v>12</v>
      </c>
      <c r="E4" s="19">
        <v>13</v>
      </c>
      <c r="F4" s="305"/>
      <c r="G4" s="305"/>
      <c r="H4" s="305"/>
      <c r="I4" s="305"/>
      <c r="J4" s="305">
        <v>31</v>
      </c>
      <c r="K4" s="305">
        <v>29</v>
      </c>
      <c r="L4" s="305">
        <v>30</v>
      </c>
      <c r="M4" s="305">
        <v>32</v>
      </c>
      <c r="N4" s="305">
        <v>33</v>
      </c>
      <c r="O4" s="305">
        <v>34</v>
      </c>
      <c r="P4" s="305">
        <v>35</v>
      </c>
      <c r="Q4" s="305">
        <v>36</v>
      </c>
      <c r="R4" s="305">
        <v>37</v>
      </c>
      <c r="S4" s="305">
        <v>38</v>
      </c>
      <c r="T4" s="305">
        <v>39</v>
      </c>
      <c r="U4" s="305"/>
      <c r="V4" s="305"/>
      <c r="W4" s="305"/>
      <c r="X4" s="305"/>
      <c r="Y4" s="305"/>
      <c r="Z4" s="305"/>
      <c r="AA4" s="305"/>
      <c r="AB4" s="305"/>
      <c r="AC4" s="305"/>
      <c r="AD4" s="305">
        <v>19</v>
      </c>
      <c r="AE4" s="305">
        <v>20</v>
      </c>
      <c r="AF4" s="305">
        <v>21</v>
      </c>
      <c r="AG4" s="305">
        <v>22</v>
      </c>
      <c r="AH4" s="305">
        <v>23</v>
      </c>
      <c r="AI4" s="305">
        <v>40</v>
      </c>
      <c r="AJ4" s="305">
        <v>41</v>
      </c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>
        <v>24</v>
      </c>
      <c r="AV4" s="305">
        <v>25</v>
      </c>
      <c r="AW4" s="305">
        <v>26</v>
      </c>
      <c r="AX4" s="305">
        <v>27</v>
      </c>
      <c r="AY4" s="305">
        <v>28</v>
      </c>
      <c r="AZ4" s="305"/>
    </row>
    <row r="5" spans="1:52" s="17" customFormat="1" ht="215.25" customHeight="1" x14ac:dyDescent="0.25">
      <c r="A5" s="18" t="s">
        <v>170</v>
      </c>
      <c r="B5" s="341" t="s">
        <v>102</v>
      </c>
      <c r="C5" s="37" t="str">
        <f>"Player ("&amp;COUNTA(C6:C14)&amp;")"</f>
        <v>Player (0)</v>
      </c>
      <c r="D5" s="37" t="s">
        <v>70</v>
      </c>
      <c r="E5" s="37" t="s">
        <v>80</v>
      </c>
      <c r="F5" s="44" t="str">
        <f>"Only 1 guy who plays only 1B ("&amp;SUM(F6:F14)&amp;")"</f>
        <v>Only 1 guy who plays only 1B (0)</v>
      </c>
      <c r="G5" s="38" t="str">
        <f>"Only 1 guy who can only play 1B or LF ("&amp;SUM(G6:G14)&amp;")"</f>
        <v>Only 1 guy who can only play 1B or LF (0)</v>
      </c>
      <c r="H5" s="39" t="str">
        <f>"2 guys with RF arms ("&amp;SUM(H6:H14)&amp;")"</f>
        <v>2 guys with RF arms (0)</v>
      </c>
      <c r="I5" s="39" t="str">
        <f>"2 guys with CF range ("&amp;SUM(I6:I14)&amp;")"</f>
        <v>2 guys with CF range (0)</v>
      </c>
      <c r="J5" s="48" t="s">
        <v>114</v>
      </c>
      <c r="K5" s="40" t="s">
        <v>112</v>
      </c>
      <c r="L5" s="49" t="s">
        <v>113</v>
      </c>
      <c r="M5" s="41" t="s">
        <v>71</v>
      </c>
      <c r="N5" s="41" t="s">
        <v>73</v>
      </c>
      <c r="O5" s="41" t="s">
        <v>74</v>
      </c>
      <c r="P5" s="41" t="s">
        <v>75</v>
      </c>
      <c r="Q5" s="41" t="s">
        <v>76</v>
      </c>
      <c r="R5" s="41" t="s">
        <v>77</v>
      </c>
      <c r="S5" s="41" t="s">
        <v>78</v>
      </c>
      <c r="T5" s="42" t="s">
        <v>79</v>
      </c>
      <c r="U5" s="44" t="s">
        <v>115</v>
      </c>
      <c r="V5" s="38" t="s">
        <v>158</v>
      </c>
      <c r="W5" s="38" t="s">
        <v>116</v>
      </c>
      <c r="X5" s="38" t="s">
        <v>132</v>
      </c>
      <c r="Y5" s="38" t="s">
        <v>131</v>
      </c>
      <c r="Z5" s="38" t="s">
        <v>119</v>
      </c>
      <c r="AA5" s="38" t="s">
        <v>120</v>
      </c>
      <c r="AB5" s="38" t="s">
        <v>136</v>
      </c>
      <c r="AC5" s="53" t="s">
        <v>121</v>
      </c>
      <c r="AD5" s="41" t="s">
        <v>125</v>
      </c>
      <c r="AE5" s="41" t="s">
        <v>126</v>
      </c>
      <c r="AF5" s="41" t="s">
        <v>127</v>
      </c>
      <c r="AG5" s="41" t="s">
        <v>128</v>
      </c>
      <c r="AH5" s="41" t="s">
        <v>21</v>
      </c>
      <c r="AI5" s="56" t="s">
        <v>129</v>
      </c>
      <c r="AJ5" s="42" t="s">
        <v>130</v>
      </c>
      <c r="AK5" s="59" t="s">
        <v>134</v>
      </c>
      <c r="AL5" s="44" t="s">
        <v>115</v>
      </c>
      <c r="AM5" s="38" t="s">
        <v>158</v>
      </c>
      <c r="AN5" s="38" t="s">
        <v>116</v>
      </c>
      <c r="AO5" s="38" t="s">
        <v>132</v>
      </c>
      <c r="AP5" s="38" t="s">
        <v>131</v>
      </c>
      <c r="AQ5" s="38" t="s">
        <v>119</v>
      </c>
      <c r="AR5" s="38" t="s">
        <v>120</v>
      </c>
      <c r="AS5" s="38" t="s">
        <v>136</v>
      </c>
      <c r="AT5" s="53" t="s">
        <v>121</v>
      </c>
      <c r="AU5" s="56" t="s">
        <v>125</v>
      </c>
      <c r="AV5" s="41" t="s">
        <v>126</v>
      </c>
      <c r="AW5" s="41" t="s">
        <v>127</v>
      </c>
      <c r="AX5" s="41" t="s">
        <v>128</v>
      </c>
      <c r="AY5" s="42" t="s">
        <v>21</v>
      </c>
      <c r="AZ5" s="59" t="s">
        <v>174</v>
      </c>
    </row>
    <row r="6" spans="1:52" x14ac:dyDescent="0.25">
      <c r="A6" s="305">
        <v>1</v>
      </c>
      <c r="B6" s="25" t="s">
        <v>73</v>
      </c>
      <c r="C6" s="30"/>
      <c r="D6" s="26" t="str">
        <f>IF($C6="","",VLOOKUP($C6,AMABat!$A$10:$BV$140,D$4,FALSE))</f>
        <v/>
      </c>
      <c r="E6" s="26" t="str">
        <f>IF($C6="","",VLOOKUP($C6,AMABat!$A$10:$BV$140,E$4,FALSE))</f>
        <v/>
      </c>
      <c r="F6" s="45" t="str">
        <f t="shared" ref="F6:F14" si="0">IF($C6="","",IF(AND(O6&gt;0,O6=SUM(M6:T6)),1,0))</f>
        <v/>
      </c>
      <c r="G6" s="27" t="str">
        <f t="shared" ref="G6:G14" si="1">IF($C6="","",IF(Q6&lt;&gt;"-",1,0))</f>
        <v/>
      </c>
      <c r="H6" s="27" t="str">
        <f t="shared" ref="H6:H14" si="2">IF($C6="","",IF(AND(K6&gt;5,P6&lt;&gt;"-"),1,0))</f>
        <v/>
      </c>
      <c r="I6" s="27" t="str">
        <f t="shared" ref="I6:I14" si="3">IF($C6="","","-")</f>
        <v/>
      </c>
      <c r="J6" s="50" t="str">
        <f>IF($C6="","",VLOOKUP($C6,AMABat!$A$10:$BV$140,J$4,FALSE))</f>
        <v/>
      </c>
      <c r="K6" s="26" t="str">
        <f>IF($C6="","",VLOOKUP($C6,AMABat!$A$10:$BV$140,K$4,FALSE))</f>
        <v/>
      </c>
      <c r="L6" s="28" t="str">
        <f>IF($C6="","",VLOOKUP($C6,AMABat!$A$10:$BV$140,L$4,FALSE))</f>
        <v/>
      </c>
      <c r="M6" s="26" t="str">
        <f>IF($C6="","",VLOOKUP($C6,AMABat!$A$10:$BV$140,M$4,FALSE))</f>
        <v/>
      </c>
      <c r="N6" s="26" t="str">
        <f>IF($C6="","",VLOOKUP($C6,AMABat!$A$10:$BV$140,N$4,FALSE))</f>
        <v/>
      </c>
      <c r="O6" s="26" t="str">
        <f>IF($C6="","",VLOOKUP($C6,AMABat!$A$10:$BV$140,O$4,FALSE))</f>
        <v/>
      </c>
      <c r="P6" s="26" t="str">
        <f>IF($C6="","",VLOOKUP($C6,AMABat!$A$10:$BV$140,P$4,FALSE))</f>
        <v/>
      </c>
      <c r="Q6" s="26" t="str">
        <f>IF($C6="","",VLOOKUP($C6,AMABat!$A$10:$BV$140,Q$4,FALSE))</f>
        <v/>
      </c>
      <c r="R6" s="26" t="str">
        <f>IF($C6="","",VLOOKUP($C6,AMABat!$A$10:$BV$140,R$4,FALSE))</f>
        <v/>
      </c>
      <c r="S6" s="26" t="str">
        <f>IF($C6="","",VLOOKUP($C6,AMABat!$A$10:$BV$140,S$4,FALSE))</f>
        <v/>
      </c>
      <c r="T6" s="28" t="str">
        <f>IF($C6="","",VLOOKUP($C6,AMABat!$A$10:$BV$140,T$4,FALSE))</f>
        <v/>
      </c>
      <c r="U6" s="345" t="str">
        <f t="shared" ref="U6:U14" si="4">IF($C6="","",IF(OR(AD6+AG6&gt;14,AND(OR(AD6+AG6&gt;12,AND(AD6&gt;6,AG6&gt;6)),AI6&gt;6,OR(AJ6&gt;=AI6,AJ6&gt;6))),1,0))</f>
        <v/>
      </c>
      <c r="V6" s="339" t="str">
        <f t="shared" ref="V6:V14" si="5">IF($C6="","",IF(OR(AND(AD6&gt;6,AH6&gt;6),AD6+AG6&gt;12),1,0))</f>
        <v/>
      </c>
      <c r="W6" s="27" t="str">
        <f t="shared" ref="W6:W14" si="6">IF($C6="","",IF(AND(AD6&gt;6,AF6&gt;6,AG6&gt;6),1,0))</f>
        <v/>
      </c>
      <c r="X6" s="27" t="str">
        <f t="shared" ref="X6:X14" si="7">IF($C6="","",IF(AND(AF6&gt;7,OR(AD6&gt;6,AG6&gt;6)),1,0))</f>
        <v/>
      </c>
      <c r="Y6" s="27" t="str">
        <f t="shared" ref="Y6:Y14" si="8">IF($C6="","",IF(AND(AF6&gt;6,OR(AD6&gt;6,AG6&gt;6)),1,0))</f>
        <v/>
      </c>
      <c r="Z6" s="27" t="str">
        <f t="shared" ref="Z6:Z14" si="9">IF($C6="","",IF(AND(OR(AD6&gt;6,AF6&gt;6),OR(AD6&gt;6,AG6&gt;6)),1,0))</f>
        <v/>
      </c>
      <c r="AA6" s="27" t="str">
        <f t="shared" ref="AA6:AA14" si="10">IF($C6="","",IF(AND(AD6&gt;4,OR(AD6&gt;6,AF6&gt;6,AG6&gt;6)),1,0))</f>
        <v/>
      </c>
      <c r="AB6" s="27" t="str">
        <f t="shared" ref="AB6:AB14" si="11">IF($C6="","",IF(AND(AD6&gt;4,OR(AD6&gt;6,AE6&gt;6,AF6&gt;6,AG6&gt;6)),1,0))</f>
        <v/>
      </c>
      <c r="AC6" s="54" t="str">
        <f t="shared" ref="AC6:AC14" si="12">IF($C6="","",IF(AND(AD6&gt;4,MAX(AD6:AH6)&gt;6),1,0))</f>
        <v/>
      </c>
      <c r="AD6" s="26" t="str">
        <f>IF($C6="","",VLOOKUP($C6,AMABat!$A$10:$BV$140,AD$4,FALSE))</f>
        <v/>
      </c>
      <c r="AE6" s="26" t="str">
        <f>IF($C6="","",VLOOKUP($C6,AMABat!$A$10:$BV$140,AE$4,FALSE))</f>
        <v/>
      </c>
      <c r="AF6" s="26" t="str">
        <f>IF($C6="","",VLOOKUP($C6,AMABat!$A$10:$BV$140,AF$4,FALSE))</f>
        <v/>
      </c>
      <c r="AG6" s="26" t="str">
        <f>IF($C6="","",VLOOKUP($C6,AMABat!$A$10:$BV$140,AG$4,FALSE))</f>
        <v/>
      </c>
      <c r="AH6" s="26" t="str">
        <f>IF($C6="","",VLOOKUP($C6,AMABat!$A$10:$BV$140,AH$4,FALSE))</f>
        <v/>
      </c>
      <c r="AI6" s="50" t="str">
        <f>IF($C6="","",VLOOKUP($C6,AMABat!$A$10:$BV$140,AI$4,FALSE))</f>
        <v/>
      </c>
      <c r="AJ6" s="28" t="str">
        <f>IF($C6="","",VLOOKUP($C6,AMABat!$A$10:$BV$140,AJ$4,FALSE))</f>
        <v/>
      </c>
      <c r="AK6" s="60" t="str">
        <f t="shared" ref="AK6:AK14" si="13">IF($C6="","",(5*AD6+4*AF6+3*AG6+2*AE6+1*AH6+0.5*(AVERAGE(AD6:AE6))+0.5*AVERAGE(AD6,AH6)+1*(AVERAGE(AD6,AF6))+1*AVERAGE(AD6,AG6))/(5+4+3+2+1+0.5+0.5+1+1))</f>
        <v/>
      </c>
      <c r="AL6" s="45" t="str">
        <f t="shared" ref="AL6:AL14" si="14">IF($C6="","",IF(AND(OR(AU6+AX6&gt;12,AND(AU6&gt;6,AX6&gt;6)),AI6&gt;6,OR(AJ6&gt;=AI6,AJ6&gt;6)),1,0))</f>
        <v/>
      </c>
      <c r="AM6" s="27" t="str">
        <f t="shared" ref="AM6:AM14" si="15">IF($C6="","",IF(OR(AND(AU6&gt;6,AY6&gt;6),AU6+AX6&gt;12),1,0))</f>
        <v/>
      </c>
      <c r="AN6" s="27" t="str">
        <f t="shared" ref="AN6:AN14" si="16">IF($C6="","",IF(AND(AU6&gt;6,AW6&gt;6,AX6&gt;6),1,0))</f>
        <v/>
      </c>
      <c r="AO6" s="27" t="str">
        <f t="shared" ref="AO6:AO14" si="17">IF($C6="","",IF(AND(AW6&gt;7,OR(AU6&gt;6,AX6&gt;6)),1,0))</f>
        <v/>
      </c>
      <c r="AP6" s="27" t="str">
        <f t="shared" ref="AP6:AP14" si="18">IF($C6="","",IF(AND(AW6&gt;6,OR(AU6&gt;6,AX6&gt;6)),1,0))</f>
        <v/>
      </c>
      <c r="AQ6" s="27" t="str">
        <f t="shared" ref="AQ6:AQ14" si="19">IF($C6="","",IF(AND(OR(AU6&gt;6,AW6&gt;6),OR(AU6&gt;6,AX6&gt;6)),1,0))</f>
        <v/>
      </c>
      <c r="AR6" s="27" t="str">
        <f t="shared" ref="AR6:AR14" si="20">IF($C6="","",IF(AND(AU6&gt;4,OR(AU6&gt;6,AW6&gt;6,AX6&gt;6)),1,0))</f>
        <v/>
      </c>
      <c r="AS6" s="27" t="str">
        <f t="shared" ref="AS6:AS14" si="21">IF($C6="","",IF(AND(AU6&gt;4,OR(AU6&gt;6,AV6&gt;6,AW6&gt;6,AX6&gt;6)),1,0))</f>
        <v/>
      </c>
      <c r="AT6" s="54" t="str">
        <f t="shared" ref="AT6:AT14" si="22">IF($C6="","",IF(AND(AU6&gt;4,MAX(AU6:AY6)&gt;6),1,0))</f>
        <v/>
      </c>
      <c r="AU6" s="50" t="str">
        <f>IF($C6="","",VLOOKUP($C6,AMABat!$A$10:$BV$140,AU$4,FALSE))</f>
        <v/>
      </c>
      <c r="AV6" s="26" t="str">
        <f>IF($C6="","",VLOOKUP($C6,AMABat!$A$10:$BV$140,AV$4,FALSE))</f>
        <v/>
      </c>
      <c r="AW6" s="26" t="str">
        <f>IF($C6="","",VLOOKUP($C6,AMABat!$A$10:$BV$140,AW$4,FALSE))</f>
        <v/>
      </c>
      <c r="AX6" s="26" t="str">
        <f>IF($C6="","",VLOOKUP($C6,AMABat!$A$10:$BV$140,AX$4,FALSE))</f>
        <v/>
      </c>
      <c r="AY6" s="28" t="str">
        <f>IF($C6="","",VLOOKUP($C6,AMABat!$A$10:$BV$140,AY$4,FALSE))</f>
        <v/>
      </c>
      <c r="AZ6" s="60" t="str">
        <f t="shared" ref="AZ6:AZ14" si="23">IF($C6="","",(5*AU6+4*AW6+3*AX6+2*AV6+1*AY6+0.5*(AVERAGE(AU6:AV6))+0.5*AVERAGE(AU6,AY6)+1*(AVERAGE(AU6,AW6))+1*AVERAGE(AU6,AX6))/(5+4+3+2+1+0.5+0.5+1+1))</f>
        <v/>
      </c>
    </row>
    <row r="7" spans="1:52" x14ac:dyDescent="0.25">
      <c r="A7" s="305">
        <v>2</v>
      </c>
      <c r="B7" s="29" t="s">
        <v>77</v>
      </c>
      <c r="C7" s="30"/>
      <c r="D7" s="30" t="str">
        <f>IF($C7="","",VLOOKUP($C7,AMABat!$A$10:$BV$140,D$4,FALSE))</f>
        <v/>
      </c>
      <c r="E7" s="30" t="str">
        <f>IF($C7="","",VLOOKUP($C7,AMABat!$A$10:$BV$140,E$4,FALSE))</f>
        <v/>
      </c>
      <c r="F7" s="345" t="str">
        <f t="shared" si="0"/>
        <v/>
      </c>
      <c r="G7" s="339" t="str">
        <f t="shared" si="1"/>
        <v/>
      </c>
      <c r="H7" s="339" t="str">
        <f t="shared" si="2"/>
        <v/>
      </c>
      <c r="I7" s="339" t="str">
        <f t="shared" si="3"/>
        <v/>
      </c>
      <c r="J7" s="51" t="str">
        <f>IF($C7="","",VLOOKUP($C7,AMABat!$A$10:$BV$140,J$4,FALSE))</f>
        <v/>
      </c>
      <c r="K7" s="30" t="str">
        <f>IF($C7="","",VLOOKUP($C7,AMABat!$A$10:$BV$140,K$4,FALSE))</f>
        <v/>
      </c>
      <c r="L7" s="31" t="str">
        <f>IF($C7="","",VLOOKUP($C7,AMABat!$A$10:$BV$140,L$4,FALSE))</f>
        <v/>
      </c>
      <c r="M7" s="30" t="str">
        <f>IF($C7="","",VLOOKUP($C7,AMABat!$A$10:$BV$140,M$4,FALSE))</f>
        <v/>
      </c>
      <c r="N7" s="30" t="str">
        <f>IF($C7="","",VLOOKUP($C7,AMABat!$A$10:$BV$140,N$4,FALSE))</f>
        <v/>
      </c>
      <c r="O7" s="30" t="str">
        <f>IF($C7="","",VLOOKUP($C7,AMABat!$A$10:$BV$140,O$4,FALSE))</f>
        <v/>
      </c>
      <c r="P7" s="30" t="str">
        <f>IF($C7="","",VLOOKUP($C7,AMABat!$A$10:$BV$140,P$4,FALSE))</f>
        <v/>
      </c>
      <c r="Q7" s="30" t="str">
        <f>IF($C7="","",VLOOKUP($C7,AMABat!$A$10:$BV$140,Q$4,FALSE))</f>
        <v/>
      </c>
      <c r="R7" s="30" t="str">
        <f>IF($C7="","",VLOOKUP($C7,AMABat!$A$10:$BV$140,R$4,FALSE))</f>
        <v/>
      </c>
      <c r="S7" s="30" t="str">
        <f>IF($C7="","",VLOOKUP($C7,AMABat!$A$10:$BV$140,S$4,FALSE))</f>
        <v/>
      </c>
      <c r="T7" s="31" t="str">
        <f>IF($C7="","",VLOOKUP($C7,AMABat!$A$10:$BV$140,T$4,FALSE))</f>
        <v/>
      </c>
      <c r="U7" s="345" t="str">
        <f t="shared" si="4"/>
        <v/>
      </c>
      <c r="V7" s="339" t="str">
        <f t="shared" si="5"/>
        <v/>
      </c>
      <c r="W7" s="339" t="str">
        <f t="shared" si="6"/>
        <v/>
      </c>
      <c r="X7" s="339" t="str">
        <f t="shared" si="7"/>
        <v/>
      </c>
      <c r="Y7" s="339" t="str">
        <f t="shared" si="8"/>
        <v/>
      </c>
      <c r="Z7" s="339" t="str">
        <f t="shared" si="9"/>
        <v/>
      </c>
      <c r="AA7" s="339" t="str">
        <f t="shared" si="10"/>
        <v/>
      </c>
      <c r="AB7" s="339" t="str">
        <f t="shared" si="11"/>
        <v/>
      </c>
      <c r="AC7" s="340" t="str">
        <f t="shared" si="12"/>
        <v/>
      </c>
      <c r="AD7" s="30" t="str">
        <f>IF($C7="","",VLOOKUP($C7,AMABat!$A$10:$BV$140,AD$4,FALSE))</f>
        <v/>
      </c>
      <c r="AE7" s="30" t="str">
        <f>IF($C7="","",VLOOKUP($C7,AMABat!$A$10:$BV$140,AE$4,FALSE))</f>
        <v/>
      </c>
      <c r="AF7" s="30" t="str">
        <f>IF($C7="","",VLOOKUP($C7,AMABat!$A$10:$BV$140,AF$4,FALSE))</f>
        <v/>
      </c>
      <c r="AG7" s="30" t="str">
        <f>IF($C7="","",VLOOKUP($C7,AMABat!$A$10:$BV$140,AG$4,FALSE))</f>
        <v/>
      </c>
      <c r="AH7" s="30" t="str">
        <f>IF($C7="","",VLOOKUP($C7,AMABat!$A$10:$BV$140,AH$4,FALSE))</f>
        <v/>
      </c>
      <c r="AI7" s="51" t="str">
        <f>IF($C7="","",VLOOKUP($C7,AMABat!$A$10:$BV$140,AI$4,FALSE))</f>
        <v/>
      </c>
      <c r="AJ7" s="31" t="str">
        <f>IF($C7="","",VLOOKUP($C7,AMABat!$A$10:$BV$140,AJ$4,FALSE))</f>
        <v/>
      </c>
      <c r="AK7" s="60" t="str">
        <f t="shared" si="13"/>
        <v/>
      </c>
      <c r="AL7" s="345" t="str">
        <f t="shared" si="14"/>
        <v/>
      </c>
      <c r="AM7" s="339" t="str">
        <f t="shared" si="15"/>
        <v/>
      </c>
      <c r="AN7" s="339" t="str">
        <f t="shared" si="16"/>
        <v/>
      </c>
      <c r="AO7" s="339" t="str">
        <f t="shared" si="17"/>
        <v/>
      </c>
      <c r="AP7" s="339" t="str">
        <f t="shared" si="18"/>
        <v/>
      </c>
      <c r="AQ7" s="339" t="str">
        <f t="shared" si="19"/>
        <v/>
      </c>
      <c r="AR7" s="339" t="str">
        <f t="shared" si="20"/>
        <v/>
      </c>
      <c r="AS7" s="339" t="str">
        <f t="shared" si="21"/>
        <v/>
      </c>
      <c r="AT7" s="340" t="str">
        <f t="shared" si="22"/>
        <v/>
      </c>
      <c r="AU7" s="51" t="str">
        <f>IF($C7="","",VLOOKUP($C7,AMABat!$A$10:$BV$140,AU$4,FALSE))</f>
        <v/>
      </c>
      <c r="AV7" s="30" t="str">
        <f>IF($C7="","",VLOOKUP($C7,AMABat!$A$10:$BV$140,AV$4,FALSE))</f>
        <v/>
      </c>
      <c r="AW7" s="30" t="str">
        <f>IF($C7="","",VLOOKUP($C7,AMABat!$A$10:$BV$140,AW$4,FALSE))</f>
        <v/>
      </c>
      <c r="AX7" s="30" t="str">
        <f>IF($C7="","",VLOOKUP($C7,AMABat!$A$10:$BV$140,AX$4,FALSE))</f>
        <v/>
      </c>
      <c r="AY7" s="31" t="str">
        <f>IF($C7="","",VLOOKUP($C7,AMABat!$A$10:$BV$140,AY$4,FALSE))</f>
        <v/>
      </c>
      <c r="AZ7" s="60" t="str">
        <f t="shared" si="23"/>
        <v/>
      </c>
    </row>
    <row r="8" spans="1:52" x14ac:dyDescent="0.25">
      <c r="A8" s="305">
        <v>3</v>
      </c>
      <c r="B8" s="29" t="s">
        <v>78</v>
      </c>
      <c r="C8" s="58"/>
      <c r="D8" s="30" t="str">
        <f>IF($C8="","",VLOOKUP($C8,AMABat!$A$10:$BV$140,D$4,FALSE))</f>
        <v/>
      </c>
      <c r="E8" s="30" t="str">
        <f>IF($C8="","",VLOOKUP($C8,AMABat!$A$10:$BV$140,E$4,FALSE))</f>
        <v/>
      </c>
      <c r="F8" s="345" t="str">
        <f t="shared" si="0"/>
        <v/>
      </c>
      <c r="G8" s="339" t="str">
        <f t="shared" si="1"/>
        <v/>
      </c>
      <c r="H8" s="339" t="str">
        <f t="shared" si="2"/>
        <v/>
      </c>
      <c r="I8" s="339" t="str">
        <f t="shared" si="3"/>
        <v/>
      </c>
      <c r="J8" s="51" t="str">
        <f>IF($C8="","",VLOOKUP($C8,AMABat!$A$10:$BV$140,J$4,FALSE))</f>
        <v/>
      </c>
      <c r="K8" s="30" t="str">
        <f>IF($C8="","",VLOOKUP($C8,AMABat!$A$10:$BV$140,K$4,FALSE))</f>
        <v/>
      </c>
      <c r="L8" s="31" t="str">
        <f>IF($C8="","",VLOOKUP($C8,AMABat!$A$10:$BV$140,L$4,FALSE))</f>
        <v/>
      </c>
      <c r="M8" s="30" t="str">
        <f>IF($C8="","",VLOOKUP($C8,AMABat!$A$10:$BV$140,M$4,FALSE))</f>
        <v/>
      </c>
      <c r="N8" s="30" t="str">
        <f>IF($C8="","",VLOOKUP($C8,AMABat!$A$10:$BV$140,N$4,FALSE))</f>
        <v/>
      </c>
      <c r="O8" s="30" t="str">
        <f>IF($C8="","",VLOOKUP($C8,AMABat!$A$10:$BV$140,O$4,FALSE))</f>
        <v/>
      </c>
      <c r="P8" s="30" t="str">
        <f>IF($C8="","",VLOOKUP($C8,AMABat!$A$10:$BV$140,P$4,FALSE))</f>
        <v/>
      </c>
      <c r="Q8" s="30" t="str">
        <f>IF($C8="","",VLOOKUP($C8,AMABat!$A$10:$BV$140,Q$4,FALSE))</f>
        <v/>
      </c>
      <c r="R8" s="30" t="str">
        <f>IF($C8="","",VLOOKUP($C8,AMABat!$A$10:$BV$140,R$4,FALSE))</f>
        <v/>
      </c>
      <c r="S8" s="30" t="str">
        <f>IF($C8="","",VLOOKUP($C8,AMABat!$A$10:$BV$140,S$4,FALSE))</f>
        <v/>
      </c>
      <c r="T8" s="31" t="str">
        <f>IF($C8="","",VLOOKUP($C8,AMABat!$A$10:$BV$140,T$4,FALSE))</f>
        <v/>
      </c>
      <c r="U8" s="345" t="str">
        <f t="shared" si="4"/>
        <v/>
      </c>
      <c r="V8" s="339" t="str">
        <f t="shared" si="5"/>
        <v/>
      </c>
      <c r="W8" s="339" t="str">
        <f t="shared" si="6"/>
        <v/>
      </c>
      <c r="X8" s="339" t="str">
        <f t="shared" si="7"/>
        <v/>
      </c>
      <c r="Y8" s="339" t="str">
        <f t="shared" si="8"/>
        <v/>
      </c>
      <c r="Z8" s="339" t="str">
        <f t="shared" si="9"/>
        <v/>
      </c>
      <c r="AA8" s="339" t="str">
        <f t="shared" si="10"/>
        <v/>
      </c>
      <c r="AB8" s="339" t="str">
        <f t="shared" si="11"/>
        <v/>
      </c>
      <c r="AC8" s="340" t="str">
        <f t="shared" si="12"/>
        <v/>
      </c>
      <c r="AD8" s="30" t="str">
        <f>IF($C8="","",VLOOKUP($C8,AMABat!$A$10:$BV$140,AD$4,FALSE))</f>
        <v/>
      </c>
      <c r="AE8" s="30" t="str">
        <f>IF($C8="","",VLOOKUP($C8,AMABat!$A$10:$BV$140,AE$4,FALSE))</f>
        <v/>
      </c>
      <c r="AF8" s="30" t="str">
        <f>IF($C8="","",VLOOKUP($C8,AMABat!$A$10:$BV$140,AF$4,FALSE))</f>
        <v/>
      </c>
      <c r="AG8" s="30" t="str">
        <f>IF($C8="","",VLOOKUP($C8,AMABat!$A$10:$BV$140,AG$4,FALSE))</f>
        <v/>
      </c>
      <c r="AH8" s="30" t="str">
        <f>IF($C8="","",VLOOKUP($C8,AMABat!$A$10:$BV$140,AH$4,FALSE))</f>
        <v/>
      </c>
      <c r="AI8" s="51" t="str">
        <f>IF($C8="","",VLOOKUP($C8,AMABat!$A$10:$BV$140,AI$4,FALSE))</f>
        <v/>
      </c>
      <c r="AJ8" s="31" t="str">
        <f>IF($C8="","",VLOOKUP($C8,AMABat!$A$10:$BV$140,AJ$4,FALSE))</f>
        <v/>
      </c>
      <c r="AK8" s="60" t="str">
        <f t="shared" si="13"/>
        <v/>
      </c>
      <c r="AL8" s="345" t="str">
        <f t="shared" si="14"/>
        <v/>
      </c>
      <c r="AM8" s="339" t="str">
        <f t="shared" si="15"/>
        <v/>
      </c>
      <c r="AN8" s="339" t="str">
        <f t="shared" si="16"/>
        <v/>
      </c>
      <c r="AO8" s="339" t="str">
        <f t="shared" si="17"/>
        <v/>
      </c>
      <c r="AP8" s="339" t="str">
        <f t="shared" si="18"/>
        <v/>
      </c>
      <c r="AQ8" s="339" t="str">
        <f t="shared" si="19"/>
        <v/>
      </c>
      <c r="AR8" s="339" t="str">
        <f t="shared" si="20"/>
        <v/>
      </c>
      <c r="AS8" s="339" t="str">
        <f t="shared" si="21"/>
        <v/>
      </c>
      <c r="AT8" s="340" t="str">
        <f t="shared" si="22"/>
        <v/>
      </c>
      <c r="AU8" s="51" t="str">
        <f>IF($C8="","",VLOOKUP($C8,AMABat!$A$10:$BV$140,AU$4,FALSE))</f>
        <v/>
      </c>
      <c r="AV8" s="30" t="str">
        <f>IF($C8="","",VLOOKUP($C8,AMABat!$A$10:$BV$140,AV$4,FALSE))</f>
        <v/>
      </c>
      <c r="AW8" s="30" t="str">
        <f>IF($C8="","",VLOOKUP($C8,AMABat!$A$10:$BV$140,AW$4,FALSE))</f>
        <v/>
      </c>
      <c r="AX8" s="30" t="str">
        <f>IF($C8="","",VLOOKUP($C8,AMABat!$A$10:$BV$140,AX$4,FALSE))</f>
        <v/>
      </c>
      <c r="AY8" s="31" t="str">
        <f>IF($C8="","",VLOOKUP($C8,AMABat!$A$10:$BV$140,AY$4,FALSE))</f>
        <v/>
      </c>
      <c r="AZ8" s="60" t="str">
        <f t="shared" si="23"/>
        <v/>
      </c>
    </row>
    <row r="9" spans="1:52" x14ac:dyDescent="0.25">
      <c r="A9" s="305">
        <v>4</v>
      </c>
      <c r="B9" s="29" t="s">
        <v>79</v>
      </c>
      <c r="C9" s="58"/>
      <c r="D9" s="30" t="str">
        <f>IF($C9="","",VLOOKUP($C9,AMABat!$A$10:$BV$140,D$4,FALSE))</f>
        <v/>
      </c>
      <c r="E9" s="30" t="str">
        <f>IF($C9="","",VLOOKUP($C9,AMABat!$A$10:$BV$140,E$4,FALSE))</f>
        <v/>
      </c>
      <c r="F9" s="345" t="str">
        <f t="shared" si="0"/>
        <v/>
      </c>
      <c r="G9" s="339" t="str">
        <f t="shared" si="1"/>
        <v/>
      </c>
      <c r="H9" s="339" t="str">
        <f t="shared" si="2"/>
        <v/>
      </c>
      <c r="I9" s="339" t="str">
        <f t="shared" si="3"/>
        <v/>
      </c>
      <c r="J9" s="51" t="str">
        <f>IF($C9="","",VLOOKUP($C9,AMABat!$A$10:$BV$140,J$4,FALSE))</f>
        <v/>
      </c>
      <c r="K9" s="30" t="str">
        <f>IF($C9="","",VLOOKUP($C9,AMABat!$A$10:$BV$140,K$4,FALSE))</f>
        <v/>
      </c>
      <c r="L9" s="31" t="str">
        <f>IF($C9="","",VLOOKUP($C9,AMABat!$A$10:$BV$140,L$4,FALSE))</f>
        <v/>
      </c>
      <c r="M9" s="30" t="str">
        <f>IF($C9="","",VLOOKUP($C9,AMABat!$A$10:$BV$140,M$4,FALSE))</f>
        <v/>
      </c>
      <c r="N9" s="30" t="str">
        <f>IF($C9="","",VLOOKUP($C9,AMABat!$A$10:$BV$140,N$4,FALSE))</f>
        <v/>
      </c>
      <c r="O9" s="30" t="str">
        <f>IF($C9="","",VLOOKUP($C9,AMABat!$A$10:$BV$140,O$4,FALSE))</f>
        <v/>
      </c>
      <c r="P9" s="30" t="str">
        <f>IF($C9="","",VLOOKUP($C9,AMABat!$A$10:$BV$140,P$4,FALSE))</f>
        <v/>
      </c>
      <c r="Q9" s="30" t="str">
        <f>IF($C9="","",VLOOKUP($C9,AMABat!$A$10:$BV$140,Q$4,FALSE))</f>
        <v/>
      </c>
      <c r="R9" s="30" t="str">
        <f>IF($C9="","",VLOOKUP($C9,AMABat!$A$10:$BV$140,R$4,FALSE))</f>
        <v/>
      </c>
      <c r="S9" s="30" t="str">
        <f>IF($C9="","",VLOOKUP($C9,AMABat!$A$10:$BV$140,S$4,FALSE))</f>
        <v/>
      </c>
      <c r="T9" s="31" t="str">
        <f>IF($C9="","",VLOOKUP($C9,AMABat!$A$10:$BV$140,T$4,FALSE))</f>
        <v/>
      </c>
      <c r="U9" s="345" t="str">
        <f t="shared" si="4"/>
        <v/>
      </c>
      <c r="V9" s="339" t="str">
        <f t="shared" si="5"/>
        <v/>
      </c>
      <c r="W9" s="339" t="str">
        <f t="shared" si="6"/>
        <v/>
      </c>
      <c r="X9" s="339" t="str">
        <f t="shared" si="7"/>
        <v/>
      </c>
      <c r="Y9" s="339" t="str">
        <f t="shared" si="8"/>
        <v/>
      </c>
      <c r="Z9" s="339" t="str">
        <f t="shared" si="9"/>
        <v/>
      </c>
      <c r="AA9" s="339" t="str">
        <f t="shared" si="10"/>
        <v/>
      </c>
      <c r="AB9" s="339" t="str">
        <f t="shared" si="11"/>
        <v/>
      </c>
      <c r="AC9" s="340" t="str">
        <f t="shared" si="12"/>
        <v/>
      </c>
      <c r="AD9" s="30" t="str">
        <f>IF($C9="","",VLOOKUP($C9,AMABat!$A$10:$BV$140,AD$4,FALSE))</f>
        <v/>
      </c>
      <c r="AE9" s="30" t="str">
        <f>IF($C9="","",VLOOKUP($C9,AMABat!$A$10:$BV$140,AE$4,FALSE))</f>
        <v/>
      </c>
      <c r="AF9" s="30" t="str">
        <f>IF($C9="","",VLOOKUP($C9,AMABat!$A$10:$BV$140,AF$4,FALSE))</f>
        <v/>
      </c>
      <c r="AG9" s="30" t="str">
        <f>IF($C9="","",VLOOKUP($C9,AMABat!$A$10:$BV$140,AG$4,FALSE))</f>
        <v/>
      </c>
      <c r="AH9" s="30" t="str">
        <f>IF($C9="","",VLOOKUP($C9,AMABat!$A$10:$BV$140,AH$4,FALSE))</f>
        <v/>
      </c>
      <c r="AI9" s="51" t="str">
        <f>IF($C9="","",VLOOKUP($C9,AMABat!$A$10:$BV$140,AI$4,FALSE))</f>
        <v/>
      </c>
      <c r="AJ9" s="31" t="str">
        <f>IF($C9="","",VLOOKUP($C9,AMABat!$A$10:$BV$140,AJ$4,FALSE))</f>
        <v/>
      </c>
      <c r="AK9" s="60" t="str">
        <f t="shared" si="13"/>
        <v/>
      </c>
      <c r="AL9" s="345" t="str">
        <f t="shared" si="14"/>
        <v/>
      </c>
      <c r="AM9" s="339" t="str">
        <f t="shared" si="15"/>
        <v/>
      </c>
      <c r="AN9" s="339" t="str">
        <f t="shared" si="16"/>
        <v/>
      </c>
      <c r="AO9" s="339" t="str">
        <f t="shared" si="17"/>
        <v/>
      </c>
      <c r="AP9" s="339" t="str">
        <f t="shared" si="18"/>
        <v/>
      </c>
      <c r="AQ9" s="339" t="str">
        <f t="shared" si="19"/>
        <v/>
      </c>
      <c r="AR9" s="339" t="str">
        <f t="shared" si="20"/>
        <v/>
      </c>
      <c r="AS9" s="339" t="str">
        <f t="shared" si="21"/>
        <v/>
      </c>
      <c r="AT9" s="340" t="str">
        <f t="shared" si="22"/>
        <v/>
      </c>
      <c r="AU9" s="51" t="str">
        <f>IF($C9="","",VLOOKUP($C9,AMABat!$A$10:$BV$140,AU$4,FALSE))</f>
        <v/>
      </c>
      <c r="AV9" s="30" t="str">
        <f>IF($C9="","",VLOOKUP($C9,AMABat!$A$10:$BV$140,AV$4,FALSE))</f>
        <v/>
      </c>
      <c r="AW9" s="30" t="str">
        <f>IF($C9="","",VLOOKUP($C9,AMABat!$A$10:$BV$140,AW$4,FALSE))</f>
        <v/>
      </c>
      <c r="AX9" s="30" t="str">
        <f>IF($C9="","",VLOOKUP($C9,AMABat!$A$10:$BV$140,AX$4,FALSE))</f>
        <v/>
      </c>
      <c r="AY9" s="31" t="str">
        <f>IF($C9="","",VLOOKUP($C9,AMABat!$A$10:$BV$140,AY$4,FALSE))</f>
        <v/>
      </c>
      <c r="AZ9" s="60" t="str">
        <f t="shared" si="23"/>
        <v/>
      </c>
    </row>
    <row r="10" spans="1:52" x14ac:dyDescent="0.25">
      <c r="A10" s="305">
        <v>5</v>
      </c>
      <c r="B10" s="29" t="s">
        <v>10</v>
      </c>
      <c r="C10" s="58"/>
      <c r="D10" s="30" t="str">
        <f>IF($C10="","",VLOOKUP($C10,AMABat!$A$10:$BV$140,D$4,FALSE))</f>
        <v/>
      </c>
      <c r="E10" s="30" t="str">
        <f>IF($C10="","",VLOOKUP($C10,AMABat!$A$10:$BV$140,E$4,FALSE))</f>
        <v/>
      </c>
      <c r="F10" s="345" t="str">
        <f t="shared" si="0"/>
        <v/>
      </c>
      <c r="G10" s="339" t="str">
        <f t="shared" si="1"/>
        <v/>
      </c>
      <c r="H10" s="339" t="str">
        <f t="shared" si="2"/>
        <v/>
      </c>
      <c r="I10" s="339" t="str">
        <f t="shared" si="3"/>
        <v/>
      </c>
      <c r="J10" s="51" t="str">
        <f>IF($C10="","",VLOOKUP($C10,AMABat!$A$10:$BV$140,J$4,FALSE))</f>
        <v/>
      </c>
      <c r="K10" s="30" t="str">
        <f>IF($C10="","",VLOOKUP($C10,AMABat!$A$10:$BV$140,K$4,FALSE))</f>
        <v/>
      </c>
      <c r="L10" s="31" t="str">
        <f>IF($C10="","",VLOOKUP($C10,AMABat!$A$10:$BV$140,L$4,FALSE))</f>
        <v/>
      </c>
      <c r="M10" s="30" t="str">
        <f>IF($C10="","",VLOOKUP($C10,AMABat!$A$10:$BV$140,M$4,FALSE))</f>
        <v/>
      </c>
      <c r="N10" s="30" t="str">
        <f>IF($C10="","",VLOOKUP($C10,AMABat!$A$10:$BV$140,N$4,FALSE))</f>
        <v/>
      </c>
      <c r="O10" s="30" t="str">
        <f>IF($C10="","",VLOOKUP($C10,AMABat!$A$10:$BV$140,O$4,FALSE))</f>
        <v/>
      </c>
      <c r="P10" s="30" t="str">
        <f>IF($C10="","",VLOOKUP($C10,AMABat!$A$10:$BV$140,P$4,FALSE))</f>
        <v/>
      </c>
      <c r="Q10" s="30" t="str">
        <f>IF($C10="","",VLOOKUP($C10,AMABat!$A$10:$BV$140,Q$4,FALSE))</f>
        <v/>
      </c>
      <c r="R10" s="30" t="str">
        <f>IF($C10="","",VLOOKUP($C10,AMABat!$A$10:$BV$140,R$4,FALSE))</f>
        <v/>
      </c>
      <c r="S10" s="30" t="str">
        <f>IF($C10="","",VLOOKUP($C10,AMABat!$A$10:$BV$140,S$4,FALSE))</f>
        <v/>
      </c>
      <c r="T10" s="31" t="str">
        <f>IF($C10="","",VLOOKUP($C10,AMABat!$A$10:$BV$140,T$4,FALSE))</f>
        <v/>
      </c>
      <c r="U10" s="345" t="str">
        <f t="shared" si="4"/>
        <v/>
      </c>
      <c r="V10" s="339" t="str">
        <f t="shared" si="5"/>
        <v/>
      </c>
      <c r="W10" s="339" t="str">
        <f t="shared" si="6"/>
        <v/>
      </c>
      <c r="X10" s="339" t="str">
        <f t="shared" si="7"/>
        <v/>
      </c>
      <c r="Y10" s="339" t="str">
        <f t="shared" si="8"/>
        <v/>
      </c>
      <c r="Z10" s="339" t="str">
        <f t="shared" si="9"/>
        <v/>
      </c>
      <c r="AA10" s="339" t="str">
        <f t="shared" si="10"/>
        <v/>
      </c>
      <c r="AB10" s="339" t="str">
        <f t="shared" si="11"/>
        <v/>
      </c>
      <c r="AC10" s="340" t="str">
        <f t="shared" si="12"/>
        <v/>
      </c>
      <c r="AD10" s="30" t="str">
        <f>IF($C10="","",VLOOKUP($C10,AMABat!$A$10:$BV$140,AD$4,FALSE))</f>
        <v/>
      </c>
      <c r="AE10" s="30" t="str">
        <f>IF($C10="","",VLOOKUP($C10,AMABat!$A$10:$BV$140,AE$4,FALSE))</f>
        <v/>
      </c>
      <c r="AF10" s="30" t="str">
        <f>IF($C10="","",VLOOKUP($C10,AMABat!$A$10:$BV$140,AF$4,FALSE))</f>
        <v/>
      </c>
      <c r="AG10" s="30" t="str">
        <f>IF($C10="","",VLOOKUP($C10,AMABat!$A$10:$BV$140,AG$4,FALSE))</f>
        <v/>
      </c>
      <c r="AH10" s="30" t="str">
        <f>IF($C10="","",VLOOKUP($C10,AMABat!$A$10:$BV$140,AH$4,FALSE))</f>
        <v/>
      </c>
      <c r="AI10" s="51" t="str">
        <f>IF($C10="","",VLOOKUP($C10,AMABat!$A$10:$BV$140,AI$4,FALSE))</f>
        <v/>
      </c>
      <c r="AJ10" s="31" t="str">
        <f>IF($C10="","",VLOOKUP($C10,AMABat!$A$10:$BV$140,AJ$4,FALSE))</f>
        <v/>
      </c>
      <c r="AK10" s="60" t="str">
        <f t="shared" si="13"/>
        <v/>
      </c>
      <c r="AL10" s="345" t="str">
        <f t="shared" si="14"/>
        <v/>
      </c>
      <c r="AM10" s="339" t="str">
        <f t="shared" si="15"/>
        <v/>
      </c>
      <c r="AN10" s="339" t="str">
        <f t="shared" si="16"/>
        <v/>
      </c>
      <c r="AO10" s="339" t="str">
        <f t="shared" si="17"/>
        <v/>
      </c>
      <c r="AP10" s="339" t="str">
        <f t="shared" si="18"/>
        <v/>
      </c>
      <c r="AQ10" s="339" t="str">
        <f t="shared" si="19"/>
        <v/>
      </c>
      <c r="AR10" s="339" t="str">
        <f t="shared" si="20"/>
        <v/>
      </c>
      <c r="AS10" s="339" t="str">
        <f t="shared" si="21"/>
        <v/>
      </c>
      <c r="AT10" s="340" t="str">
        <f t="shared" si="22"/>
        <v/>
      </c>
      <c r="AU10" s="51" t="str">
        <f>IF($C10="","",VLOOKUP($C10,AMABat!$A$10:$BV$140,AU$4,FALSE))</f>
        <v/>
      </c>
      <c r="AV10" s="30" t="str">
        <f>IF($C10="","",VLOOKUP($C10,AMABat!$A$10:$BV$140,AV$4,FALSE))</f>
        <v/>
      </c>
      <c r="AW10" s="30" t="str">
        <f>IF($C10="","",VLOOKUP($C10,AMABat!$A$10:$BV$140,AW$4,FALSE))</f>
        <v/>
      </c>
      <c r="AX10" s="30" t="str">
        <f>IF($C10="","",VLOOKUP($C10,AMABat!$A$10:$BV$140,AX$4,FALSE))</f>
        <v/>
      </c>
      <c r="AY10" s="31" t="str">
        <f>IF($C10="","",VLOOKUP($C10,AMABat!$A$10:$BV$140,AY$4,FALSE))</f>
        <v/>
      </c>
      <c r="AZ10" s="60" t="str">
        <f t="shared" si="23"/>
        <v/>
      </c>
    </row>
    <row r="11" spans="1:52" x14ac:dyDescent="0.25">
      <c r="A11" s="305">
        <v>6</v>
      </c>
      <c r="B11" s="29" t="s">
        <v>80</v>
      </c>
      <c r="C11" s="58"/>
      <c r="D11" s="30" t="str">
        <f>IF($C11="","",VLOOKUP($C11,AMABat!$A$10:$BV$140,D$4,FALSE))</f>
        <v/>
      </c>
      <c r="E11" s="30" t="str">
        <f>IF($C11="","",VLOOKUP($C11,AMABat!$A$10:$BV$140,E$4,FALSE))</f>
        <v/>
      </c>
      <c r="F11" s="345" t="str">
        <f t="shared" si="0"/>
        <v/>
      </c>
      <c r="G11" s="339" t="str">
        <f t="shared" si="1"/>
        <v/>
      </c>
      <c r="H11" s="339" t="str">
        <f t="shared" si="2"/>
        <v/>
      </c>
      <c r="I11" s="339" t="str">
        <f t="shared" si="3"/>
        <v/>
      </c>
      <c r="J11" s="51" t="str">
        <f>IF($C11="","",VLOOKUP($C11,AMABat!$A$10:$BV$140,J$4,FALSE))</f>
        <v/>
      </c>
      <c r="K11" s="30" t="str">
        <f>IF($C11="","",VLOOKUP($C11,AMABat!$A$10:$BV$140,K$4,FALSE))</f>
        <v/>
      </c>
      <c r="L11" s="31" t="str">
        <f>IF($C11="","",VLOOKUP($C11,AMABat!$A$10:$BV$140,L$4,FALSE))</f>
        <v/>
      </c>
      <c r="M11" s="30" t="str">
        <f>IF($C11="","",VLOOKUP($C11,AMABat!$A$10:$BV$140,M$4,FALSE))</f>
        <v/>
      </c>
      <c r="N11" s="30" t="str">
        <f>IF($C11="","",VLOOKUP($C11,AMABat!$A$10:$BV$140,N$4,FALSE))</f>
        <v/>
      </c>
      <c r="O11" s="30" t="str">
        <f>IF($C11="","",VLOOKUP($C11,AMABat!$A$10:$BV$140,O$4,FALSE))</f>
        <v/>
      </c>
      <c r="P11" s="30" t="str">
        <f>IF($C11="","",VLOOKUP($C11,AMABat!$A$10:$BV$140,P$4,FALSE))</f>
        <v/>
      </c>
      <c r="Q11" s="30" t="str">
        <f>IF($C11="","",VLOOKUP($C11,AMABat!$A$10:$BV$140,Q$4,FALSE))</f>
        <v/>
      </c>
      <c r="R11" s="30" t="str">
        <f>IF($C11="","",VLOOKUP($C11,AMABat!$A$10:$BV$140,R$4,FALSE))</f>
        <v/>
      </c>
      <c r="S11" s="30" t="str">
        <f>IF($C11="","",VLOOKUP($C11,AMABat!$A$10:$BV$140,S$4,FALSE))</f>
        <v/>
      </c>
      <c r="T11" s="31" t="str">
        <f>IF($C11="","",VLOOKUP($C11,AMABat!$A$10:$BV$140,T$4,FALSE))</f>
        <v/>
      </c>
      <c r="U11" s="345" t="str">
        <f t="shared" si="4"/>
        <v/>
      </c>
      <c r="V11" s="339" t="str">
        <f t="shared" si="5"/>
        <v/>
      </c>
      <c r="W11" s="339" t="str">
        <f t="shared" si="6"/>
        <v/>
      </c>
      <c r="X11" s="339" t="str">
        <f t="shared" si="7"/>
        <v/>
      </c>
      <c r="Y11" s="339" t="str">
        <f t="shared" si="8"/>
        <v/>
      </c>
      <c r="Z11" s="339" t="str">
        <f t="shared" si="9"/>
        <v/>
      </c>
      <c r="AA11" s="339" t="str">
        <f t="shared" si="10"/>
        <v/>
      </c>
      <c r="AB11" s="339" t="str">
        <f t="shared" si="11"/>
        <v/>
      </c>
      <c r="AC11" s="340" t="str">
        <f t="shared" si="12"/>
        <v/>
      </c>
      <c r="AD11" s="30" t="str">
        <f>IF($C11="","",VLOOKUP($C11,AMABat!$A$10:$BV$140,AD$4,FALSE))</f>
        <v/>
      </c>
      <c r="AE11" s="30" t="str">
        <f>IF($C11="","",VLOOKUP($C11,AMABat!$A$10:$BV$140,AE$4,FALSE))</f>
        <v/>
      </c>
      <c r="AF11" s="30" t="str">
        <f>IF($C11="","",VLOOKUP($C11,AMABat!$A$10:$BV$140,AF$4,FALSE))</f>
        <v/>
      </c>
      <c r="AG11" s="30" t="str">
        <f>IF($C11="","",VLOOKUP($C11,AMABat!$A$10:$BV$140,AG$4,FALSE))</f>
        <v/>
      </c>
      <c r="AH11" s="30" t="str">
        <f>IF($C11="","",VLOOKUP($C11,AMABat!$A$10:$BV$140,AH$4,FALSE))</f>
        <v/>
      </c>
      <c r="AI11" s="51" t="str">
        <f>IF($C11="","",VLOOKUP($C11,AMABat!$A$10:$BV$140,AI$4,FALSE))</f>
        <v/>
      </c>
      <c r="AJ11" s="31" t="str">
        <f>IF($C11="","",VLOOKUP($C11,AMABat!$A$10:$BV$140,AJ$4,FALSE))</f>
        <v/>
      </c>
      <c r="AK11" s="60" t="str">
        <f t="shared" si="13"/>
        <v/>
      </c>
      <c r="AL11" s="345" t="str">
        <f t="shared" si="14"/>
        <v/>
      </c>
      <c r="AM11" s="339" t="str">
        <f t="shared" si="15"/>
        <v/>
      </c>
      <c r="AN11" s="339" t="str">
        <f t="shared" si="16"/>
        <v/>
      </c>
      <c r="AO11" s="339" t="str">
        <f t="shared" si="17"/>
        <v/>
      </c>
      <c r="AP11" s="339" t="str">
        <f t="shared" si="18"/>
        <v/>
      </c>
      <c r="AQ11" s="339" t="str">
        <f t="shared" si="19"/>
        <v/>
      </c>
      <c r="AR11" s="339" t="str">
        <f t="shared" si="20"/>
        <v/>
      </c>
      <c r="AS11" s="339" t="str">
        <f t="shared" si="21"/>
        <v/>
      </c>
      <c r="AT11" s="340" t="str">
        <f t="shared" si="22"/>
        <v/>
      </c>
      <c r="AU11" s="51" t="str">
        <f>IF($C11="","",VLOOKUP($C11,AMABat!$A$10:$BV$140,AU$4,FALSE))</f>
        <v/>
      </c>
      <c r="AV11" s="30" t="str">
        <f>IF($C11="","",VLOOKUP($C11,AMABat!$A$10:$BV$140,AV$4,FALSE))</f>
        <v/>
      </c>
      <c r="AW11" s="30" t="str">
        <f>IF($C11="","",VLOOKUP($C11,AMABat!$A$10:$BV$140,AW$4,FALSE))</f>
        <v/>
      </c>
      <c r="AX11" s="30" t="str">
        <f>IF($C11="","",VLOOKUP($C11,AMABat!$A$10:$BV$140,AX$4,FALSE))</f>
        <v/>
      </c>
      <c r="AY11" s="31" t="str">
        <f>IF($C11="","",VLOOKUP($C11,AMABat!$A$10:$BV$140,AY$4,FALSE))</f>
        <v/>
      </c>
      <c r="AZ11" s="60" t="str">
        <f t="shared" si="23"/>
        <v/>
      </c>
    </row>
    <row r="12" spans="1:52" x14ac:dyDescent="0.25">
      <c r="A12" s="305">
        <v>7</v>
      </c>
      <c r="B12" s="29" t="s">
        <v>80</v>
      </c>
      <c r="C12" s="58"/>
      <c r="D12" s="30" t="str">
        <f>IF($C12="","",VLOOKUP($C12,AMABat!$A$10:$BV$140,D$4,FALSE))</f>
        <v/>
      </c>
      <c r="E12" s="30" t="str">
        <f>IF($C12="","",VLOOKUP($C12,AMABat!$A$10:$BV$140,E$4,FALSE))</f>
        <v/>
      </c>
      <c r="F12" s="345" t="str">
        <f t="shared" si="0"/>
        <v/>
      </c>
      <c r="G12" s="339" t="str">
        <f t="shared" si="1"/>
        <v/>
      </c>
      <c r="H12" s="339" t="str">
        <f t="shared" si="2"/>
        <v/>
      </c>
      <c r="I12" s="339" t="str">
        <f t="shared" si="3"/>
        <v/>
      </c>
      <c r="J12" s="51" t="str">
        <f>IF($C12="","",VLOOKUP($C12,AMABat!$A$10:$BV$140,J$4,FALSE))</f>
        <v/>
      </c>
      <c r="K12" s="30" t="str">
        <f>IF($C12="","",VLOOKUP($C12,AMABat!$A$10:$BV$140,K$4,FALSE))</f>
        <v/>
      </c>
      <c r="L12" s="31" t="str">
        <f>IF($C12="","",VLOOKUP($C12,AMABat!$A$10:$BV$140,L$4,FALSE))</f>
        <v/>
      </c>
      <c r="M12" s="30" t="str">
        <f>IF($C12="","",VLOOKUP($C12,AMABat!$A$10:$BV$140,M$4,FALSE))</f>
        <v/>
      </c>
      <c r="N12" s="30" t="str">
        <f>IF($C12="","",VLOOKUP($C12,AMABat!$A$10:$BV$140,N$4,FALSE))</f>
        <v/>
      </c>
      <c r="O12" s="30" t="str">
        <f>IF($C12="","",VLOOKUP($C12,AMABat!$A$10:$BV$140,O$4,FALSE))</f>
        <v/>
      </c>
      <c r="P12" s="30" t="str">
        <f>IF($C12="","",VLOOKUP($C12,AMABat!$A$10:$BV$140,P$4,FALSE))</f>
        <v/>
      </c>
      <c r="Q12" s="30" t="str">
        <f>IF($C12="","",VLOOKUP($C12,AMABat!$A$10:$BV$140,Q$4,FALSE))</f>
        <v/>
      </c>
      <c r="R12" s="30" t="str">
        <f>IF($C12="","",VLOOKUP($C12,AMABat!$A$10:$BV$140,R$4,FALSE))</f>
        <v/>
      </c>
      <c r="S12" s="30" t="str">
        <f>IF($C12="","",VLOOKUP($C12,AMABat!$A$10:$BV$140,S$4,FALSE))</f>
        <v/>
      </c>
      <c r="T12" s="31" t="str">
        <f>IF($C12="","",VLOOKUP($C12,AMABat!$A$10:$BV$140,T$4,FALSE))</f>
        <v/>
      </c>
      <c r="U12" s="345" t="str">
        <f t="shared" si="4"/>
        <v/>
      </c>
      <c r="V12" s="339" t="str">
        <f t="shared" si="5"/>
        <v/>
      </c>
      <c r="W12" s="339" t="str">
        <f t="shared" si="6"/>
        <v/>
      </c>
      <c r="X12" s="339" t="str">
        <f t="shared" si="7"/>
        <v/>
      </c>
      <c r="Y12" s="339" t="str">
        <f t="shared" si="8"/>
        <v/>
      </c>
      <c r="Z12" s="339" t="str">
        <f t="shared" si="9"/>
        <v/>
      </c>
      <c r="AA12" s="339" t="str">
        <f t="shared" si="10"/>
        <v/>
      </c>
      <c r="AB12" s="339" t="str">
        <f t="shared" si="11"/>
        <v/>
      </c>
      <c r="AC12" s="340" t="str">
        <f t="shared" si="12"/>
        <v/>
      </c>
      <c r="AD12" s="30" t="str">
        <f>IF($C12="","",VLOOKUP($C12,AMABat!$A$10:$BV$140,AD$4,FALSE))</f>
        <v/>
      </c>
      <c r="AE12" s="30" t="str">
        <f>IF($C12="","",VLOOKUP($C12,AMABat!$A$10:$BV$140,AE$4,FALSE))</f>
        <v/>
      </c>
      <c r="AF12" s="30" t="str">
        <f>IF($C12="","",VLOOKUP($C12,AMABat!$A$10:$BV$140,AF$4,FALSE))</f>
        <v/>
      </c>
      <c r="AG12" s="30" t="str">
        <f>IF($C12="","",VLOOKUP($C12,AMABat!$A$10:$BV$140,AG$4,FALSE))</f>
        <v/>
      </c>
      <c r="AH12" s="30" t="str">
        <f>IF($C12="","",VLOOKUP($C12,AMABat!$A$10:$BV$140,AH$4,FALSE))</f>
        <v/>
      </c>
      <c r="AI12" s="51" t="str">
        <f>IF($C12="","",VLOOKUP($C12,AMABat!$A$10:$BV$140,AI$4,FALSE))</f>
        <v/>
      </c>
      <c r="AJ12" s="31" t="str">
        <f>IF($C12="","",VLOOKUP($C12,AMABat!$A$10:$BV$140,AJ$4,FALSE))</f>
        <v/>
      </c>
      <c r="AK12" s="60" t="str">
        <f t="shared" si="13"/>
        <v/>
      </c>
      <c r="AL12" s="345" t="str">
        <f t="shared" si="14"/>
        <v/>
      </c>
      <c r="AM12" s="339" t="str">
        <f t="shared" si="15"/>
        <v/>
      </c>
      <c r="AN12" s="339" t="str">
        <f t="shared" si="16"/>
        <v/>
      </c>
      <c r="AO12" s="339" t="str">
        <f t="shared" si="17"/>
        <v/>
      </c>
      <c r="AP12" s="339" t="str">
        <f t="shared" si="18"/>
        <v/>
      </c>
      <c r="AQ12" s="339" t="str">
        <f t="shared" si="19"/>
        <v/>
      </c>
      <c r="AR12" s="339" t="str">
        <f t="shared" si="20"/>
        <v/>
      </c>
      <c r="AS12" s="339" t="str">
        <f t="shared" si="21"/>
        <v/>
      </c>
      <c r="AT12" s="340" t="str">
        <f t="shared" si="22"/>
        <v/>
      </c>
      <c r="AU12" s="51" t="str">
        <f>IF($C12="","",VLOOKUP($C12,AMABat!$A$10:$BV$140,AU$4,FALSE))</f>
        <v/>
      </c>
      <c r="AV12" s="30" t="str">
        <f>IF($C12="","",VLOOKUP($C12,AMABat!$A$10:$BV$140,AV$4,FALSE))</f>
        <v/>
      </c>
      <c r="AW12" s="30" t="str">
        <f>IF($C12="","",VLOOKUP($C12,AMABat!$A$10:$BV$140,AW$4,FALSE))</f>
        <v/>
      </c>
      <c r="AX12" s="30" t="str">
        <f>IF($C12="","",VLOOKUP($C12,AMABat!$A$10:$BV$140,AX$4,FALSE))</f>
        <v/>
      </c>
      <c r="AY12" s="31" t="str">
        <f>IF($C12="","",VLOOKUP($C12,AMABat!$A$10:$BV$140,AY$4,FALSE))</f>
        <v/>
      </c>
      <c r="AZ12" s="60" t="str">
        <f t="shared" si="23"/>
        <v/>
      </c>
    </row>
    <row r="13" spans="1:52" x14ac:dyDescent="0.25">
      <c r="A13" s="305">
        <v>8</v>
      </c>
      <c r="B13" s="29" t="s">
        <v>80</v>
      </c>
      <c r="C13" s="58"/>
      <c r="D13" s="30" t="str">
        <f>IF($C13="","",VLOOKUP($C13,AMABat!$A$10:$BV$140,D$4,FALSE))</f>
        <v/>
      </c>
      <c r="E13" s="30" t="str">
        <f>IF($C13="","",VLOOKUP($C13,AMABat!$A$10:$BV$140,E$4,FALSE))</f>
        <v/>
      </c>
      <c r="F13" s="345" t="str">
        <f t="shared" si="0"/>
        <v/>
      </c>
      <c r="G13" s="339" t="str">
        <f t="shared" si="1"/>
        <v/>
      </c>
      <c r="H13" s="339" t="str">
        <f t="shared" si="2"/>
        <v/>
      </c>
      <c r="I13" s="339" t="str">
        <f t="shared" si="3"/>
        <v/>
      </c>
      <c r="J13" s="51" t="str">
        <f>IF($C13="","",VLOOKUP($C13,AMABat!$A$10:$BV$140,J$4,FALSE))</f>
        <v/>
      </c>
      <c r="K13" s="30" t="str">
        <f>IF($C13="","",VLOOKUP($C13,AMABat!$A$10:$BV$140,K$4,FALSE))</f>
        <v/>
      </c>
      <c r="L13" s="31" t="str">
        <f>IF($C13="","",VLOOKUP($C13,AMABat!$A$10:$BV$140,L$4,FALSE))</f>
        <v/>
      </c>
      <c r="M13" s="30" t="str">
        <f>IF($C13="","",VLOOKUP($C13,AMABat!$A$10:$BV$140,M$4,FALSE))</f>
        <v/>
      </c>
      <c r="N13" s="30" t="str">
        <f>IF($C13="","",VLOOKUP($C13,AMABat!$A$10:$BV$140,N$4,FALSE))</f>
        <v/>
      </c>
      <c r="O13" s="30" t="str">
        <f>IF($C13="","",VLOOKUP($C13,AMABat!$A$10:$BV$140,O$4,FALSE))</f>
        <v/>
      </c>
      <c r="P13" s="30" t="str">
        <f>IF($C13="","",VLOOKUP($C13,AMABat!$A$10:$BV$140,P$4,FALSE))</f>
        <v/>
      </c>
      <c r="Q13" s="30" t="str">
        <f>IF($C13="","",VLOOKUP($C13,AMABat!$A$10:$BV$140,Q$4,FALSE))</f>
        <v/>
      </c>
      <c r="R13" s="30" t="str">
        <f>IF($C13="","",VLOOKUP($C13,AMABat!$A$10:$BV$140,R$4,FALSE))</f>
        <v/>
      </c>
      <c r="S13" s="30" t="str">
        <f>IF($C13="","",VLOOKUP($C13,AMABat!$A$10:$BV$140,S$4,FALSE))</f>
        <v/>
      </c>
      <c r="T13" s="31" t="str">
        <f>IF($C13="","",VLOOKUP($C13,AMABat!$A$10:$BV$140,T$4,FALSE))</f>
        <v/>
      </c>
      <c r="U13" s="345" t="str">
        <f t="shared" si="4"/>
        <v/>
      </c>
      <c r="V13" s="339" t="str">
        <f t="shared" si="5"/>
        <v/>
      </c>
      <c r="W13" s="339" t="str">
        <f t="shared" si="6"/>
        <v/>
      </c>
      <c r="X13" s="339" t="str">
        <f t="shared" si="7"/>
        <v/>
      </c>
      <c r="Y13" s="339" t="str">
        <f t="shared" si="8"/>
        <v/>
      </c>
      <c r="Z13" s="339" t="str">
        <f t="shared" si="9"/>
        <v/>
      </c>
      <c r="AA13" s="339" t="str">
        <f t="shared" si="10"/>
        <v/>
      </c>
      <c r="AB13" s="339" t="str">
        <f t="shared" si="11"/>
        <v/>
      </c>
      <c r="AC13" s="340" t="str">
        <f t="shared" si="12"/>
        <v/>
      </c>
      <c r="AD13" s="30" t="str">
        <f>IF($C13="","",VLOOKUP($C13,AMABat!$A$10:$BV$140,AD$4,FALSE))</f>
        <v/>
      </c>
      <c r="AE13" s="30" t="str">
        <f>IF($C13="","",VLOOKUP($C13,AMABat!$A$10:$BV$140,AE$4,FALSE))</f>
        <v/>
      </c>
      <c r="AF13" s="30" t="str">
        <f>IF($C13="","",VLOOKUP($C13,AMABat!$A$10:$BV$140,AF$4,FALSE))</f>
        <v/>
      </c>
      <c r="AG13" s="30" t="str">
        <f>IF($C13="","",VLOOKUP($C13,AMABat!$A$10:$BV$140,AG$4,FALSE))</f>
        <v/>
      </c>
      <c r="AH13" s="30" t="str">
        <f>IF($C13="","",VLOOKUP($C13,AMABat!$A$10:$BV$140,AH$4,FALSE))</f>
        <v/>
      </c>
      <c r="AI13" s="51" t="str">
        <f>IF($C13="","",VLOOKUP($C13,AMABat!$A$10:$BV$140,AI$4,FALSE))</f>
        <v/>
      </c>
      <c r="AJ13" s="31" t="str">
        <f>IF($C13="","",VLOOKUP($C13,AMABat!$A$10:$BV$140,AJ$4,FALSE))</f>
        <v/>
      </c>
      <c r="AK13" s="60" t="str">
        <f t="shared" si="13"/>
        <v/>
      </c>
      <c r="AL13" s="345" t="str">
        <f t="shared" si="14"/>
        <v/>
      </c>
      <c r="AM13" s="339" t="str">
        <f t="shared" si="15"/>
        <v/>
      </c>
      <c r="AN13" s="339" t="str">
        <f t="shared" si="16"/>
        <v/>
      </c>
      <c r="AO13" s="339" t="str">
        <f t="shared" si="17"/>
        <v/>
      </c>
      <c r="AP13" s="339" t="str">
        <f t="shared" si="18"/>
        <v/>
      </c>
      <c r="AQ13" s="339" t="str">
        <f t="shared" si="19"/>
        <v/>
      </c>
      <c r="AR13" s="339" t="str">
        <f t="shared" si="20"/>
        <v/>
      </c>
      <c r="AS13" s="339" t="str">
        <f t="shared" si="21"/>
        <v/>
      </c>
      <c r="AT13" s="340" t="str">
        <f t="shared" si="22"/>
        <v/>
      </c>
      <c r="AU13" s="51" t="str">
        <f>IF($C13="","",VLOOKUP($C13,AMABat!$A$10:$BV$140,AU$4,FALSE))</f>
        <v/>
      </c>
      <c r="AV13" s="30" t="str">
        <f>IF($C13="","",VLOOKUP($C13,AMABat!$A$10:$BV$140,AV$4,FALSE))</f>
        <v/>
      </c>
      <c r="AW13" s="30" t="str">
        <f>IF($C13="","",VLOOKUP($C13,AMABat!$A$10:$BV$140,AW$4,FALSE))</f>
        <v/>
      </c>
      <c r="AX13" s="30" t="str">
        <f>IF($C13="","",VLOOKUP($C13,AMABat!$A$10:$BV$140,AX$4,FALSE))</f>
        <v/>
      </c>
      <c r="AY13" s="31" t="str">
        <f>IF($C13="","",VLOOKUP($C13,AMABat!$A$10:$BV$140,AY$4,FALSE))</f>
        <v/>
      </c>
      <c r="AZ13" s="60" t="str">
        <f t="shared" si="23"/>
        <v/>
      </c>
    </row>
    <row r="14" spans="1:52" x14ac:dyDescent="0.25">
      <c r="A14" s="305">
        <v>9</v>
      </c>
      <c r="B14" s="32" t="s">
        <v>80</v>
      </c>
      <c r="C14" s="33"/>
      <c r="D14" s="33" t="str">
        <f>IF($C14="","",VLOOKUP($C14,AMABat!$A$10:$BV$140,D$4,FALSE))</f>
        <v/>
      </c>
      <c r="E14" s="33" t="str">
        <f>IF($C14="","",VLOOKUP($C14,AMABat!$A$10:$BV$140,E$4,FALSE))</f>
        <v/>
      </c>
      <c r="F14" s="47" t="str">
        <f t="shared" si="0"/>
        <v/>
      </c>
      <c r="G14" s="337" t="str">
        <f t="shared" si="1"/>
        <v/>
      </c>
      <c r="H14" s="337" t="str">
        <f t="shared" si="2"/>
        <v/>
      </c>
      <c r="I14" s="337" t="str">
        <f t="shared" si="3"/>
        <v/>
      </c>
      <c r="J14" s="52" t="str">
        <f>IF($C14="","",VLOOKUP($C14,AMABat!$A$10:$BV$140,J$4,FALSE))</f>
        <v/>
      </c>
      <c r="K14" s="33" t="str">
        <f>IF($C14="","",VLOOKUP($C14,AMABat!$A$10:$BV$140,K$4,FALSE))</f>
        <v/>
      </c>
      <c r="L14" s="35" t="str">
        <f>IF($C14="","",VLOOKUP($C14,AMABat!$A$10:$BV$140,L$4,FALSE))</f>
        <v/>
      </c>
      <c r="M14" s="33" t="str">
        <f>IF($C14="","",VLOOKUP($C14,AMABat!$A$10:$BV$140,M$4,FALSE))</f>
        <v/>
      </c>
      <c r="N14" s="33" t="str">
        <f>IF($C14="","",VLOOKUP($C14,AMABat!$A$10:$BV$140,N$4,FALSE))</f>
        <v/>
      </c>
      <c r="O14" s="33" t="str">
        <f>IF($C14="","",VLOOKUP($C14,AMABat!$A$10:$BV$140,O$4,FALSE))</f>
        <v/>
      </c>
      <c r="P14" s="33" t="str">
        <f>IF($C14="","",VLOOKUP($C14,AMABat!$A$10:$BV$140,P$4,FALSE))</f>
        <v/>
      </c>
      <c r="Q14" s="33" t="str">
        <f>IF($C14="","",VLOOKUP($C14,AMABat!$A$10:$BV$140,Q$4,FALSE))</f>
        <v/>
      </c>
      <c r="R14" s="33" t="str">
        <f>IF($C14="","",VLOOKUP($C14,AMABat!$A$10:$BV$140,R$4,FALSE))</f>
        <v/>
      </c>
      <c r="S14" s="33" t="str">
        <f>IF($C14="","",VLOOKUP($C14,AMABat!$A$10:$BV$140,S$4,FALSE))</f>
        <v/>
      </c>
      <c r="T14" s="35" t="str">
        <f>IF($C14="","",VLOOKUP($C14,AMABat!$A$10:$BV$140,T$4,FALSE))</f>
        <v/>
      </c>
      <c r="U14" s="47" t="str">
        <f t="shared" si="4"/>
        <v/>
      </c>
      <c r="V14" s="337" t="str">
        <f t="shared" si="5"/>
        <v/>
      </c>
      <c r="W14" s="337" t="str">
        <f t="shared" si="6"/>
        <v/>
      </c>
      <c r="X14" s="337" t="str">
        <f t="shared" si="7"/>
        <v/>
      </c>
      <c r="Y14" s="337" t="str">
        <f t="shared" si="8"/>
        <v/>
      </c>
      <c r="Z14" s="337" t="str">
        <f t="shared" si="9"/>
        <v/>
      </c>
      <c r="AA14" s="337" t="str">
        <f t="shared" si="10"/>
        <v/>
      </c>
      <c r="AB14" s="337" t="str">
        <f t="shared" si="11"/>
        <v/>
      </c>
      <c r="AC14" s="338" t="str">
        <f t="shared" si="12"/>
        <v/>
      </c>
      <c r="AD14" s="33" t="str">
        <f>IF($C14="","",VLOOKUP($C14,AMABat!$A$10:$BV$140,AD$4,FALSE))</f>
        <v/>
      </c>
      <c r="AE14" s="33" t="str">
        <f>IF($C14="","",VLOOKUP($C14,AMABat!$A$10:$BV$140,AE$4,FALSE))</f>
        <v/>
      </c>
      <c r="AF14" s="33" t="str">
        <f>IF($C14="","",VLOOKUP($C14,AMABat!$A$10:$BV$140,AF$4,FALSE))</f>
        <v/>
      </c>
      <c r="AG14" s="33" t="str">
        <f>IF($C14="","",VLOOKUP($C14,AMABat!$A$10:$BV$140,AG$4,FALSE))</f>
        <v/>
      </c>
      <c r="AH14" s="33" t="str">
        <f>IF($C14="","",VLOOKUP($C14,AMABat!$A$10:$BV$140,AH$4,FALSE))</f>
        <v/>
      </c>
      <c r="AI14" s="52" t="str">
        <f>IF($C14="","",VLOOKUP($C14,AMABat!$A$10:$BV$140,AI$4,FALSE))</f>
        <v/>
      </c>
      <c r="AJ14" s="35" t="str">
        <f>IF($C14="","",VLOOKUP($C14,AMABat!$A$10:$BV$140,AJ$4,FALSE))</f>
        <v/>
      </c>
      <c r="AK14" s="61" t="str">
        <f t="shared" si="13"/>
        <v/>
      </c>
      <c r="AL14" s="47" t="str">
        <f t="shared" si="14"/>
        <v/>
      </c>
      <c r="AM14" s="337" t="str">
        <f t="shared" si="15"/>
        <v/>
      </c>
      <c r="AN14" s="337" t="str">
        <f t="shared" si="16"/>
        <v/>
      </c>
      <c r="AO14" s="337" t="str">
        <f t="shared" si="17"/>
        <v/>
      </c>
      <c r="AP14" s="337" t="str">
        <f t="shared" si="18"/>
        <v/>
      </c>
      <c r="AQ14" s="337" t="str">
        <f t="shared" si="19"/>
        <v/>
      </c>
      <c r="AR14" s="337" t="str">
        <f t="shared" si="20"/>
        <v/>
      </c>
      <c r="AS14" s="337" t="str">
        <f t="shared" si="21"/>
        <v/>
      </c>
      <c r="AT14" s="338" t="str">
        <f t="shared" si="22"/>
        <v/>
      </c>
      <c r="AU14" s="52" t="str">
        <f>IF($C14="","",VLOOKUP($C14,AMABat!$A$10:$BV$140,AU$4,FALSE))</f>
        <v/>
      </c>
      <c r="AV14" s="33" t="str">
        <f>IF($C14="","",VLOOKUP($C14,AMABat!$A$10:$BV$140,AV$4,FALSE))</f>
        <v/>
      </c>
      <c r="AW14" s="33" t="str">
        <f>IF($C14="","",VLOOKUP($C14,AMABat!$A$10:$BV$140,AW$4,FALSE))</f>
        <v/>
      </c>
      <c r="AX14" s="33" t="str">
        <f>IF($C14="","",VLOOKUP($C14,AMABat!$A$10:$BV$140,AX$4,FALSE))</f>
        <v/>
      </c>
      <c r="AY14" s="35" t="str">
        <f>IF($C14="","",VLOOKUP($C14,AMABat!$A$10:$BV$140,AY$4,FALSE))</f>
        <v/>
      </c>
      <c r="AZ14" s="61" t="str">
        <f t="shared" si="23"/>
        <v/>
      </c>
    </row>
    <row r="15" spans="1:52" x14ac:dyDescent="0.25">
      <c r="A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</row>
    <row r="16" spans="1:52" ht="196.5" x14ac:dyDescent="0.25">
      <c r="A16" s="18" t="s">
        <v>170</v>
      </c>
      <c r="B16" s="341" t="s">
        <v>103</v>
      </c>
      <c r="C16" s="37" t="str">
        <f>"Player ("&amp;COUNTA(C17:C22)&amp;")"</f>
        <v>Player (0)</v>
      </c>
      <c r="D16" s="37" t="s">
        <v>70</v>
      </c>
      <c r="E16" s="37" t="s">
        <v>80</v>
      </c>
      <c r="F16" s="44" t="str">
        <f>"Only 1 guy who only plays 2B ("&amp;SUM(F17:F22)&amp;")"</f>
        <v>Only 1 guy who only plays 2B (0)</v>
      </c>
      <c r="G16" s="39" t="str">
        <f>"2 Guys Who Play SS ("&amp;SUM(G17:G22)&amp;")"</f>
        <v>2 Guys Who Play SS (0)</v>
      </c>
      <c r="H16" s="39" t="str">
        <f>"2 guys with 3B arm ("&amp;SUM(H17:H22)&amp;")"</f>
        <v>2 guys with 3B arm (0)</v>
      </c>
      <c r="I16" s="42" t="s">
        <v>32</v>
      </c>
      <c r="J16" s="40" t="s">
        <v>114</v>
      </c>
      <c r="K16" s="40" t="s">
        <v>112</v>
      </c>
      <c r="L16" s="40" t="s">
        <v>113</v>
      </c>
      <c r="M16" s="56" t="s">
        <v>71</v>
      </c>
      <c r="N16" s="41" t="s">
        <v>73</v>
      </c>
      <c r="O16" s="41" t="s">
        <v>74</v>
      </c>
      <c r="P16" s="41" t="s">
        <v>75</v>
      </c>
      <c r="Q16" s="41" t="s">
        <v>76</v>
      </c>
      <c r="R16" s="41" t="s">
        <v>77</v>
      </c>
      <c r="S16" s="41" t="s">
        <v>78</v>
      </c>
      <c r="T16" s="42" t="s">
        <v>79</v>
      </c>
      <c r="U16" s="38" t="s">
        <v>115</v>
      </c>
      <c r="V16" s="38" t="s">
        <v>158</v>
      </c>
      <c r="W16" s="38" t="s">
        <v>116</v>
      </c>
      <c r="X16" s="38" t="s">
        <v>117</v>
      </c>
      <c r="Y16" s="38" t="s">
        <v>118</v>
      </c>
      <c r="Z16" s="38" t="s">
        <v>119</v>
      </c>
      <c r="AA16" s="38" t="s">
        <v>120</v>
      </c>
      <c r="AB16" s="38" t="s">
        <v>122</v>
      </c>
      <c r="AC16" s="38" t="s">
        <v>121</v>
      </c>
      <c r="AD16" s="56" t="s">
        <v>125</v>
      </c>
      <c r="AE16" s="41" t="s">
        <v>126</v>
      </c>
      <c r="AF16" s="41" t="s">
        <v>127</v>
      </c>
      <c r="AG16" s="41" t="s">
        <v>128</v>
      </c>
      <c r="AH16" s="41" t="s">
        <v>21</v>
      </c>
      <c r="AI16" s="41" t="s">
        <v>129</v>
      </c>
      <c r="AJ16" s="42" t="s">
        <v>130</v>
      </c>
      <c r="AK16" s="59" t="s">
        <v>134</v>
      </c>
      <c r="AL16" s="38" t="s">
        <v>115</v>
      </c>
      <c r="AM16" s="38" t="s">
        <v>158</v>
      </c>
      <c r="AN16" s="38" t="s">
        <v>116</v>
      </c>
      <c r="AO16" s="38" t="s">
        <v>117</v>
      </c>
      <c r="AP16" s="38" t="s">
        <v>118</v>
      </c>
      <c r="AQ16" s="38" t="s">
        <v>119</v>
      </c>
      <c r="AR16" s="38" t="s">
        <v>120</v>
      </c>
      <c r="AS16" s="38" t="s">
        <v>122</v>
      </c>
      <c r="AT16" s="38" t="s">
        <v>121</v>
      </c>
      <c r="AU16" s="56" t="s">
        <v>125</v>
      </c>
      <c r="AV16" s="41" t="s">
        <v>126</v>
      </c>
      <c r="AW16" s="41" t="s">
        <v>127</v>
      </c>
      <c r="AX16" s="41" t="s">
        <v>128</v>
      </c>
      <c r="AY16" s="42" t="s">
        <v>21</v>
      </c>
      <c r="AZ16" s="59" t="s">
        <v>174</v>
      </c>
    </row>
    <row r="17" spans="1:52" x14ac:dyDescent="0.25">
      <c r="A17" s="305">
        <v>1</v>
      </c>
      <c r="B17" s="29" t="s">
        <v>74</v>
      </c>
      <c r="C17" s="30"/>
      <c r="D17" s="30" t="str">
        <f>IF($C17="","",VLOOKUP($C17,AMABat!$A$10:$BV$140,D$4,FALSE))</f>
        <v/>
      </c>
      <c r="E17" s="26" t="str">
        <f>IF($C17="","",VLOOKUP($C17,AMABat!$A$10:$BV$140,E$4,FALSE))</f>
        <v/>
      </c>
      <c r="F17" s="345" t="str">
        <f t="shared" ref="F17:F22" si="24">IF($C17="","",IF(AND(O17&gt;0,O17=SUM(M17:T17)),1,0))</f>
        <v/>
      </c>
      <c r="G17" s="339" t="str">
        <f t="shared" ref="G17:G22" si="25">IF($C17="","",IF(Q17&lt;&gt;"-",1,0))</f>
        <v/>
      </c>
      <c r="H17" s="339" t="str">
        <f t="shared" ref="H17:H22" si="26">IF($C17="","",IF(AND(K17&gt;5,P17&lt;&gt;"-"),1,0))</f>
        <v/>
      </c>
      <c r="I17" s="340" t="str">
        <f t="shared" ref="I17:I22" si="27">IF($C17="","","-")</f>
        <v/>
      </c>
      <c r="J17" s="30" t="str">
        <f>IF($C17="","",VLOOKUP($C17,AMABat!$A$10:$BV$140,J$4,FALSE))</f>
        <v/>
      </c>
      <c r="K17" s="30" t="str">
        <f>IF($C17="","",VLOOKUP($C17,AMABat!$A$10:$BV$140,K$4,FALSE))</f>
        <v/>
      </c>
      <c r="L17" s="30" t="str">
        <f>IF($C17="","",VLOOKUP($C17,AMABat!$A$10:$BV$140,L$4,FALSE))</f>
        <v/>
      </c>
      <c r="M17" s="51" t="str">
        <f>IF($C17="","",VLOOKUP($C17,AMABat!$A$10:$BV$140,M$4,FALSE))</f>
        <v/>
      </c>
      <c r="N17" s="30" t="str">
        <f>IF($C17="","",VLOOKUP($C17,AMABat!$A$10:$BV$140,N$4,FALSE))</f>
        <v/>
      </c>
      <c r="O17" s="30" t="str">
        <f>IF($C17="","",VLOOKUP($C17,AMABat!$A$10:$BV$140,O$4,FALSE))</f>
        <v/>
      </c>
      <c r="P17" s="30" t="str">
        <f>IF($C17="","",VLOOKUP($C17,AMABat!$A$10:$BV$140,P$4,FALSE))</f>
        <v/>
      </c>
      <c r="Q17" s="30" t="str">
        <f>IF($C17="","",VLOOKUP($C17,AMABat!$A$10:$BV$140,Q$4,FALSE))</f>
        <v/>
      </c>
      <c r="R17" s="30" t="str">
        <f>IF($C17="","",VLOOKUP($C17,AMABat!$A$10:$BV$140,R$4,FALSE))</f>
        <v/>
      </c>
      <c r="S17" s="30" t="str">
        <f>IF($C17="","",VLOOKUP($C17,AMABat!$A$10:$BV$140,S$4,FALSE))</f>
        <v/>
      </c>
      <c r="T17" s="31" t="str">
        <f>IF($C17="","",VLOOKUP($C17,AMABat!$A$10:$BV$140,T$4,FALSE))</f>
        <v/>
      </c>
      <c r="U17" s="339" t="str">
        <f t="shared" ref="U17:U22" si="28">IF($C17="","",IF(OR(AD17+AG17&gt;14,AND(OR(AD17+AG17&gt;12,AND(AD17&gt;6,AG17&gt;6)),AI17&gt;6,OR(AJ17&gt;=AI17,AJ17&gt;6))),1,0))</f>
        <v/>
      </c>
      <c r="V17" s="339" t="str">
        <f t="shared" ref="V17:V22" si="29">IF($C17="","",IF(OR(AND(AD17&gt;6,AH17&gt;6),AD17+AG17&gt;12),1,0))</f>
        <v/>
      </c>
      <c r="W17" s="339" t="str">
        <f t="shared" ref="W17:W22" si="30">IF($C17="","",IF(AND(AD17&gt;6,AF17&gt;6,AG17&gt;6),1,0))</f>
        <v/>
      </c>
      <c r="X17" s="339" t="str">
        <f t="shared" ref="X17:X22" si="31">IF($C17="","",IF(AND(AF17&gt;7,OR(AD17&gt;6,AG17&gt;6)),1,0))</f>
        <v/>
      </c>
      <c r="Y17" s="339" t="str">
        <f t="shared" ref="Y17:Y22" si="32">IF($C17="","",IF(AND(AF17&gt;6,OR(AD17&gt;6,AG17&gt;6)),1,0))</f>
        <v/>
      </c>
      <c r="Z17" s="339" t="str">
        <f t="shared" ref="Z17:Z22" si="33">IF($C17="","",IF(AND(OR(AD17&gt;6,AF17&gt;6),OR(AD17&gt;6,AG17&gt;6)),1,0))</f>
        <v/>
      </c>
      <c r="AA17" s="339" t="str">
        <f t="shared" ref="AA17:AA22" si="34">IF($C17="","",IF(AND(AD17&gt;4,OR(AD17&gt;6,AF17&gt;6,AG17&gt;6)),1,0))</f>
        <v/>
      </c>
      <c r="AB17" s="339" t="str">
        <f t="shared" ref="AB17:AB22" si="35">IF($C17="","",IF(AND(AD17&gt;4,OR(AD17&gt;6,AE17&gt;6,AF17&gt;6,AG17&gt;6)),1,0))</f>
        <v/>
      </c>
      <c r="AC17" s="339" t="str">
        <f t="shared" ref="AC17:AC22" si="36">IF($C17="","",IF(AND(AD17&gt;4,MAX(AD17:AH17)&gt;6),1,0))</f>
        <v/>
      </c>
      <c r="AD17" s="51" t="str">
        <f>IF($C17="","",VLOOKUP($C17,AMABat!$A$10:$BV$140,AD$4,FALSE))</f>
        <v/>
      </c>
      <c r="AE17" s="30" t="str">
        <f>IF($C17="","",VLOOKUP($C17,AMABat!$A$10:$BV$140,AE$4,FALSE))</f>
        <v/>
      </c>
      <c r="AF17" s="30" t="str">
        <f>IF($C17="","",VLOOKUP($C17,AMABat!$A$10:$BV$140,AF$4,FALSE))</f>
        <v/>
      </c>
      <c r="AG17" s="30" t="str">
        <f>IF($C17="","",VLOOKUP($C17,AMABat!$A$10:$BV$140,AG$4,FALSE))</f>
        <v/>
      </c>
      <c r="AH17" s="30" t="str">
        <f>IF($C17="","",VLOOKUP($C17,AMABat!$A$10:$BV$140,AH$4,FALSE))</f>
        <v/>
      </c>
      <c r="AI17" s="30" t="str">
        <f>IF($C17="","",VLOOKUP($C17,AMABat!$A$10:$BV$140,AI$4,FALSE))</f>
        <v/>
      </c>
      <c r="AJ17" s="31" t="str">
        <f>IF($C17="","",VLOOKUP($C17,AMABat!$A$10:$BV$140,AJ$4,FALSE))</f>
        <v/>
      </c>
      <c r="AK17" s="60" t="str">
        <f t="shared" ref="AK17:AK22" si="37">IF($C17="","",(5*AD17+4*AF17+3*AG17+2*AE17+1*AH17+0.5*(AVERAGE(AD17:AE17))+0.5*AVERAGE(AD17,AH17)+1*(AVERAGE(AD17,AF17))+1*AVERAGE(AD17,AG17))/(5+4+3+2+1+0.5+0.5+1+1))</f>
        <v/>
      </c>
      <c r="AL17" s="339" t="str">
        <f t="shared" ref="AL17:AL22" si="38">IF($C17="","",IF(AND(OR(AU17+AX17&gt;12,AND(AU17&gt;6,AX17&gt;6)),AI17&gt;6,OR(AJ17&gt;=AI17,AJ17&gt;6)),1,0))</f>
        <v/>
      </c>
      <c r="AM17" s="339" t="str">
        <f t="shared" ref="AM17:AM22" si="39">IF($C17="","",IF(OR(AND(AU17&gt;6,AY17&gt;6),AU17+AX17&gt;12),1,0))</f>
        <v/>
      </c>
      <c r="AN17" s="339" t="str">
        <f t="shared" ref="AN17:AN22" si="40">IF($C17="","",IF(AND(AU17&gt;6,AW17&gt;6,AX17&gt;6),1,0))</f>
        <v/>
      </c>
      <c r="AO17" s="339" t="str">
        <f t="shared" ref="AO17:AO22" si="41">IF($C17="","",IF(AND(AW17&gt;7,OR(AU17&gt;6,AX17&gt;6)),1,0))</f>
        <v/>
      </c>
      <c r="AP17" s="339" t="str">
        <f t="shared" ref="AP17:AP22" si="42">IF($C17="","",IF(AND(AW17&gt;6,OR(AU17&gt;6,AX17&gt;6)),1,0))</f>
        <v/>
      </c>
      <c r="AQ17" s="339" t="str">
        <f t="shared" ref="AQ17:AQ22" si="43">IF($C17="","",IF(AND(OR(AU17&gt;6,AW17&gt;6),OR(AU17&gt;6,AX17&gt;6)),1,0))</f>
        <v/>
      </c>
      <c r="AR17" s="339" t="str">
        <f t="shared" ref="AR17:AR22" si="44">IF($C17="","",IF(AND(AU17&gt;4,OR(AU17&gt;6,AW17&gt;6,AX17&gt;6)),1,0))</f>
        <v/>
      </c>
      <c r="AS17" s="339" t="str">
        <f t="shared" ref="AS17:AS22" si="45">IF($C17="","",IF(AND(AU17&gt;4,OR(AU17&gt;6,AV17&gt;6,AW17&gt;6,AX17&gt;6)),1,0))</f>
        <v/>
      </c>
      <c r="AT17" s="339" t="str">
        <f t="shared" ref="AT17:AT22" si="46">IF($C17="","",IF(AND(AU17&gt;4,MAX(AU17:AY17)&gt;6),1,0))</f>
        <v/>
      </c>
      <c r="AU17" s="51" t="str">
        <f>IF($C17="","",VLOOKUP($C17,AMABat!$A$10:$BV$140,AU$4,FALSE))</f>
        <v/>
      </c>
      <c r="AV17" s="30" t="str">
        <f>IF($C17="","",VLOOKUP($C17,AMABat!$A$10:$BV$140,AV$4,FALSE))</f>
        <v/>
      </c>
      <c r="AW17" s="30" t="str">
        <f>IF($C17="","",VLOOKUP($C17,AMABat!$A$10:$BV$140,AW$4,FALSE))</f>
        <v/>
      </c>
      <c r="AX17" s="30" t="str">
        <f>IF($C17="","",VLOOKUP($C17,AMABat!$A$10:$BV$140,AX$4,FALSE))</f>
        <v/>
      </c>
      <c r="AY17" s="31" t="str">
        <f>IF($C17="","",VLOOKUP($C17,AMABat!$A$10:$BV$140,AY$4,FALSE))</f>
        <v/>
      </c>
      <c r="AZ17" s="60" t="str">
        <f t="shared" ref="AZ17:AZ22" si="47">IF($C17="","",(5*AU17+4*AW17+3*AX17+2*AV17+1*AY17+0.5*(AVERAGE(AU17:AV17))+0.5*AVERAGE(AU17,AY17)+1*(AVERAGE(AU17,AW17))+1*AVERAGE(AU17,AX17))/(5+4+3+2+1+0.5+0.5+1+1))</f>
        <v/>
      </c>
    </row>
    <row r="18" spans="1:52" x14ac:dyDescent="0.25">
      <c r="A18" s="305">
        <v>2</v>
      </c>
      <c r="B18" s="29" t="s">
        <v>75</v>
      </c>
      <c r="C18" s="58"/>
      <c r="D18" s="30" t="str">
        <f>IF($C18="","",VLOOKUP($C18,AMABat!$A$10:$BV$140,D$4,FALSE))</f>
        <v/>
      </c>
      <c r="E18" s="30" t="str">
        <f>IF($C18="","",VLOOKUP($C18,AMABat!$A$10:$BV$140,E$4,FALSE))</f>
        <v/>
      </c>
      <c r="F18" s="345" t="str">
        <f t="shared" si="24"/>
        <v/>
      </c>
      <c r="G18" s="339" t="str">
        <f t="shared" si="25"/>
        <v/>
      </c>
      <c r="H18" s="339" t="str">
        <f t="shared" si="26"/>
        <v/>
      </c>
      <c r="I18" s="340" t="str">
        <f t="shared" si="27"/>
        <v/>
      </c>
      <c r="J18" s="30" t="str">
        <f>IF($C18="","",VLOOKUP($C18,AMABat!$A$10:$BV$140,J$4,FALSE))</f>
        <v/>
      </c>
      <c r="K18" s="30" t="str">
        <f>IF($C18="","",VLOOKUP($C18,AMABat!$A$10:$BV$140,K$4,FALSE))</f>
        <v/>
      </c>
      <c r="L18" s="30" t="str">
        <f>IF($C18="","",VLOOKUP($C18,AMABat!$A$10:$BV$140,L$4,FALSE))</f>
        <v/>
      </c>
      <c r="M18" s="51" t="str">
        <f>IF($C18="","",VLOOKUP($C18,AMABat!$A$10:$BV$140,M$4,FALSE))</f>
        <v/>
      </c>
      <c r="N18" s="30" t="str">
        <f>IF($C18="","",VLOOKUP($C18,AMABat!$A$10:$BV$140,N$4,FALSE))</f>
        <v/>
      </c>
      <c r="O18" s="30" t="str">
        <f>IF($C18="","",VLOOKUP($C18,AMABat!$A$10:$BV$140,O$4,FALSE))</f>
        <v/>
      </c>
      <c r="P18" s="30" t="str">
        <f>IF($C18="","",VLOOKUP($C18,AMABat!$A$10:$BV$140,P$4,FALSE))</f>
        <v/>
      </c>
      <c r="Q18" s="30" t="str">
        <f>IF($C18="","",VLOOKUP($C18,AMABat!$A$10:$BV$140,Q$4,FALSE))</f>
        <v/>
      </c>
      <c r="R18" s="30" t="str">
        <f>IF($C18="","",VLOOKUP($C18,AMABat!$A$10:$BV$140,R$4,FALSE))</f>
        <v/>
      </c>
      <c r="S18" s="30" t="str">
        <f>IF($C18="","",VLOOKUP($C18,AMABat!$A$10:$BV$140,S$4,FALSE))</f>
        <v/>
      </c>
      <c r="T18" s="31" t="str">
        <f>IF($C18="","",VLOOKUP($C18,AMABat!$A$10:$BV$140,T$4,FALSE))</f>
        <v/>
      </c>
      <c r="U18" s="339" t="str">
        <f t="shared" si="28"/>
        <v/>
      </c>
      <c r="V18" s="339" t="str">
        <f t="shared" si="29"/>
        <v/>
      </c>
      <c r="W18" s="339" t="str">
        <f t="shared" si="30"/>
        <v/>
      </c>
      <c r="X18" s="339" t="str">
        <f t="shared" si="31"/>
        <v/>
      </c>
      <c r="Y18" s="339" t="str">
        <f t="shared" si="32"/>
        <v/>
      </c>
      <c r="Z18" s="339" t="str">
        <f t="shared" si="33"/>
        <v/>
      </c>
      <c r="AA18" s="339" t="str">
        <f t="shared" si="34"/>
        <v/>
      </c>
      <c r="AB18" s="339" t="str">
        <f t="shared" si="35"/>
        <v/>
      </c>
      <c r="AC18" s="339" t="str">
        <f t="shared" si="36"/>
        <v/>
      </c>
      <c r="AD18" s="51" t="str">
        <f>IF($C18="","",VLOOKUP($C18,AMABat!$A$10:$BV$140,AD$4,FALSE))</f>
        <v/>
      </c>
      <c r="AE18" s="30" t="str">
        <f>IF($C18="","",VLOOKUP($C18,AMABat!$A$10:$BV$140,AE$4,FALSE))</f>
        <v/>
      </c>
      <c r="AF18" s="30" t="str">
        <f>IF($C18="","",VLOOKUP($C18,AMABat!$A$10:$BV$140,AF$4,FALSE))</f>
        <v/>
      </c>
      <c r="AG18" s="30" t="str">
        <f>IF($C18="","",VLOOKUP($C18,AMABat!$A$10:$BV$140,AG$4,FALSE))</f>
        <v/>
      </c>
      <c r="AH18" s="30" t="str">
        <f>IF($C18="","",VLOOKUP($C18,AMABat!$A$10:$BV$140,AH$4,FALSE))</f>
        <v/>
      </c>
      <c r="AI18" s="30" t="str">
        <f>IF($C18="","",VLOOKUP($C18,AMABat!$A$10:$BV$140,AI$4,FALSE))</f>
        <v/>
      </c>
      <c r="AJ18" s="31" t="str">
        <f>IF($C18="","",VLOOKUP($C18,AMABat!$A$10:$BV$140,AJ$4,FALSE))</f>
        <v/>
      </c>
      <c r="AK18" s="60" t="str">
        <f t="shared" si="37"/>
        <v/>
      </c>
      <c r="AL18" s="339" t="str">
        <f t="shared" si="38"/>
        <v/>
      </c>
      <c r="AM18" s="339" t="str">
        <f t="shared" si="39"/>
        <v/>
      </c>
      <c r="AN18" s="339" t="str">
        <f t="shared" si="40"/>
        <v/>
      </c>
      <c r="AO18" s="339" t="str">
        <f t="shared" si="41"/>
        <v/>
      </c>
      <c r="AP18" s="339" t="str">
        <f t="shared" si="42"/>
        <v/>
      </c>
      <c r="AQ18" s="339" t="str">
        <f t="shared" si="43"/>
        <v/>
      </c>
      <c r="AR18" s="339" t="str">
        <f t="shared" si="44"/>
        <v/>
      </c>
      <c r="AS18" s="339" t="str">
        <f t="shared" si="45"/>
        <v/>
      </c>
      <c r="AT18" s="339" t="str">
        <f t="shared" si="46"/>
        <v/>
      </c>
      <c r="AU18" s="51" t="str">
        <f>IF($C18="","",VLOOKUP($C18,AMABat!$A$10:$BV$140,AU$4,FALSE))</f>
        <v/>
      </c>
      <c r="AV18" s="30" t="str">
        <f>IF($C18="","",VLOOKUP($C18,AMABat!$A$10:$BV$140,AV$4,FALSE))</f>
        <v/>
      </c>
      <c r="AW18" s="30" t="str">
        <f>IF($C18="","",VLOOKUP($C18,AMABat!$A$10:$BV$140,AW$4,FALSE))</f>
        <v/>
      </c>
      <c r="AX18" s="30" t="str">
        <f>IF($C18="","",VLOOKUP($C18,AMABat!$A$10:$BV$140,AX$4,FALSE))</f>
        <v/>
      </c>
      <c r="AY18" s="31" t="str">
        <f>IF($C18="","",VLOOKUP($C18,AMABat!$A$10:$BV$140,AY$4,FALSE))</f>
        <v/>
      </c>
      <c r="AZ18" s="60" t="str">
        <f t="shared" si="47"/>
        <v/>
      </c>
    </row>
    <row r="19" spans="1:52" s="17" customFormat="1" x14ac:dyDescent="0.25">
      <c r="A19" s="305">
        <v>3</v>
      </c>
      <c r="B19" s="29" t="s">
        <v>76</v>
      </c>
      <c r="C19" s="30"/>
      <c r="D19" s="30" t="str">
        <f>IF($C19="","",VLOOKUP($C19,AMABat!$A$10:$BV$140,D$4,FALSE))</f>
        <v/>
      </c>
      <c r="E19" s="30" t="str">
        <f>IF($C19="","",VLOOKUP($C19,AMABat!$A$10:$BV$140,E$4,FALSE))</f>
        <v/>
      </c>
      <c r="F19" s="345" t="str">
        <f t="shared" si="24"/>
        <v/>
      </c>
      <c r="G19" s="339" t="str">
        <f t="shared" si="25"/>
        <v/>
      </c>
      <c r="H19" s="339" t="str">
        <f t="shared" si="26"/>
        <v/>
      </c>
      <c r="I19" s="340" t="str">
        <f t="shared" si="27"/>
        <v/>
      </c>
      <c r="J19" s="30" t="str">
        <f>IF($C19="","",VLOOKUP($C19,AMABat!$A$10:$BV$140,J$4,FALSE))</f>
        <v/>
      </c>
      <c r="K19" s="30" t="str">
        <f>IF($C19="","",VLOOKUP($C19,AMABat!$A$10:$BV$140,K$4,FALSE))</f>
        <v/>
      </c>
      <c r="L19" s="30" t="str">
        <f>IF($C19="","",VLOOKUP($C19,AMABat!$A$10:$BV$140,L$4,FALSE))</f>
        <v/>
      </c>
      <c r="M19" s="51" t="str">
        <f>IF($C19="","",VLOOKUP($C19,AMABat!$A$10:$BV$140,M$4,FALSE))</f>
        <v/>
      </c>
      <c r="N19" s="30" t="str">
        <f>IF($C19="","",VLOOKUP($C19,AMABat!$A$10:$BV$140,N$4,FALSE))</f>
        <v/>
      </c>
      <c r="O19" s="30" t="str">
        <f>IF($C19="","",VLOOKUP($C19,AMABat!$A$10:$BV$140,O$4,FALSE))</f>
        <v/>
      </c>
      <c r="P19" s="30" t="str">
        <f>IF($C19="","",VLOOKUP($C19,AMABat!$A$10:$BV$140,P$4,FALSE))</f>
        <v/>
      </c>
      <c r="Q19" s="30" t="str">
        <f>IF($C19="","",VLOOKUP($C19,AMABat!$A$10:$BV$140,Q$4,FALSE))</f>
        <v/>
      </c>
      <c r="R19" s="30" t="str">
        <f>IF($C19="","",VLOOKUP($C19,AMABat!$A$10:$BV$140,R$4,FALSE))</f>
        <v/>
      </c>
      <c r="S19" s="30" t="str">
        <f>IF($C19="","",VLOOKUP($C19,AMABat!$A$10:$BV$140,S$4,FALSE))</f>
        <v/>
      </c>
      <c r="T19" s="31" t="str">
        <f>IF($C19="","",VLOOKUP($C19,AMABat!$A$10:$BV$140,T$4,FALSE))</f>
        <v/>
      </c>
      <c r="U19" s="339" t="str">
        <f t="shared" ref="U19" si="48">IF($C19="","",IF(OR(AD19+AG19&gt;14,AND(OR(AD19+AG19&gt;12,AND(AD19&gt;6,AG19&gt;6)),AI19&gt;6,OR(AJ19&gt;=AI19,AJ19&gt;6))),1,0))</f>
        <v/>
      </c>
      <c r="V19" s="339" t="str">
        <f t="shared" ref="V19" si="49">IF($C19="","",IF(OR(AND(AD19&gt;6,AH19&gt;6),AD19+AG19&gt;12),1,0))</f>
        <v/>
      </c>
      <c r="W19" s="339" t="str">
        <f t="shared" ref="W19" si="50">IF($C19="","",IF(AND(AD19&gt;6,AF19&gt;6,AG19&gt;6),1,0))</f>
        <v/>
      </c>
      <c r="X19" s="339" t="str">
        <f t="shared" ref="X19" si="51">IF($C19="","",IF(AND(AF19&gt;7,OR(AD19&gt;6,AG19&gt;6)),1,0))</f>
        <v/>
      </c>
      <c r="Y19" s="339" t="str">
        <f t="shared" ref="Y19" si="52">IF($C19="","",IF(AND(AF19&gt;6,OR(AD19&gt;6,AG19&gt;6)),1,0))</f>
        <v/>
      </c>
      <c r="Z19" s="339" t="str">
        <f t="shared" ref="Z19" si="53">IF($C19="","",IF(AND(OR(AD19&gt;6,AF19&gt;6),OR(AD19&gt;6,AG19&gt;6)),1,0))</f>
        <v/>
      </c>
      <c r="AA19" s="339" t="str">
        <f t="shared" ref="AA19" si="54">IF($C19="","",IF(AND(AD19&gt;4,OR(AD19&gt;6,AF19&gt;6,AG19&gt;6)),1,0))</f>
        <v/>
      </c>
      <c r="AB19" s="339" t="str">
        <f t="shared" ref="AB19" si="55">IF($C19="","",IF(AND(AD19&gt;4,OR(AD19&gt;6,AE19&gt;6,AF19&gt;6,AG19&gt;6)),1,0))</f>
        <v/>
      </c>
      <c r="AC19" s="339" t="str">
        <f t="shared" ref="AC19" si="56">IF($C19="","",IF(AND(AD19&gt;4,MAX(AD19:AH19)&gt;6),1,0))</f>
        <v/>
      </c>
      <c r="AD19" s="51" t="str">
        <f>IF($C19="","",VLOOKUP($C19,AMABat!$A$10:$BV$140,AD$4,FALSE))</f>
        <v/>
      </c>
      <c r="AE19" s="30" t="str">
        <f>IF($C19="","",VLOOKUP($C19,AMABat!$A$10:$BV$140,AE$4,FALSE))</f>
        <v/>
      </c>
      <c r="AF19" s="30" t="str">
        <f>IF($C19="","",VLOOKUP($C19,AMABat!$A$10:$BV$140,AF$4,FALSE))</f>
        <v/>
      </c>
      <c r="AG19" s="30" t="str">
        <f>IF($C19="","",VLOOKUP($C19,AMABat!$A$10:$BV$140,AG$4,FALSE))</f>
        <v/>
      </c>
      <c r="AH19" s="30" t="str">
        <f>IF($C19="","",VLOOKUP($C19,AMABat!$A$10:$BV$140,AH$4,FALSE))</f>
        <v/>
      </c>
      <c r="AI19" s="30" t="str">
        <f>IF($C19="","",VLOOKUP($C19,AMABat!$A$10:$BV$140,AI$4,FALSE))</f>
        <v/>
      </c>
      <c r="AJ19" s="31" t="str">
        <f>IF($C19="","",VLOOKUP($C19,AMABat!$A$10:$BV$140,AJ$4,FALSE))</f>
        <v/>
      </c>
      <c r="AK19" s="60" t="str">
        <f t="shared" ref="AK19" si="57">IF($C19="","",(5*AD19+4*AF19+3*AG19+2*AE19+1*AH19+0.5*(AVERAGE(AD19:AE19))+0.5*AVERAGE(AD19,AH19)+1*(AVERAGE(AD19,AF19))+1*AVERAGE(AD19,AG19))/(5+4+3+2+1+0.5+0.5+1+1))</f>
        <v/>
      </c>
      <c r="AL19" s="339" t="str">
        <f t="shared" ref="AL19" si="58">IF($C19="","",IF(AND(OR(AU19+AX19&gt;12,AND(AU19&gt;6,AX19&gt;6)),AI19&gt;6,OR(AJ19&gt;=AI19,AJ19&gt;6)),1,0))</f>
        <v/>
      </c>
      <c r="AM19" s="339" t="str">
        <f t="shared" ref="AM19" si="59">IF($C19="","",IF(OR(AND(AU19&gt;6,AY19&gt;6),AU19+AX19&gt;12),1,0))</f>
        <v/>
      </c>
      <c r="AN19" s="339" t="str">
        <f t="shared" ref="AN19" si="60">IF($C19="","",IF(AND(AU19&gt;6,AW19&gt;6,AX19&gt;6),1,0))</f>
        <v/>
      </c>
      <c r="AO19" s="339" t="str">
        <f t="shared" ref="AO19" si="61">IF($C19="","",IF(AND(AW19&gt;7,OR(AU19&gt;6,AX19&gt;6)),1,0))</f>
        <v/>
      </c>
      <c r="AP19" s="339" t="str">
        <f t="shared" ref="AP19" si="62">IF($C19="","",IF(AND(AW19&gt;6,OR(AU19&gt;6,AX19&gt;6)),1,0))</f>
        <v/>
      </c>
      <c r="AQ19" s="339" t="str">
        <f t="shared" ref="AQ19" si="63">IF($C19="","",IF(AND(OR(AU19&gt;6,AW19&gt;6),OR(AU19&gt;6,AX19&gt;6)),1,0))</f>
        <v/>
      </c>
      <c r="AR19" s="339" t="str">
        <f t="shared" ref="AR19" si="64">IF($C19="","",IF(AND(AU19&gt;4,OR(AU19&gt;6,AW19&gt;6,AX19&gt;6)),1,0))</f>
        <v/>
      </c>
      <c r="AS19" s="339" t="str">
        <f t="shared" ref="AS19" si="65">IF($C19="","",IF(AND(AU19&gt;4,OR(AU19&gt;6,AV19&gt;6,AW19&gt;6,AX19&gt;6)),1,0))</f>
        <v/>
      </c>
      <c r="AT19" s="339" t="str">
        <f t="shared" ref="AT19" si="66">IF($C19="","",IF(AND(AU19&gt;4,MAX(AU19:AY19)&gt;6),1,0))</f>
        <v/>
      </c>
      <c r="AU19" s="51" t="str">
        <f>IF($C19="","",VLOOKUP($C19,AMABat!$A$10:$BV$140,AU$4,FALSE))</f>
        <v/>
      </c>
      <c r="AV19" s="30" t="str">
        <f>IF($C19="","",VLOOKUP($C19,AMABat!$A$10:$BV$140,AV$4,FALSE))</f>
        <v/>
      </c>
      <c r="AW19" s="30" t="str">
        <f>IF($C19="","",VLOOKUP($C19,AMABat!$A$10:$BV$140,AW$4,FALSE))</f>
        <v/>
      </c>
      <c r="AX19" s="30" t="str">
        <f>IF($C19="","",VLOOKUP($C19,AMABat!$A$10:$BV$140,AX$4,FALSE))</f>
        <v/>
      </c>
      <c r="AY19" s="31" t="str">
        <f>IF($C19="","",VLOOKUP($C19,AMABat!$A$10:$BV$140,AY$4,FALSE))</f>
        <v/>
      </c>
      <c r="AZ19" s="60" t="str">
        <f t="shared" ref="AZ19" si="67">IF($C19="","",(5*AU19+4*AW19+3*AX19+2*AV19+1*AY19+0.5*(AVERAGE(AU19:AV19))+0.5*AVERAGE(AU19,AY19)+1*(AVERAGE(AU19,AW19))+1*AVERAGE(AU19,AX19))/(5+4+3+2+1+0.5+0.5+1+1))</f>
        <v/>
      </c>
    </row>
    <row r="20" spans="1:52" x14ac:dyDescent="0.25">
      <c r="A20" s="305">
        <v>4</v>
      </c>
      <c r="B20" s="29" t="s">
        <v>80</v>
      </c>
      <c r="C20" s="58"/>
      <c r="D20" s="30" t="str">
        <f>IF($C20="","",VLOOKUP($C20,AMABat!$A$10:$BV$140,D$4,FALSE))</f>
        <v/>
      </c>
      <c r="E20" s="30" t="str">
        <f>IF($C20="","",VLOOKUP($C20,AMABat!$A$10:$BV$140,E$4,FALSE))</f>
        <v/>
      </c>
      <c r="F20" s="345" t="str">
        <f t="shared" si="24"/>
        <v/>
      </c>
      <c r="G20" s="339" t="str">
        <f t="shared" si="25"/>
        <v/>
      </c>
      <c r="H20" s="339" t="str">
        <f t="shared" si="26"/>
        <v/>
      </c>
      <c r="I20" s="340" t="str">
        <f t="shared" si="27"/>
        <v/>
      </c>
      <c r="J20" s="30" t="str">
        <f>IF($C20="","",VLOOKUP($C20,AMABat!$A$10:$BV$140,J$4,FALSE))</f>
        <v/>
      </c>
      <c r="K20" s="30" t="str">
        <f>IF($C20="","",VLOOKUP($C20,AMABat!$A$10:$BV$140,K$4,FALSE))</f>
        <v/>
      </c>
      <c r="L20" s="30" t="str">
        <f>IF($C20="","",VLOOKUP($C20,AMABat!$A$10:$BV$140,L$4,FALSE))</f>
        <v/>
      </c>
      <c r="M20" s="51" t="str">
        <f>IF($C20="","",VLOOKUP($C20,AMABat!$A$10:$BV$140,M$4,FALSE))</f>
        <v/>
      </c>
      <c r="N20" s="30" t="str">
        <f>IF($C20="","",VLOOKUP($C20,AMABat!$A$10:$BV$140,N$4,FALSE))</f>
        <v/>
      </c>
      <c r="O20" s="30" t="str">
        <f>IF($C20="","",VLOOKUP($C20,AMABat!$A$10:$BV$140,O$4,FALSE))</f>
        <v/>
      </c>
      <c r="P20" s="30" t="str">
        <f>IF($C20="","",VLOOKUP($C20,AMABat!$A$10:$BV$140,P$4,FALSE))</f>
        <v/>
      </c>
      <c r="Q20" s="30" t="str">
        <f>IF($C20="","",VLOOKUP($C20,AMABat!$A$10:$BV$140,Q$4,FALSE))</f>
        <v/>
      </c>
      <c r="R20" s="30" t="str">
        <f>IF($C20="","",VLOOKUP($C20,AMABat!$A$10:$BV$140,R$4,FALSE))</f>
        <v/>
      </c>
      <c r="S20" s="30" t="str">
        <f>IF($C20="","",VLOOKUP($C20,AMABat!$A$10:$BV$140,S$4,FALSE))</f>
        <v/>
      </c>
      <c r="T20" s="31" t="str">
        <f>IF($C20="","",VLOOKUP($C20,AMABat!$A$10:$BV$140,T$4,FALSE))</f>
        <v/>
      </c>
      <c r="U20" s="339" t="str">
        <f t="shared" si="28"/>
        <v/>
      </c>
      <c r="V20" s="339" t="str">
        <f t="shared" si="29"/>
        <v/>
      </c>
      <c r="W20" s="339" t="str">
        <f t="shared" si="30"/>
        <v/>
      </c>
      <c r="X20" s="339" t="str">
        <f t="shared" si="31"/>
        <v/>
      </c>
      <c r="Y20" s="339" t="str">
        <f t="shared" si="32"/>
        <v/>
      </c>
      <c r="Z20" s="339" t="str">
        <f t="shared" si="33"/>
        <v/>
      </c>
      <c r="AA20" s="339" t="str">
        <f t="shared" si="34"/>
        <v/>
      </c>
      <c r="AB20" s="339" t="str">
        <f t="shared" si="35"/>
        <v/>
      </c>
      <c r="AC20" s="339" t="str">
        <f t="shared" si="36"/>
        <v/>
      </c>
      <c r="AD20" s="51" t="str">
        <f>IF($C20="","",VLOOKUP($C20,AMABat!$A$10:$BV$140,AD$4,FALSE))</f>
        <v/>
      </c>
      <c r="AE20" s="30" t="str">
        <f>IF($C20="","",VLOOKUP($C20,AMABat!$A$10:$BV$140,AE$4,FALSE))</f>
        <v/>
      </c>
      <c r="AF20" s="30" t="str">
        <f>IF($C20="","",VLOOKUP($C20,AMABat!$A$10:$BV$140,AF$4,FALSE))</f>
        <v/>
      </c>
      <c r="AG20" s="30" t="str">
        <f>IF($C20="","",VLOOKUP($C20,AMABat!$A$10:$BV$140,AG$4,FALSE))</f>
        <v/>
      </c>
      <c r="AH20" s="30" t="str">
        <f>IF($C20="","",VLOOKUP($C20,AMABat!$A$10:$BV$140,AH$4,FALSE))</f>
        <v/>
      </c>
      <c r="AI20" s="30" t="str">
        <f>IF($C20="","",VLOOKUP($C20,AMABat!$A$10:$BV$140,AI$4,FALSE))</f>
        <v/>
      </c>
      <c r="AJ20" s="31" t="str">
        <f>IF($C20="","",VLOOKUP($C20,AMABat!$A$10:$BV$140,AJ$4,FALSE))</f>
        <v/>
      </c>
      <c r="AK20" s="60" t="str">
        <f t="shared" si="37"/>
        <v/>
      </c>
      <c r="AL20" s="339" t="str">
        <f t="shared" si="38"/>
        <v/>
      </c>
      <c r="AM20" s="339" t="str">
        <f t="shared" si="39"/>
        <v/>
      </c>
      <c r="AN20" s="339" t="str">
        <f t="shared" si="40"/>
        <v/>
      </c>
      <c r="AO20" s="339" t="str">
        <f t="shared" si="41"/>
        <v/>
      </c>
      <c r="AP20" s="339" t="str">
        <f t="shared" si="42"/>
        <v/>
      </c>
      <c r="AQ20" s="339" t="str">
        <f t="shared" si="43"/>
        <v/>
      </c>
      <c r="AR20" s="339" t="str">
        <f t="shared" si="44"/>
        <v/>
      </c>
      <c r="AS20" s="339" t="str">
        <f t="shared" si="45"/>
        <v/>
      </c>
      <c r="AT20" s="339" t="str">
        <f t="shared" si="46"/>
        <v/>
      </c>
      <c r="AU20" s="51" t="str">
        <f>IF($C20="","",VLOOKUP($C20,AMABat!$A$10:$BV$140,AU$4,FALSE))</f>
        <v/>
      </c>
      <c r="AV20" s="30" t="str">
        <f>IF($C20="","",VLOOKUP($C20,AMABat!$A$10:$BV$140,AV$4,FALSE))</f>
        <v/>
      </c>
      <c r="AW20" s="30" t="str">
        <f>IF($C20="","",VLOOKUP($C20,AMABat!$A$10:$BV$140,AW$4,FALSE))</f>
        <v/>
      </c>
      <c r="AX20" s="30" t="str">
        <f>IF($C20="","",VLOOKUP($C20,AMABat!$A$10:$BV$140,AX$4,FALSE))</f>
        <v/>
      </c>
      <c r="AY20" s="31" t="str">
        <f>IF($C20="","",VLOOKUP($C20,AMABat!$A$10:$BV$140,AY$4,FALSE))</f>
        <v/>
      </c>
      <c r="AZ20" s="60" t="str">
        <f t="shared" si="47"/>
        <v/>
      </c>
    </row>
    <row r="21" spans="1:52" x14ac:dyDescent="0.25">
      <c r="A21" s="305">
        <v>5</v>
      </c>
      <c r="B21" s="29" t="s">
        <v>80</v>
      </c>
      <c r="C21" s="58"/>
      <c r="D21" s="30" t="str">
        <f>IF($C21="","",VLOOKUP($C21,AMABat!$A$10:$BV$140,D$4,FALSE))</f>
        <v/>
      </c>
      <c r="E21" s="30" t="str">
        <f>IF($C21="","",VLOOKUP($C21,AMABat!$A$10:$BV$140,E$4,FALSE))</f>
        <v/>
      </c>
      <c r="F21" s="345" t="str">
        <f t="shared" si="24"/>
        <v/>
      </c>
      <c r="G21" s="339" t="str">
        <f t="shared" si="25"/>
        <v/>
      </c>
      <c r="H21" s="339" t="str">
        <f t="shared" si="26"/>
        <v/>
      </c>
      <c r="I21" s="340" t="str">
        <f t="shared" si="27"/>
        <v/>
      </c>
      <c r="J21" s="30" t="str">
        <f>IF($C21="","",VLOOKUP($C21,AMABat!$A$10:$BV$140,J$4,FALSE))</f>
        <v/>
      </c>
      <c r="K21" s="30" t="str">
        <f>IF($C21="","",VLOOKUP($C21,AMABat!$A$10:$BV$140,K$4,FALSE))</f>
        <v/>
      </c>
      <c r="L21" s="30" t="str">
        <f>IF($C21="","",VLOOKUP($C21,AMABat!$A$10:$BV$140,L$4,FALSE))</f>
        <v/>
      </c>
      <c r="M21" s="51" t="str">
        <f>IF($C21="","",VLOOKUP($C21,AMABat!$A$10:$BV$140,M$4,FALSE))</f>
        <v/>
      </c>
      <c r="N21" s="30" t="str">
        <f>IF($C21="","",VLOOKUP($C21,AMABat!$A$10:$BV$140,N$4,FALSE))</f>
        <v/>
      </c>
      <c r="O21" s="30" t="str">
        <f>IF($C21="","",VLOOKUP($C21,AMABat!$A$10:$BV$140,O$4,FALSE))</f>
        <v/>
      </c>
      <c r="P21" s="30" t="str">
        <f>IF($C21="","",VLOOKUP($C21,AMABat!$A$10:$BV$140,P$4,FALSE))</f>
        <v/>
      </c>
      <c r="Q21" s="30" t="str">
        <f>IF($C21="","",VLOOKUP($C21,AMABat!$A$10:$BV$140,Q$4,FALSE))</f>
        <v/>
      </c>
      <c r="R21" s="30" t="str">
        <f>IF($C21="","",VLOOKUP($C21,AMABat!$A$10:$BV$140,R$4,FALSE))</f>
        <v/>
      </c>
      <c r="S21" s="30" t="str">
        <f>IF($C21="","",VLOOKUP($C21,AMABat!$A$10:$BV$140,S$4,FALSE))</f>
        <v/>
      </c>
      <c r="T21" s="31" t="str">
        <f>IF($C21="","",VLOOKUP($C21,AMABat!$A$10:$BV$140,T$4,FALSE))</f>
        <v/>
      </c>
      <c r="U21" s="339" t="str">
        <f t="shared" si="28"/>
        <v/>
      </c>
      <c r="V21" s="339" t="str">
        <f t="shared" si="29"/>
        <v/>
      </c>
      <c r="W21" s="339" t="str">
        <f t="shared" si="30"/>
        <v/>
      </c>
      <c r="X21" s="339" t="str">
        <f t="shared" si="31"/>
        <v/>
      </c>
      <c r="Y21" s="339" t="str">
        <f t="shared" si="32"/>
        <v/>
      </c>
      <c r="Z21" s="339" t="str">
        <f t="shared" si="33"/>
        <v/>
      </c>
      <c r="AA21" s="339" t="str">
        <f t="shared" si="34"/>
        <v/>
      </c>
      <c r="AB21" s="339" t="str">
        <f t="shared" si="35"/>
        <v/>
      </c>
      <c r="AC21" s="339" t="str">
        <f t="shared" si="36"/>
        <v/>
      </c>
      <c r="AD21" s="51" t="str">
        <f>IF($C21="","",VLOOKUP($C21,AMABat!$A$10:$BV$140,AD$4,FALSE))</f>
        <v/>
      </c>
      <c r="AE21" s="30" t="str">
        <f>IF($C21="","",VLOOKUP($C21,AMABat!$A$10:$BV$140,AE$4,FALSE))</f>
        <v/>
      </c>
      <c r="AF21" s="30" t="str">
        <f>IF($C21="","",VLOOKUP($C21,AMABat!$A$10:$BV$140,AF$4,FALSE))</f>
        <v/>
      </c>
      <c r="AG21" s="30" t="str">
        <f>IF($C21="","",VLOOKUP($C21,AMABat!$A$10:$BV$140,AG$4,FALSE))</f>
        <v/>
      </c>
      <c r="AH21" s="30" t="str">
        <f>IF($C21="","",VLOOKUP($C21,AMABat!$A$10:$BV$140,AH$4,FALSE))</f>
        <v/>
      </c>
      <c r="AI21" s="30" t="str">
        <f>IF($C21="","",VLOOKUP($C21,AMABat!$A$10:$BV$140,AI$4,FALSE))</f>
        <v/>
      </c>
      <c r="AJ21" s="31" t="str">
        <f>IF($C21="","",VLOOKUP($C21,AMABat!$A$10:$BV$140,AJ$4,FALSE))</f>
        <v/>
      </c>
      <c r="AK21" s="60" t="str">
        <f t="shared" si="37"/>
        <v/>
      </c>
      <c r="AL21" s="339" t="str">
        <f t="shared" si="38"/>
        <v/>
      </c>
      <c r="AM21" s="339" t="str">
        <f t="shared" si="39"/>
        <v/>
      </c>
      <c r="AN21" s="339" t="str">
        <f t="shared" si="40"/>
        <v/>
      </c>
      <c r="AO21" s="339" t="str">
        <f t="shared" si="41"/>
        <v/>
      </c>
      <c r="AP21" s="339" t="str">
        <f t="shared" si="42"/>
        <v/>
      </c>
      <c r="AQ21" s="339" t="str">
        <f t="shared" si="43"/>
        <v/>
      </c>
      <c r="AR21" s="339" t="str">
        <f t="shared" si="44"/>
        <v/>
      </c>
      <c r="AS21" s="339" t="str">
        <f t="shared" si="45"/>
        <v/>
      </c>
      <c r="AT21" s="339" t="str">
        <f t="shared" si="46"/>
        <v/>
      </c>
      <c r="AU21" s="51" t="str">
        <f>IF($C21="","",VLOOKUP($C21,AMABat!$A$10:$BV$140,AU$4,FALSE))</f>
        <v/>
      </c>
      <c r="AV21" s="30" t="str">
        <f>IF($C21="","",VLOOKUP($C21,AMABat!$A$10:$BV$140,AV$4,FALSE))</f>
        <v/>
      </c>
      <c r="AW21" s="30" t="str">
        <f>IF($C21="","",VLOOKUP($C21,AMABat!$A$10:$BV$140,AW$4,FALSE))</f>
        <v/>
      </c>
      <c r="AX21" s="30" t="str">
        <f>IF($C21="","",VLOOKUP($C21,AMABat!$A$10:$BV$140,AX$4,FALSE))</f>
        <v/>
      </c>
      <c r="AY21" s="31" t="str">
        <f>IF($C21="","",VLOOKUP($C21,AMABat!$A$10:$BV$140,AY$4,FALSE))</f>
        <v/>
      </c>
      <c r="AZ21" s="60" t="str">
        <f t="shared" si="47"/>
        <v/>
      </c>
    </row>
    <row r="22" spans="1:52" x14ac:dyDescent="0.25">
      <c r="A22" s="305">
        <v>6</v>
      </c>
      <c r="B22" s="32" t="s">
        <v>80</v>
      </c>
      <c r="C22" s="33"/>
      <c r="D22" s="33" t="str">
        <f>IF($C22="","",VLOOKUP($C22,AMABat!$A$10:$BV$140,D$4,FALSE))</f>
        <v/>
      </c>
      <c r="E22" s="33" t="str">
        <f>IF($C22="","",VLOOKUP($C22,AMABat!$A$10:$BV$140,E$4,FALSE))</f>
        <v/>
      </c>
      <c r="F22" s="47" t="str">
        <f t="shared" si="24"/>
        <v/>
      </c>
      <c r="G22" s="337" t="str">
        <f t="shared" si="25"/>
        <v/>
      </c>
      <c r="H22" s="337" t="str">
        <f t="shared" si="26"/>
        <v/>
      </c>
      <c r="I22" s="338" t="str">
        <f t="shared" si="27"/>
        <v/>
      </c>
      <c r="J22" s="33" t="str">
        <f>IF($C22="","",VLOOKUP($C22,AMABat!$A$10:$BV$140,J$4,FALSE))</f>
        <v/>
      </c>
      <c r="K22" s="33" t="str">
        <f>IF($C22="","",VLOOKUP($C22,AMABat!$A$10:$BV$140,K$4,FALSE))</f>
        <v/>
      </c>
      <c r="L22" s="33" t="str">
        <f>IF($C22="","",VLOOKUP($C22,AMABat!$A$10:$BV$140,L$4,FALSE))</f>
        <v/>
      </c>
      <c r="M22" s="52" t="str">
        <f>IF($C22="","",VLOOKUP($C22,AMABat!$A$10:$BV$140,M$4,FALSE))</f>
        <v/>
      </c>
      <c r="N22" s="33" t="str">
        <f>IF($C22="","",VLOOKUP($C22,AMABat!$A$10:$BV$140,N$4,FALSE))</f>
        <v/>
      </c>
      <c r="O22" s="33" t="str">
        <f>IF($C22="","",VLOOKUP($C22,AMABat!$A$10:$BV$140,O$4,FALSE))</f>
        <v/>
      </c>
      <c r="P22" s="33" t="str">
        <f>IF($C22="","",VLOOKUP($C22,AMABat!$A$10:$BV$140,P$4,FALSE))</f>
        <v/>
      </c>
      <c r="Q22" s="33" t="str">
        <f>IF($C22="","",VLOOKUP($C22,AMABat!$A$10:$BV$140,Q$4,FALSE))</f>
        <v/>
      </c>
      <c r="R22" s="33" t="str">
        <f>IF($C22="","",VLOOKUP($C22,AMABat!$A$10:$BV$140,R$4,FALSE))</f>
        <v/>
      </c>
      <c r="S22" s="33" t="str">
        <f>IF($C22="","",VLOOKUP($C22,AMABat!$A$10:$BV$140,S$4,FALSE))</f>
        <v/>
      </c>
      <c r="T22" s="35" t="str">
        <f>IF($C22="","",VLOOKUP($C22,AMABat!$A$10:$BV$140,T$4,FALSE))</f>
        <v/>
      </c>
      <c r="U22" s="337" t="str">
        <f t="shared" si="28"/>
        <v/>
      </c>
      <c r="V22" s="337" t="str">
        <f t="shared" si="29"/>
        <v/>
      </c>
      <c r="W22" s="337" t="str">
        <f t="shared" si="30"/>
        <v/>
      </c>
      <c r="X22" s="337" t="str">
        <f t="shared" si="31"/>
        <v/>
      </c>
      <c r="Y22" s="337" t="str">
        <f t="shared" si="32"/>
        <v/>
      </c>
      <c r="Z22" s="337" t="str">
        <f t="shared" si="33"/>
        <v/>
      </c>
      <c r="AA22" s="337" t="str">
        <f t="shared" si="34"/>
        <v/>
      </c>
      <c r="AB22" s="337" t="str">
        <f t="shared" si="35"/>
        <v/>
      </c>
      <c r="AC22" s="337" t="str">
        <f t="shared" si="36"/>
        <v/>
      </c>
      <c r="AD22" s="52" t="str">
        <f>IF($C22="","",VLOOKUP($C22,AMABat!$A$10:$BV$140,AD$4,FALSE))</f>
        <v/>
      </c>
      <c r="AE22" s="33" t="str">
        <f>IF($C22="","",VLOOKUP($C22,AMABat!$A$10:$BV$140,AE$4,FALSE))</f>
        <v/>
      </c>
      <c r="AF22" s="33" t="str">
        <f>IF($C22="","",VLOOKUP($C22,AMABat!$A$10:$BV$140,AF$4,FALSE))</f>
        <v/>
      </c>
      <c r="AG22" s="33" t="str">
        <f>IF($C22="","",VLOOKUP($C22,AMABat!$A$10:$BV$140,AG$4,FALSE))</f>
        <v/>
      </c>
      <c r="AH22" s="33" t="str">
        <f>IF($C22="","",VLOOKUP($C22,AMABat!$A$10:$BV$140,AH$4,FALSE))</f>
        <v/>
      </c>
      <c r="AI22" s="33" t="str">
        <f>IF($C22="","",VLOOKUP($C22,AMABat!$A$10:$BV$140,AI$4,FALSE))</f>
        <v/>
      </c>
      <c r="AJ22" s="35" t="str">
        <f>IF($C22="","",VLOOKUP($C22,AMABat!$A$10:$BV$140,AJ$4,FALSE))</f>
        <v/>
      </c>
      <c r="AK22" s="61" t="str">
        <f t="shared" si="37"/>
        <v/>
      </c>
      <c r="AL22" s="337" t="str">
        <f t="shared" si="38"/>
        <v/>
      </c>
      <c r="AM22" s="337" t="str">
        <f t="shared" si="39"/>
        <v/>
      </c>
      <c r="AN22" s="337" t="str">
        <f t="shared" si="40"/>
        <v/>
      </c>
      <c r="AO22" s="337" t="str">
        <f t="shared" si="41"/>
        <v/>
      </c>
      <c r="AP22" s="337" t="str">
        <f t="shared" si="42"/>
        <v/>
      </c>
      <c r="AQ22" s="337" t="str">
        <f t="shared" si="43"/>
        <v/>
      </c>
      <c r="AR22" s="337" t="str">
        <f t="shared" si="44"/>
        <v/>
      </c>
      <c r="AS22" s="337" t="str">
        <f t="shared" si="45"/>
        <v/>
      </c>
      <c r="AT22" s="337" t="str">
        <f t="shared" si="46"/>
        <v/>
      </c>
      <c r="AU22" s="52" t="str">
        <f>IF($C22="","",VLOOKUP($C22,AMABat!$A$10:$BV$140,AU$4,FALSE))</f>
        <v/>
      </c>
      <c r="AV22" s="33" t="str">
        <f>IF($C22="","",VLOOKUP($C22,AMABat!$A$10:$BV$140,AV$4,FALSE))</f>
        <v/>
      </c>
      <c r="AW22" s="33" t="str">
        <f>IF($C22="","",VLOOKUP($C22,AMABat!$A$10:$BV$140,AW$4,FALSE))</f>
        <v/>
      </c>
      <c r="AX22" s="33" t="str">
        <f>IF($C22="","",VLOOKUP($C22,AMABat!$A$10:$BV$140,AX$4,FALSE))</f>
        <v/>
      </c>
      <c r="AY22" s="35" t="str">
        <f>IF($C22="","",VLOOKUP($C22,AMABat!$A$10:$BV$140,AY$4,FALSE))</f>
        <v/>
      </c>
      <c r="AZ22" s="61" t="str">
        <f t="shared" si="47"/>
        <v/>
      </c>
    </row>
    <row r="23" spans="1:52" x14ac:dyDescent="0.25">
      <c r="A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</row>
    <row r="24" spans="1:52" ht="196.5" x14ac:dyDescent="0.25">
      <c r="A24" s="18" t="s">
        <v>170</v>
      </c>
      <c r="B24" s="341" t="s">
        <v>111</v>
      </c>
      <c r="C24" s="37" t="str">
        <f>"Player ("&amp;COUNTA(C25:C27)&amp;")"</f>
        <v>Player (0)</v>
      </c>
      <c r="D24" s="37" t="s">
        <v>70</v>
      </c>
      <c r="E24" s="37" t="s">
        <v>80</v>
      </c>
      <c r="F24" s="57" t="str">
        <f>"Strong C Arm ("&amp;SUM(F25:F27)&amp;")"</f>
        <v>Strong C Arm (0)</v>
      </c>
      <c r="G24" s="41" t="s">
        <v>32</v>
      </c>
      <c r="H24" s="41" t="s">
        <v>32</v>
      </c>
      <c r="I24" s="41" t="s">
        <v>32</v>
      </c>
      <c r="J24" s="48" t="s">
        <v>114</v>
      </c>
      <c r="K24" s="40" t="s">
        <v>112</v>
      </c>
      <c r="L24" s="49" t="s">
        <v>113</v>
      </c>
      <c r="M24" s="41" t="s">
        <v>71</v>
      </c>
      <c r="N24" s="41" t="s">
        <v>73</v>
      </c>
      <c r="O24" s="41" t="s">
        <v>74</v>
      </c>
      <c r="P24" s="41" t="s">
        <v>75</v>
      </c>
      <c r="Q24" s="41" t="s">
        <v>76</v>
      </c>
      <c r="R24" s="41" t="s">
        <v>77</v>
      </c>
      <c r="S24" s="41" t="s">
        <v>78</v>
      </c>
      <c r="T24" s="42" t="s">
        <v>79</v>
      </c>
      <c r="U24" s="38" t="s">
        <v>115</v>
      </c>
      <c r="V24" s="38" t="s">
        <v>158</v>
      </c>
      <c r="W24" s="38" t="s">
        <v>116</v>
      </c>
      <c r="X24" s="38" t="s">
        <v>117</v>
      </c>
      <c r="Y24" s="38" t="s">
        <v>118</v>
      </c>
      <c r="Z24" s="38" t="s">
        <v>119</v>
      </c>
      <c r="AA24" s="38" t="s">
        <v>120</v>
      </c>
      <c r="AB24" s="38" t="s">
        <v>122</v>
      </c>
      <c r="AC24" s="53" t="s">
        <v>121</v>
      </c>
      <c r="AD24" s="41" t="s">
        <v>125</v>
      </c>
      <c r="AE24" s="41" t="s">
        <v>126</v>
      </c>
      <c r="AF24" s="41" t="s">
        <v>127</v>
      </c>
      <c r="AG24" s="41" t="s">
        <v>128</v>
      </c>
      <c r="AH24" s="41" t="s">
        <v>21</v>
      </c>
      <c r="AI24" s="41" t="s">
        <v>129</v>
      </c>
      <c r="AJ24" s="42" t="s">
        <v>130</v>
      </c>
      <c r="AK24" s="59" t="s">
        <v>134</v>
      </c>
      <c r="AL24" s="38" t="s">
        <v>115</v>
      </c>
      <c r="AM24" s="38" t="s">
        <v>158</v>
      </c>
      <c r="AN24" s="38" t="s">
        <v>116</v>
      </c>
      <c r="AO24" s="38" t="s">
        <v>117</v>
      </c>
      <c r="AP24" s="38" t="s">
        <v>118</v>
      </c>
      <c r="AQ24" s="38" t="s">
        <v>119</v>
      </c>
      <c r="AR24" s="38" t="s">
        <v>120</v>
      </c>
      <c r="AS24" s="38" t="s">
        <v>122</v>
      </c>
      <c r="AT24" s="53" t="s">
        <v>121</v>
      </c>
      <c r="AU24" s="56" t="s">
        <v>125</v>
      </c>
      <c r="AV24" s="41" t="s">
        <v>126</v>
      </c>
      <c r="AW24" s="41" t="s">
        <v>127</v>
      </c>
      <c r="AX24" s="41" t="s">
        <v>128</v>
      </c>
      <c r="AY24" s="42" t="s">
        <v>21</v>
      </c>
      <c r="AZ24" s="59" t="s">
        <v>174</v>
      </c>
    </row>
    <row r="25" spans="1:52" x14ac:dyDescent="0.25">
      <c r="A25" s="305">
        <v>1</v>
      </c>
      <c r="B25" s="29" t="s">
        <v>71</v>
      </c>
      <c r="C25" s="30"/>
      <c r="D25" s="30" t="str">
        <f>IF($C25="","",VLOOKUP($C25,AMABat!$A$10:$BV$140,D$4,FALSE))</f>
        <v/>
      </c>
      <c r="E25" s="30" t="str">
        <f>IF($C25="","",VLOOKUP($C25,AMABat!$A$10:$BV$140,E$4,FALSE))</f>
        <v/>
      </c>
      <c r="F25" s="345" t="str">
        <f t="shared" ref="F25:F27" si="68">IF($C25="","",IF(AND(O25&gt;0,O25=SUM(M25:T25)),1,0))</f>
        <v/>
      </c>
      <c r="G25" s="339" t="str">
        <f t="shared" ref="G25:G27" si="69">IF($C25="","",IF(Q25&lt;&gt;"-",1,0))</f>
        <v/>
      </c>
      <c r="H25" s="339" t="str">
        <f t="shared" ref="H25:H27" si="70">IF($C25="","",IF(AND(K25&gt;5,P25&lt;&gt;"-"),1,0))</f>
        <v/>
      </c>
      <c r="I25" s="339" t="str">
        <f t="shared" ref="I25:I27" si="71">IF($C25="","","-")</f>
        <v/>
      </c>
      <c r="J25" s="51" t="str">
        <f>IF($C25="","",VLOOKUP($C25,AMABat!$A$10:$BV$140,J$4,FALSE))</f>
        <v/>
      </c>
      <c r="K25" s="30" t="str">
        <f>IF($C25="","",VLOOKUP($C25,AMABat!$A$10:$BV$140,K$4,FALSE))</f>
        <v/>
      </c>
      <c r="L25" s="31" t="str">
        <f>IF($C25="","",VLOOKUP($C25,AMABat!$A$10:$BV$140,L$4,FALSE))</f>
        <v/>
      </c>
      <c r="M25" s="30" t="str">
        <f>IF($C25="","",VLOOKUP($C25,AMABat!$A$10:$BV$140,M$4,FALSE))</f>
        <v/>
      </c>
      <c r="N25" s="30" t="str">
        <f>IF($C25="","",VLOOKUP($C25,AMABat!$A$10:$BV$140,N$4,FALSE))</f>
        <v/>
      </c>
      <c r="O25" s="30" t="str">
        <f>IF($C25="","",VLOOKUP($C25,AMABat!$A$10:$BV$140,O$4,FALSE))</f>
        <v/>
      </c>
      <c r="P25" s="30" t="str">
        <f>IF($C25="","",VLOOKUP($C25,AMABat!$A$10:$BV$140,P$4,FALSE))</f>
        <v/>
      </c>
      <c r="Q25" s="30" t="str">
        <f>IF($C25="","",VLOOKUP($C25,AMABat!$A$10:$BV$140,Q$4,FALSE))</f>
        <v/>
      </c>
      <c r="R25" s="30" t="str">
        <f>IF($C25="","",VLOOKUP($C25,AMABat!$A$10:$BV$140,R$4,FALSE))</f>
        <v/>
      </c>
      <c r="S25" s="30" t="str">
        <f>IF($C25="","",VLOOKUP($C25,AMABat!$A$10:$BV$140,S$4,FALSE))</f>
        <v/>
      </c>
      <c r="T25" s="31" t="str">
        <f>IF($C25="","",VLOOKUP($C25,AMABat!$A$10:$BV$140,T$4,FALSE))</f>
        <v/>
      </c>
      <c r="U25" s="339" t="str">
        <f t="shared" ref="U25:U27" si="72">IF($C25="","",IF(OR(AD25+AG25&gt;14,AND(OR(AD25+AG25&gt;12,AND(AD25&gt;6,AG25&gt;6)),AI25&gt;6,OR(AJ25&gt;=AI25,AJ25&gt;6))),1,0))</f>
        <v/>
      </c>
      <c r="V25" s="339" t="str">
        <f t="shared" ref="V25:V27" si="73">IF($C25="","",IF(OR(AND(AD25&gt;6,AH25&gt;6),AD25+AG25&gt;12),1,0))</f>
        <v/>
      </c>
      <c r="W25" s="339" t="str">
        <f t="shared" ref="W25:W27" si="74">IF($C25="","",IF(AND(AD25&gt;6,AF25&gt;6,AG25&gt;6),1,0))</f>
        <v/>
      </c>
      <c r="X25" s="339" t="str">
        <f t="shared" ref="X25:X27" si="75">IF($C25="","",IF(AND(AF25&gt;7,OR(AD25&gt;6,AG25&gt;6)),1,0))</f>
        <v/>
      </c>
      <c r="Y25" s="339" t="str">
        <f t="shared" ref="Y25:Y27" si="76">IF($C25="","",IF(AND(AF25&gt;6,OR(AD25&gt;6,AG25&gt;6)),1,0))</f>
        <v/>
      </c>
      <c r="Z25" s="339" t="str">
        <f t="shared" ref="Z25:Z27" si="77">IF($C25="","",IF(AND(OR(AD25&gt;6,AF25&gt;6),OR(AD25&gt;6,AG25&gt;6)),1,0))</f>
        <v/>
      </c>
      <c r="AA25" s="339" t="str">
        <f t="shared" ref="AA25:AA27" si="78">IF($C25="","",IF(AND(AD25&gt;4,OR(AD25&gt;6,AF25&gt;6,AG25&gt;6)),1,0))</f>
        <v/>
      </c>
      <c r="AB25" s="339" t="str">
        <f t="shared" ref="AB25:AB27" si="79">IF($C25="","",IF(AND(AD25&gt;4,OR(AD25&gt;6,AE25&gt;6,AF25&gt;6,AG25&gt;6)),1,0))</f>
        <v/>
      </c>
      <c r="AC25" s="340" t="str">
        <f t="shared" ref="AC25:AC27" si="80">IF($C25="","",IF(AND(AD25&gt;4,MAX(AD25:AH25)&gt;6),1,0))</f>
        <v/>
      </c>
      <c r="AD25" s="30" t="str">
        <f>IF($C25="","",VLOOKUP($C25,AMABat!$A$10:$BV$140,AD$4,FALSE))</f>
        <v/>
      </c>
      <c r="AE25" s="30" t="str">
        <f>IF($C25="","",VLOOKUP($C25,AMABat!$A$10:$BV$140,AE$4,FALSE))</f>
        <v/>
      </c>
      <c r="AF25" s="30" t="str">
        <f>IF($C25="","",VLOOKUP($C25,AMABat!$A$10:$BV$140,AF$4,FALSE))</f>
        <v/>
      </c>
      <c r="AG25" s="30" t="str">
        <f>IF($C25="","",VLOOKUP($C25,AMABat!$A$10:$BV$140,AG$4,FALSE))</f>
        <v/>
      </c>
      <c r="AH25" s="30" t="str">
        <f>IF($C25="","",VLOOKUP($C25,AMABat!$A$10:$BV$140,AH$4,FALSE))</f>
        <v/>
      </c>
      <c r="AI25" s="30" t="str">
        <f>IF($C25="","",VLOOKUP($C25,AMABat!$A$10:$BV$140,AI$4,FALSE))</f>
        <v/>
      </c>
      <c r="AJ25" s="31" t="str">
        <f>IF($C25="","",VLOOKUP($C25,AMABat!$A$10:$BV$140,AJ$4,FALSE))</f>
        <v/>
      </c>
      <c r="AK25" s="60" t="str">
        <f t="shared" ref="AK25:AK27" si="81">IF($C25="","",(5*AD25+4*AF25+3*AG25+2*AE25+1*AH25+0.5*(AVERAGE(AD25:AE25))+0.5*AVERAGE(AD25,AH25)+1*(AVERAGE(AD25,AF25))+1*AVERAGE(AD25,AG25))/(5+4+3+2+1+0.5+0.5+1+1))</f>
        <v/>
      </c>
      <c r="AL25" s="339" t="str">
        <f t="shared" ref="AL25:AL27" si="82">IF($C25="","",IF(AND(OR(AU25+AX25&gt;12,AND(AU25&gt;6,AX25&gt;6)),AI25&gt;6,OR(AJ25&gt;=AI25,AJ25&gt;6)),1,0))</f>
        <v/>
      </c>
      <c r="AM25" s="339" t="str">
        <f t="shared" ref="AM25:AM27" si="83">IF($C25="","",IF(OR(AND(AU25&gt;6,AY25&gt;6),AU25+AX25&gt;12),1,0))</f>
        <v/>
      </c>
      <c r="AN25" s="339" t="str">
        <f t="shared" ref="AN25:AN27" si="84">IF($C25="","",IF(AND(AU25&gt;6,AW25&gt;6,AX25&gt;6),1,0))</f>
        <v/>
      </c>
      <c r="AO25" s="339" t="str">
        <f t="shared" ref="AO25:AO27" si="85">IF($C25="","",IF(AND(AW25&gt;7,OR(AU25&gt;6,AX25&gt;6)),1,0))</f>
        <v/>
      </c>
      <c r="AP25" s="339" t="str">
        <f t="shared" ref="AP25:AP27" si="86">IF($C25="","",IF(AND(AW25&gt;6,OR(AU25&gt;6,AX25&gt;6)),1,0))</f>
        <v/>
      </c>
      <c r="AQ25" s="339" t="str">
        <f t="shared" ref="AQ25:AQ27" si="87">IF($C25="","",IF(AND(OR(AU25&gt;6,AW25&gt;6),OR(AU25&gt;6,AX25&gt;6)),1,0))</f>
        <v/>
      </c>
      <c r="AR25" s="339" t="str">
        <f t="shared" ref="AR25:AR27" si="88">IF($C25="","",IF(AND(AU25&gt;4,OR(AU25&gt;6,AW25&gt;6,AX25&gt;6)),1,0))</f>
        <v/>
      </c>
      <c r="AS25" s="339" t="str">
        <f t="shared" ref="AS25:AS27" si="89">IF($C25="","",IF(AND(AU25&gt;4,OR(AU25&gt;6,AV25&gt;6,AW25&gt;6,AX25&gt;6)),1,0))</f>
        <v/>
      </c>
      <c r="AT25" s="340" t="str">
        <f t="shared" ref="AT25:AT27" si="90">IF($C25="","",IF(AND(AU25&gt;4,MAX(AU25:AY25)&gt;6),1,0))</f>
        <v/>
      </c>
      <c r="AU25" s="51" t="str">
        <f>IF($C25="","",VLOOKUP($C25,AMABat!$A$10:$BV$140,AU$4,FALSE))</f>
        <v/>
      </c>
      <c r="AV25" s="30" t="str">
        <f>IF($C25="","",VLOOKUP($C25,AMABat!$A$10:$BV$140,AV$4,FALSE))</f>
        <v/>
      </c>
      <c r="AW25" s="30" t="str">
        <f>IF($C25="","",VLOOKUP($C25,AMABat!$A$10:$BV$140,AW$4,FALSE))</f>
        <v/>
      </c>
      <c r="AX25" s="30" t="str">
        <f>IF($C25="","",VLOOKUP($C25,AMABat!$A$10:$BV$140,AX$4,FALSE))</f>
        <v/>
      </c>
      <c r="AY25" s="31" t="str">
        <f>IF($C25="","",VLOOKUP($C25,AMABat!$A$10:$BV$140,AY$4,FALSE))</f>
        <v/>
      </c>
      <c r="AZ25" s="60" t="str">
        <f t="shared" ref="AZ25:AZ27" si="91">IF($C25="","",(5*AU25+4*AW25+3*AX25+2*AV25+1*AY25+0.5*(AVERAGE(AU25:AV25))+0.5*AVERAGE(AU25,AY25)+1*(AVERAGE(AU25,AW25))+1*AVERAGE(AU25,AX25))/(5+4+3+2+1+0.5+0.5+1+1))</f>
        <v/>
      </c>
    </row>
    <row r="26" spans="1:52" x14ac:dyDescent="0.25">
      <c r="A26" s="305">
        <v>2</v>
      </c>
      <c r="B26" s="29" t="s">
        <v>80</v>
      </c>
      <c r="C26" s="30"/>
      <c r="D26" s="30" t="str">
        <f>IF($C26="","",VLOOKUP($C26,AMABat!$A$10:$BV$140,D$4,FALSE))</f>
        <v/>
      </c>
      <c r="E26" s="30" t="str">
        <f>IF($C26="","",VLOOKUP($C26,AMABat!$A$10:$BV$140,E$4,FALSE))</f>
        <v/>
      </c>
      <c r="F26" s="345" t="str">
        <f t="shared" si="68"/>
        <v/>
      </c>
      <c r="G26" s="339" t="str">
        <f t="shared" si="69"/>
        <v/>
      </c>
      <c r="H26" s="339" t="str">
        <f t="shared" si="70"/>
        <v/>
      </c>
      <c r="I26" s="339" t="str">
        <f t="shared" si="71"/>
        <v/>
      </c>
      <c r="J26" s="51" t="str">
        <f>IF($C26="","",VLOOKUP($C26,AMABat!$A$10:$BV$140,J$4,FALSE))</f>
        <v/>
      </c>
      <c r="K26" s="30" t="str">
        <f>IF($C26="","",VLOOKUP($C26,AMABat!$A$10:$BV$140,K$4,FALSE))</f>
        <v/>
      </c>
      <c r="L26" s="31" t="str">
        <f>IF($C26="","",VLOOKUP($C26,AMABat!$A$10:$BV$140,L$4,FALSE))</f>
        <v/>
      </c>
      <c r="M26" s="30" t="str">
        <f>IF($C26="","",VLOOKUP($C26,AMABat!$A$10:$BV$140,M$4,FALSE))</f>
        <v/>
      </c>
      <c r="N26" s="30" t="str">
        <f>IF($C26="","",VLOOKUP($C26,AMABat!$A$10:$BV$140,N$4,FALSE))</f>
        <v/>
      </c>
      <c r="O26" s="30" t="str">
        <f>IF($C26="","",VLOOKUP($C26,AMABat!$A$10:$BV$140,O$4,FALSE))</f>
        <v/>
      </c>
      <c r="P26" s="30" t="str">
        <f>IF($C26="","",VLOOKUP($C26,AMABat!$A$10:$BV$140,P$4,FALSE))</f>
        <v/>
      </c>
      <c r="Q26" s="30" t="str">
        <f>IF($C26="","",VLOOKUP($C26,AMABat!$A$10:$BV$140,Q$4,FALSE))</f>
        <v/>
      </c>
      <c r="R26" s="30" t="str">
        <f>IF($C26="","",VLOOKUP($C26,AMABat!$A$10:$BV$140,R$4,FALSE))</f>
        <v/>
      </c>
      <c r="S26" s="30" t="str">
        <f>IF($C26="","",VLOOKUP($C26,AMABat!$A$10:$BV$140,S$4,FALSE))</f>
        <v/>
      </c>
      <c r="T26" s="31" t="str">
        <f>IF($C26="","",VLOOKUP($C26,AMABat!$A$10:$BV$140,T$4,FALSE))</f>
        <v/>
      </c>
      <c r="U26" s="339" t="str">
        <f t="shared" si="72"/>
        <v/>
      </c>
      <c r="V26" s="339" t="str">
        <f t="shared" si="73"/>
        <v/>
      </c>
      <c r="W26" s="339" t="str">
        <f t="shared" si="74"/>
        <v/>
      </c>
      <c r="X26" s="339" t="str">
        <f t="shared" si="75"/>
        <v/>
      </c>
      <c r="Y26" s="339" t="str">
        <f t="shared" si="76"/>
        <v/>
      </c>
      <c r="Z26" s="339" t="str">
        <f t="shared" si="77"/>
        <v/>
      </c>
      <c r="AA26" s="339" t="str">
        <f t="shared" si="78"/>
        <v/>
      </c>
      <c r="AB26" s="339" t="str">
        <f t="shared" si="79"/>
        <v/>
      </c>
      <c r="AC26" s="340" t="str">
        <f t="shared" si="80"/>
        <v/>
      </c>
      <c r="AD26" s="30" t="str">
        <f>IF($C26="","",VLOOKUP($C26,AMABat!$A$10:$BV$140,AD$4,FALSE))</f>
        <v/>
      </c>
      <c r="AE26" s="30" t="str">
        <f>IF($C26="","",VLOOKUP($C26,AMABat!$A$10:$BV$140,AE$4,FALSE))</f>
        <v/>
      </c>
      <c r="AF26" s="30" t="str">
        <f>IF($C26="","",VLOOKUP($C26,AMABat!$A$10:$BV$140,AF$4,FALSE))</f>
        <v/>
      </c>
      <c r="AG26" s="30" t="str">
        <f>IF($C26="","",VLOOKUP($C26,AMABat!$A$10:$BV$140,AG$4,FALSE))</f>
        <v/>
      </c>
      <c r="AH26" s="30" t="str">
        <f>IF($C26="","",VLOOKUP($C26,AMABat!$A$10:$BV$140,AH$4,FALSE))</f>
        <v/>
      </c>
      <c r="AI26" s="30" t="str">
        <f>IF($C26="","",VLOOKUP($C26,AMABat!$A$10:$BV$140,AI$4,FALSE))</f>
        <v/>
      </c>
      <c r="AJ26" s="31" t="str">
        <f>IF($C26="","",VLOOKUP($C26,AMABat!$A$10:$BV$140,AJ$4,FALSE))</f>
        <v/>
      </c>
      <c r="AK26" s="60" t="str">
        <f t="shared" si="81"/>
        <v/>
      </c>
      <c r="AL26" s="339" t="str">
        <f t="shared" si="82"/>
        <v/>
      </c>
      <c r="AM26" s="339" t="str">
        <f t="shared" si="83"/>
        <v/>
      </c>
      <c r="AN26" s="339" t="str">
        <f t="shared" si="84"/>
        <v/>
      </c>
      <c r="AO26" s="339" t="str">
        <f t="shared" si="85"/>
        <v/>
      </c>
      <c r="AP26" s="339" t="str">
        <f t="shared" si="86"/>
        <v/>
      </c>
      <c r="AQ26" s="339" t="str">
        <f t="shared" si="87"/>
        <v/>
      </c>
      <c r="AR26" s="339" t="str">
        <f t="shared" si="88"/>
        <v/>
      </c>
      <c r="AS26" s="339" t="str">
        <f t="shared" si="89"/>
        <v/>
      </c>
      <c r="AT26" s="340" t="str">
        <f t="shared" si="90"/>
        <v/>
      </c>
      <c r="AU26" s="51" t="str">
        <f>IF($C26="","",VLOOKUP($C26,AMABat!$A$10:$BV$140,AU$4,FALSE))</f>
        <v/>
      </c>
      <c r="AV26" s="30" t="str">
        <f>IF($C26="","",VLOOKUP($C26,AMABat!$A$10:$BV$140,AV$4,FALSE))</f>
        <v/>
      </c>
      <c r="AW26" s="30" t="str">
        <f>IF($C26="","",VLOOKUP($C26,AMABat!$A$10:$BV$140,AW$4,FALSE))</f>
        <v/>
      </c>
      <c r="AX26" s="30" t="str">
        <f>IF($C26="","",VLOOKUP($C26,AMABat!$A$10:$BV$140,AX$4,FALSE))</f>
        <v/>
      </c>
      <c r="AY26" s="31" t="str">
        <f>IF($C26="","",VLOOKUP($C26,AMABat!$A$10:$BV$140,AY$4,FALSE))</f>
        <v/>
      </c>
      <c r="AZ26" s="60" t="str">
        <f t="shared" si="91"/>
        <v/>
      </c>
    </row>
    <row r="27" spans="1:52" x14ac:dyDescent="0.25">
      <c r="A27" s="305">
        <v>3</v>
      </c>
      <c r="B27" s="32" t="s">
        <v>80</v>
      </c>
      <c r="C27" s="33"/>
      <c r="D27" s="33" t="str">
        <f>IF($C27="","",VLOOKUP($C27,AMABat!$A$10:$BV$140,D$4,FALSE))</f>
        <v/>
      </c>
      <c r="E27" s="33" t="str">
        <f>IF($C27="","",VLOOKUP($C27,AMABat!$A$10:$BV$140,E$4,FALSE))</f>
        <v/>
      </c>
      <c r="F27" s="47" t="str">
        <f t="shared" si="68"/>
        <v/>
      </c>
      <c r="G27" s="337" t="str">
        <f t="shared" si="69"/>
        <v/>
      </c>
      <c r="H27" s="337" t="str">
        <f t="shared" si="70"/>
        <v/>
      </c>
      <c r="I27" s="337" t="str">
        <f t="shared" si="71"/>
        <v/>
      </c>
      <c r="J27" s="52" t="str">
        <f>IF($C27="","",VLOOKUP($C27,AMABat!$A$10:$BV$140,J$4,FALSE))</f>
        <v/>
      </c>
      <c r="K27" s="33" t="str">
        <f>IF($C27="","",VLOOKUP($C27,AMABat!$A$10:$BV$140,K$4,FALSE))</f>
        <v/>
      </c>
      <c r="L27" s="35" t="str">
        <f>IF($C27="","",VLOOKUP($C27,AMABat!$A$10:$BV$140,L$4,FALSE))</f>
        <v/>
      </c>
      <c r="M27" s="33" t="str">
        <f>IF($C27="","",VLOOKUP($C27,AMABat!$A$10:$BV$140,M$4,FALSE))</f>
        <v/>
      </c>
      <c r="N27" s="33" t="str">
        <f>IF($C27="","",VLOOKUP($C27,AMABat!$A$10:$BV$140,N$4,FALSE))</f>
        <v/>
      </c>
      <c r="O27" s="33" t="str">
        <f>IF($C27="","",VLOOKUP($C27,AMABat!$A$10:$BV$140,O$4,FALSE))</f>
        <v/>
      </c>
      <c r="P27" s="33" t="str">
        <f>IF($C27="","",VLOOKUP($C27,AMABat!$A$10:$BV$140,P$4,FALSE))</f>
        <v/>
      </c>
      <c r="Q27" s="33" t="str">
        <f>IF($C27="","",VLOOKUP($C27,AMABat!$A$10:$BV$140,Q$4,FALSE))</f>
        <v/>
      </c>
      <c r="R27" s="33" t="str">
        <f>IF($C27="","",VLOOKUP($C27,AMABat!$A$10:$BV$140,R$4,FALSE))</f>
        <v/>
      </c>
      <c r="S27" s="33" t="str">
        <f>IF($C27="","",VLOOKUP($C27,AMABat!$A$10:$BV$140,S$4,FALSE))</f>
        <v/>
      </c>
      <c r="T27" s="35" t="str">
        <f>IF($C27="","",VLOOKUP($C27,AMABat!$A$10:$BV$140,T$4,FALSE))</f>
        <v/>
      </c>
      <c r="U27" s="337" t="str">
        <f t="shared" si="72"/>
        <v/>
      </c>
      <c r="V27" s="337" t="str">
        <f t="shared" si="73"/>
        <v/>
      </c>
      <c r="W27" s="337" t="str">
        <f t="shared" si="74"/>
        <v/>
      </c>
      <c r="X27" s="337" t="str">
        <f t="shared" si="75"/>
        <v/>
      </c>
      <c r="Y27" s="337" t="str">
        <f t="shared" si="76"/>
        <v/>
      </c>
      <c r="Z27" s="337" t="str">
        <f t="shared" si="77"/>
        <v/>
      </c>
      <c r="AA27" s="337" t="str">
        <f t="shared" si="78"/>
        <v/>
      </c>
      <c r="AB27" s="337" t="str">
        <f t="shared" si="79"/>
        <v/>
      </c>
      <c r="AC27" s="338" t="str">
        <f t="shared" si="80"/>
        <v/>
      </c>
      <c r="AD27" s="33" t="str">
        <f>IF($C27="","",VLOOKUP($C27,AMABat!$A$10:$BV$140,AD$4,FALSE))</f>
        <v/>
      </c>
      <c r="AE27" s="33" t="str">
        <f>IF($C27="","",VLOOKUP($C27,AMABat!$A$10:$BV$140,AE$4,FALSE))</f>
        <v/>
      </c>
      <c r="AF27" s="33" t="str">
        <f>IF($C27="","",VLOOKUP($C27,AMABat!$A$10:$BV$140,AF$4,FALSE))</f>
        <v/>
      </c>
      <c r="AG27" s="33" t="str">
        <f>IF($C27="","",VLOOKUP($C27,AMABat!$A$10:$BV$140,AG$4,FALSE))</f>
        <v/>
      </c>
      <c r="AH27" s="33" t="str">
        <f>IF($C27="","",VLOOKUP($C27,AMABat!$A$10:$BV$140,AH$4,FALSE))</f>
        <v/>
      </c>
      <c r="AI27" s="33" t="str">
        <f>IF($C27="","",VLOOKUP($C27,AMABat!$A$10:$BV$140,AI$4,FALSE))</f>
        <v/>
      </c>
      <c r="AJ27" s="35" t="str">
        <f>IF($C27="","",VLOOKUP($C27,AMABat!$A$10:$BV$140,AJ$4,FALSE))</f>
        <v/>
      </c>
      <c r="AK27" s="61" t="str">
        <f t="shared" si="81"/>
        <v/>
      </c>
      <c r="AL27" s="337" t="str">
        <f t="shared" si="82"/>
        <v/>
      </c>
      <c r="AM27" s="337" t="str">
        <f t="shared" si="83"/>
        <v/>
      </c>
      <c r="AN27" s="337" t="str">
        <f t="shared" si="84"/>
        <v/>
      </c>
      <c r="AO27" s="337" t="str">
        <f t="shared" si="85"/>
        <v/>
      </c>
      <c r="AP27" s="337" t="str">
        <f t="shared" si="86"/>
        <v/>
      </c>
      <c r="AQ27" s="337" t="str">
        <f t="shared" si="87"/>
        <v/>
      </c>
      <c r="AR27" s="337" t="str">
        <f t="shared" si="88"/>
        <v/>
      </c>
      <c r="AS27" s="337" t="str">
        <f t="shared" si="89"/>
        <v/>
      </c>
      <c r="AT27" s="338" t="str">
        <f t="shared" si="90"/>
        <v/>
      </c>
      <c r="AU27" s="52" t="str">
        <f>IF($C27="","",VLOOKUP($C27,AMABat!$A$10:$BV$140,AU$4,FALSE))</f>
        <v/>
      </c>
      <c r="AV27" s="33" t="str">
        <f>IF($C27="","",VLOOKUP($C27,AMABat!$A$10:$BV$140,AV$4,FALSE))</f>
        <v/>
      </c>
      <c r="AW27" s="33" t="str">
        <f>IF($C27="","",VLOOKUP($C27,AMABat!$A$10:$BV$140,AW$4,FALSE))</f>
        <v/>
      </c>
      <c r="AX27" s="33" t="str">
        <f>IF($C27="","",VLOOKUP($C27,AMABat!$A$10:$BV$140,AX$4,FALSE))</f>
        <v/>
      </c>
      <c r="AY27" s="35" t="str">
        <f>IF($C27="","",VLOOKUP($C27,AMABat!$A$10:$BV$140,AY$4,FALSE))</f>
        <v/>
      </c>
      <c r="AZ27" s="61" t="str">
        <f t="shared" si="91"/>
        <v/>
      </c>
    </row>
    <row r="28" spans="1:52" x14ac:dyDescent="0.25">
      <c r="A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</row>
    <row r="29" spans="1:52" ht="196.5" customHeight="1" x14ac:dyDescent="0.25">
      <c r="A29" s="1"/>
      <c r="B29" s="341" t="s">
        <v>347</v>
      </c>
      <c r="C29" s="37" t="s">
        <v>96</v>
      </c>
      <c r="D29" s="37" t="s">
        <v>97</v>
      </c>
      <c r="E29" s="43" t="s">
        <v>80</v>
      </c>
      <c r="F29" s="342" t="s">
        <v>133</v>
      </c>
      <c r="G29" s="342" t="s">
        <v>137</v>
      </c>
      <c r="H29" s="343" t="s">
        <v>135</v>
      </c>
      <c r="I29" s="81" t="s">
        <v>159</v>
      </c>
      <c r="J29" s="341" t="s">
        <v>71</v>
      </c>
      <c r="K29" s="342" t="s">
        <v>123</v>
      </c>
      <c r="L29" s="342" t="s">
        <v>124</v>
      </c>
      <c r="M29" s="342" t="s">
        <v>180</v>
      </c>
      <c r="N29" s="342" t="s">
        <v>72</v>
      </c>
      <c r="O29" s="341" t="s">
        <v>181</v>
      </c>
      <c r="P29" s="343" t="s">
        <v>182</v>
      </c>
      <c r="Q29" s="341" t="s">
        <v>190</v>
      </c>
      <c r="R29" s="80" t="s">
        <v>203</v>
      </c>
      <c r="S29" s="1"/>
      <c r="T29" s="341" t="s">
        <v>97</v>
      </c>
      <c r="U29" s="341" t="s">
        <v>191</v>
      </c>
      <c r="V29" s="343" t="s">
        <v>204</v>
      </c>
      <c r="W29" s="342" t="s">
        <v>190</v>
      </c>
      <c r="X29" s="343" t="s">
        <v>203</v>
      </c>
      <c r="Y29" s="1"/>
      <c r="Z29" s="1" t="s">
        <v>336</v>
      </c>
      <c r="AA29" s="1"/>
      <c r="AB29" s="1"/>
      <c r="AC29" s="1"/>
      <c r="AD29" s="1"/>
      <c r="AE29" s="1"/>
      <c r="AF29" s="1"/>
      <c r="AG29" s="400" t="s">
        <v>346</v>
      </c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2"/>
      <c r="AU29" s="1"/>
      <c r="AV29" s="1"/>
      <c r="AW29" s="1"/>
      <c r="AX29" s="1"/>
      <c r="AY29" s="1"/>
      <c r="AZ29" s="1"/>
    </row>
    <row r="30" spans="1:52" x14ac:dyDescent="0.25">
      <c r="A30" s="305"/>
      <c r="B30" s="29">
        <v>1</v>
      </c>
      <c r="C30" s="50"/>
      <c r="D30" s="26" t="s">
        <v>78</v>
      </c>
      <c r="E30" s="31" t="str">
        <f>IF($C30="","",VLOOKUP($C30,$C$3:$AK$24,3,FALSE))</f>
        <v/>
      </c>
      <c r="F30" s="339" t="str">
        <f t="shared" ref="F30:F38" si="92">IF($C30="","",VLOOKUP($C30,$C$3:$AK$24,18+$B30,FALSE))</f>
        <v/>
      </c>
      <c r="G30" s="339" t="str">
        <f>IF($C30="","",IF(VLOOKUP($C30,$C$3:$AK$24,18+3,FALSE)=1,3,IF(VLOOKUP($C30,$C$3:$AK$24,18+4,FALSE)=1,4,IF(VLOOKUP($C30,$C$3:$AK$24,18+1,FALSE)=1,1,IF(VLOOKUP($C30,$C$3:$AK$24,18+5,FALSE)=1,5,IF(VLOOKUP($C30,$C$3:$AK$24,18+2,FALSE)=1,2,IF(VLOOKUP($C30,$C$3:$AK$24,18+6,FALSE)=1,6,IF(VLOOKUP($C30,$C$3:$AK$24,18+7,FALSE)=1,7,IF(VLOOKUP($C30,$C$3:$AK$24,18+8,FALSE)=1,8,9)))))))))</f>
        <v/>
      </c>
      <c r="H30" s="8" t="str">
        <f>IF($C30="","",VLOOKUP($C30,$C$3:$AK$24,35,FALSE))</f>
        <v/>
      </c>
      <c r="I30" s="82">
        <v>3</v>
      </c>
      <c r="J30" s="345" t="str">
        <f>IF($C30="","",VLOOKUP($C30,AMABat!$A$10:$BV$140,AD$1,FALSE))</f>
        <v/>
      </c>
      <c r="K30" s="339" t="str">
        <f>IF($C30="","",VLOOKUP($C30,AMABat!$A$10:$BV$140,AE$1,FALSE))</f>
        <v/>
      </c>
      <c r="L30" s="339" t="str">
        <f>IF($C30="","",VLOOKUP($C30,AMABat!$A$10:$BV$140,AF$1,FALSE))</f>
        <v/>
      </c>
      <c r="M30" s="339" t="str">
        <f>IF($C30="","",VLOOKUP($C30,AMABat!$A$10:$BV$140,AG$1,FALSE))</f>
        <v/>
      </c>
      <c r="N30" s="339" t="str">
        <f>IF($C30="","",VLOOKUP($C30,AMABat!$A$10:$BV$140,AH$1,FALSE))</f>
        <v/>
      </c>
      <c r="O30" s="345" t="str">
        <f>IF($C30="","",VLOOKUP($C30,AMABat!$A$10:$BV$140,AI$1,FALSE))</f>
        <v/>
      </c>
      <c r="P30" s="340" t="str">
        <f>IF($C30="","",VLOOKUP($C30,AMABat!$A$10:$BV$140,AJ$1,FALSE))</f>
        <v/>
      </c>
      <c r="Q30" s="107" t="str">
        <f t="shared" ref="Q30:Q38" si="93">IF($C30="","",IF($D30="DH","-",VLOOKUP($C30,$C$2:$AZ$24,9+VLOOKUP($D30,$T$26:$U$34,2,FALSE),FALSE)))</f>
        <v/>
      </c>
      <c r="R30" s="94" t="str">
        <f t="shared" ref="R30:R38" si="94">IF($C30="","",IF($D30="DH","-",VLOOKUP($C30,$C$2:$AZ$24,VLOOKUP($D30,$T$26:$V$34,3,FALSE),FALSE)))</f>
        <v/>
      </c>
      <c r="S30" s="305"/>
      <c r="T30" s="345" t="s">
        <v>71</v>
      </c>
      <c r="U30" s="345">
        <v>2</v>
      </c>
      <c r="V30" s="340">
        <v>8</v>
      </c>
      <c r="W30" s="339" t="str">
        <f>VLOOKUP($T30,$D$26:$R$35,14,FALSE)</f>
        <v/>
      </c>
      <c r="X30" s="340" t="str">
        <f>VLOOKUP($T30,$D$26:$R$35,15,FALSE)</f>
        <v/>
      </c>
      <c r="Y30" s="305"/>
      <c r="Z30" s="305" t="s">
        <v>337</v>
      </c>
      <c r="AA30" s="305">
        <v>1</v>
      </c>
      <c r="AB30" s="305"/>
      <c r="AC30" s="305"/>
      <c r="AD30" s="305"/>
      <c r="AE30" s="305"/>
      <c r="AF30" s="305"/>
      <c r="AG30" s="192">
        <v>1</v>
      </c>
      <c r="AH30" s="406" t="s">
        <v>362</v>
      </c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7"/>
      <c r="AU30" s="305" t="s">
        <v>366</v>
      </c>
      <c r="AV30" s="305"/>
      <c r="AW30" s="305"/>
      <c r="AX30" s="305"/>
      <c r="AY30" s="305"/>
      <c r="AZ30" s="305"/>
    </row>
    <row r="31" spans="1:52" x14ac:dyDescent="0.25">
      <c r="A31" s="305"/>
      <c r="B31" s="29">
        <v>2</v>
      </c>
      <c r="C31" s="51"/>
      <c r="D31" s="30" t="s">
        <v>76</v>
      </c>
      <c r="E31" s="31" t="str">
        <f t="shared" ref="E31:E38" si="95">IF($C31="","",VLOOKUP($C31,$C$3:$AK$24,3,FALSE))</f>
        <v/>
      </c>
      <c r="F31" s="339" t="str">
        <f t="shared" si="92"/>
        <v/>
      </c>
      <c r="G31" s="339" t="str">
        <f t="shared" ref="G31:G38" si="96">IF($C31="","",IF(VLOOKUP($C31,$C$3:$AK$24,18+3,FALSE)=1,3,IF(VLOOKUP($C31,$C$3:$AK$24,18+4,FALSE)=1,4,IF(VLOOKUP($C31,$C$3:$AK$24,18+1,FALSE)=1,1,IF(VLOOKUP($C31,$C$3:$AK$24,18+5,FALSE)=1,5,IF(VLOOKUP($C31,$C$3:$AK$24,18+2,FALSE)=1,2,IF(VLOOKUP($C31,$C$3:$AK$24,18+6,FALSE)=1,6,IF(VLOOKUP($C31,$C$3:$AK$24,18+7,FALSE)=1,7,IF(VLOOKUP($C31,$C$3:$AK$24,18+8,FALSE)=1,8,9)))))))))</f>
        <v/>
      </c>
      <c r="H31" s="8" t="str">
        <f t="shared" ref="H31:H38" si="97">IF($C31="","",VLOOKUP($C31,$C$3:$AK$24,35,FALSE))</f>
        <v/>
      </c>
      <c r="I31" s="82">
        <v>5</v>
      </c>
      <c r="J31" s="345" t="str">
        <f>IF($C31="","",VLOOKUP($C31,AMABat!$A$10:$BV$140,AD$1,FALSE))</f>
        <v/>
      </c>
      <c r="K31" s="339" t="str">
        <f>IF($C31="","",VLOOKUP($C31,AMABat!$A$10:$BV$140,AE$1,FALSE))</f>
        <v/>
      </c>
      <c r="L31" s="339" t="str">
        <f>IF($C31="","",VLOOKUP($C31,AMABat!$A$10:$BV$140,AF$1,FALSE))</f>
        <v/>
      </c>
      <c r="M31" s="339" t="str">
        <f>IF($C31="","",VLOOKUP($C31,AMABat!$A$10:$BV$140,AG$1,FALSE))</f>
        <v/>
      </c>
      <c r="N31" s="339" t="str">
        <f>IF($C31="","",VLOOKUP($C31,AMABat!$A$10:$BV$140,AH$1,FALSE))</f>
        <v/>
      </c>
      <c r="O31" s="345" t="str">
        <f>IF($C31="","",VLOOKUP($C31,AMABat!$A$10:$BV$140,AI$1,FALSE))</f>
        <v/>
      </c>
      <c r="P31" s="340" t="str">
        <f>IF($C31="","",VLOOKUP($C31,AMABat!$A$10:$BV$140,AJ$1,FALSE))</f>
        <v/>
      </c>
      <c r="Q31" s="108" t="str">
        <f t="shared" si="93"/>
        <v/>
      </c>
      <c r="R31" s="94" t="str">
        <f t="shared" si="94"/>
        <v/>
      </c>
      <c r="S31" s="305"/>
      <c r="T31" s="345" t="s">
        <v>73</v>
      </c>
      <c r="U31" s="345">
        <v>3</v>
      </c>
      <c r="V31" s="340">
        <v>9</v>
      </c>
      <c r="W31" s="339" t="e">
        <f t="shared" ref="W31:W37" si="98">VLOOKUP($T31,$D$26:$R$35,14,FALSE)</f>
        <v>#N/A</v>
      </c>
      <c r="X31" s="340" t="e">
        <f t="shared" ref="X31:X37" si="99">VLOOKUP($T31,$D$26:$R$35,15,FALSE)</f>
        <v>#N/A</v>
      </c>
      <c r="Y31" s="305"/>
      <c r="Z31" s="305" t="s">
        <v>338</v>
      </c>
      <c r="AA31" s="305">
        <v>3</v>
      </c>
      <c r="AB31" s="305"/>
      <c r="AC31" s="305"/>
      <c r="AD31" s="305"/>
      <c r="AE31" s="305"/>
      <c r="AF31" s="305"/>
      <c r="AG31" s="70">
        <v>2</v>
      </c>
      <c r="AH31" s="396" t="s">
        <v>363</v>
      </c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7"/>
      <c r="AU31" s="305" t="s">
        <v>370</v>
      </c>
      <c r="AV31" s="305"/>
      <c r="AW31" s="305"/>
      <c r="AX31" s="305"/>
      <c r="AY31" s="305"/>
      <c r="AZ31" s="305"/>
    </row>
    <row r="32" spans="1:52" x14ac:dyDescent="0.25">
      <c r="A32" s="305"/>
      <c r="B32" s="29">
        <v>3</v>
      </c>
      <c r="C32" s="51"/>
      <c r="D32" s="58" t="s">
        <v>71</v>
      </c>
      <c r="E32" s="31" t="str">
        <f t="shared" si="95"/>
        <v/>
      </c>
      <c r="F32" s="339" t="str">
        <f t="shared" si="92"/>
        <v/>
      </c>
      <c r="G32" s="339" t="str">
        <f t="shared" si="96"/>
        <v/>
      </c>
      <c r="H32" s="8" t="str">
        <f t="shared" si="97"/>
        <v/>
      </c>
      <c r="I32" s="82">
        <v>1</v>
      </c>
      <c r="J32" s="345" t="str">
        <f>IF($C32="","",VLOOKUP($C32,AMABat!$A$10:$BV$140,AD$1,FALSE))</f>
        <v/>
      </c>
      <c r="K32" s="339" t="str">
        <f>IF($C32="","",VLOOKUP($C32,AMABat!$A$10:$BV$140,AE$1,FALSE))</f>
        <v/>
      </c>
      <c r="L32" s="339" t="str">
        <f>IF($C32="","",VLOOKUP($C32,AMABat!$A$10:$BV$140,AF$1,FALSE))</f>
        <v/>
      </c>
      <c r="M32" s="339" t="str">
        <f>IF($C32="","",VLOOKUP($C32,AMABat!$A$10:$BV$140,AG$1,FALSE))</f>
        <v/>
      </c>
      <c r="N32" s="339" t="str">
        <f>IF($C32="","",VLOOKUP($C32,AMABat!$A$10:$BV$140,AH$1,FALSE))</f>
        <v/>
      </c>
      <c r="O32" s="345" t="str">
        <f>IF($C32="","",VLOOKUP($C32,AMABat!$A$10:$BV$140,AI$1,FALSE))</f>
        <v/>
      </c>
      <c r="P32" s="340" t="str">
        <f>IF($C32="","",VLOOKUP($C32,AMABat!$A$10:$BV$140,AJ$1,FALSE))</f>
        <v/>
      </c>
      <c r="Q32" s="108" t="str">
        <f t="shared" si="93"/>
        <v/>
      </c>
      <c r="R32" s="94" t="str">
        <f t="shared" si="94"/>
        <v/>
      </c>
      <c r="S32" s="305"/>
      <c r="T32" s="345" t="s">
        <v>74</v>
      </c>
      <c r="U32" s="345">
        <v>4</v>
      </c>
      <c r="V32" s="340">
        <v>9</v>
      </c>
      <c r="W32" s="339" t="e">
        <f t="shared" si="98"/>
        <v>#N/A</v>
      </c>
      <c r="X32" s="340" t="e">
        <f t="shared" si="99"/>
        <v>#N/A</v>
      </c>
      <c r="Y32" s="305"/>
      <c r="Z32" s="305" t="s">
        <v>341</v>
      </c>
      <c r="AA32" s="305">
        <v>5</v>
      </c>
      <c r="AB32" s="305"/>
      <c r="AC32" s="305"/>
      <c r="AD32" s="305"/>
      <c r="AE32" s="305"/>
      <c r="AF32" s="305"/>
      <c r="AG32" s="70">
        <v>3</v>
      </c>
      <c r="AH32" s="406" t="s">
        <v>369</v>
      </c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7"/>
      <c r="AU32" s="305" t="s">
        <v>383</v>
      </c>
      <c r="AV32" s="305"/>
      <c r="AW32" s="305"/>
      <c r="AX32" s="305"/>
      <c r="AY32" s="305"/>
      <c r="AZ32" s="305"/>
    </row>
    <row r="33" spans="1:52" x14ac:dyDescent="0.25">
      <c r="A33" s="305"/>
      <c r="B33" s="29">
        <v>4</v>
      </c>
      <c r="C33" s="51"/>
      <c r="D33" s="58" t="s">
        <v>75</v>
      </c>
      <c r="E33" s="31" t="str">
        <f t="shared" si="95"/>
        <v/>
      </c>
      <c r="F33" s="339" t="str">
        <f t="shared" si="92"/>
        <v/>
      </c>
      <c r="G33" s="339" t="str">
        <f t="shared" si="96"/>
        <v/>
      </c>
      <c r="H33" s="8" t="str">
        <f t="shared" si="97"/>
        <v/>
      </c>
      <c r="I33" s="82">
        <v>2</v>
      </c>
      <c r="J33" s="345" t="str">
        <f>IF($C33="","",VLOOKUP($C33,AMABat!$A$10:$BV$140,AD$1,FALSE))</f>
        <v/>
      </c>
      <c r="K33" s="339" t="str">
        <f>IF($C33="","",VLOOKUP($C33,AMABat!$A$10:$BV$140,AE$1,FALSE))</f>
        <v/>
      </c>
      <c r="L33" s="339" t="str">
        <f>IF($C33="","",VLOOKUP($C33,AMABat!$A$10:$BV$140,AF$1,FALSE))</f>
        <v/>
      </c>
      <c r="M33" s="339" t="str">
        <f>IF($C33="","",VLOOKUP($C33,AMABat!$A$10:$BV$140,AG$1,FALSE))</f>
        <v/>
      </c>
      <c r="N33" s="339" t="str">
        <f>IF($C33="","",VLOOKUP($C33,AMABat!$A$10:$BV$140,AH$1,FALSE))</f>
        <v/>
      </c>
      <c r="O33" s="345" t="str">
        <f>IF($C33="","",VLOOKUP($C33,AMABat!$A$10:$BV$140,AI$1,FALSE))</f>
        <v/>
      </c>
      <c r="P33" s="340" t="str">
        <f>IF($C33="","",VLOOKUP($C33,AMABat!$A$10:$BV$140,AJ$1,FALSE))</f>
        <v/>
      </c>
      <c r="Q33" s="108" t="str">
        <f t="shared" si="93"/>
        <v/>
      </c>
      <c r="R33" s="94" t="str">
        <f t="shared" si="94"/>
        <v/>
      </c>
      <c r="S33" s="305"/>
      <c r="T33" s="345" t="s">
        <v>75</v>
      </c>
      <c r="U33" s="345">
        <v>5</v>
      </c>
      <c r="V33" s="340">
        <v>9</v>
      </c>
      <c r="W33" s="339" t="str">
        <f t="shared" si="98"/>
        <v/>
      </c>
      <c r="X33" s="340" t="str">
        <f t="shared" si="99"/>
        <v/>
      </c>
      <c r="Y33" s="305"/>
      <c r="Z33" s="305" t="s">
        <v>340</v>
      </c>
      <c r="AA33" s="305">
        <v>2</v>
      </c>
      <c r="AB33" s="305"/>
      <c r="AC33" s="305"/>
      <c r="AD33" s="305"/>
      <c r="AE33" s="305"/>
      <c r="AF33" s="305"/>
      <c r="AG33" s="70">
        <v>4</v>
      </c>
      <c r="AH33" s="406" t="s">
        <v>368</v>
      </c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7"/>
      <c r="AU33" s="305" t="s">
        <v>373</v>
      </c>
      <c r="AV33" s="305"/>
      <c r="AW33" s="305"/>
      <c r="AX33" s="305"/>
      <c r="AY33" s="305"/>
      <c r="AZ33" s="305"/>
    </row>
    <row r="34" spans="1:52" x14ac:dyDescent="0.25">
      <c r="A34" s="305"/>
      <c r="B34" s="29">
        <v>5</v>
      </c>
      <c r="C34" s="51"/>
      <c r="D34" s="58"/>
      <c r="E34" s="31" t="str">
        <f t="shared" si="95"/>
        <v/>
      </c>
      <c r="F34" s="339" t="str">
        <f t="shared" si="92"/>
        <v/>
      </c>
      <c r="G34" s="339" t="str">
        <f t="shared" si="96"/>
        <v/>
      </c>
      <c r="H34" s="8" t="str">
        <f t="shared" si="97"/>
        <v/>
      </c>
      <c r="I34" s="82">
        <v>4</v>
      </c>
      <c r="J34" s="345" t="str">
        <f>IF($C34="","",VLOOKUP($C34,AMABat!$A$10:$BV$140,AD$1,FALSE))</f>
        <v/>
      </c>
      <c r="K34" s="339" t="str">
        <f>IF($C34="","",VLOOKUP($C34,AMABat!$A$10:$BV$140,AE$1,FALSE))</f>
        <v/>
      </c>
      <c r="L34" s="339" t="str">
        <f>IF($C34="","",VLOOKUP($C34,AMABat!$A$10:$BV$140,AF$1,FALSE))</f>
        <v/>
      </c>
      <c r="M34" s="339" t="str">
        <f>IF($C34="","",VLOOKUP($C34,AMABat!$A$10:$BV$140,AG$1,FALSE))</f>
        <v/>
      </c>
      <c r="N34" s="339" t="str">
        <f>IF($C34="","",VLOOKUP($C34,AMABat!$A$10:$BV$140,AH$1,FALSE))</f>
        <v/>
      </c>
      <c r="O34" s="345" t="str">
        <f>IF($C34="","",VLOOKUP($C34,AMABat!$A$10:$BV$140,AI$1,FALSE))</f>
        <v/>
      </c>
      <c r="P34" s="340" t="str">
        <f>IF($C34="","",VLOOKUP($C34,AMABat!$A$10:$BV$140,AJ$1,FALSE))</f>
        <v/>
      </c>
      <c r="Q34" s="108" t="str">
        <f t="shared" si="93"/>
        <v/>
      </c>
      <c r="R34" s="94" t="str">
        <f t="shared" si="94"/>
        <v/>
      </c>
      <c r="S34" s="305"/>
      <c r="T34" s="345" t="s">
        <v>76</v>
      </c>
      <c r="U34" s="345">
        <v>6</v>
      </c>
      <c r="V34" s="340">
        <v>9</v>
      </c>
      <c r="W34" s="339" t="str">
        <f t="shared" si="98"/>
        <v/>
      </c>
      <c r="X34" s="340" t="str">
        <f t="shared" si="99"/>
        <v/>
      </c>
      <c r="Y34" s="305"/>
      <c r="Z34" s="305" t="s">
        <v>339</v>
      </c>
      <c r="AA34" s="305">
        <v>4</v>
      </c>
      <c r="AB34" s="305"/>
      <c r="AC34" s="305"/>
      <c r="AD34" s="305"/>
      <c r="AE34" s="305"/>
      <c r="AF34" s="305"/>
      <c r="AG34" s="70">
        <v>5</v>
      </c>
      <c r="AH34" s="408" t="s">
        <v>361</v>
      </c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10"/>
      <c r="AU34" s="305"/>
      <c r="AV34" s="305"/>
      <c r="AW34" s="305"/>
      <c r="AX34" s="305"/>
      <c r="AY34" s="305"/>
      <c r="AZ34" s="305"/>
    </row>
    <row r="35" spans="1:52" s="1" customFormat="1" x14ac:dyDescent="0.25">
      <c r="A35" s="305"/>
      <c r="B35" s="29">
        <v>6</v>
      </c>
      <c r="C35" s="51"/>
      <c r="D35" s="58"/>
      <c r="E35" s="31" t="str">
        <f t="shared" si="95"/>
        <v/>
      </c>
      <c r="F35" s="339" t="str">
        <f t="shared" si="92"/>
        <v/>
      </c>
      <c r="G35" s="339" t="str">
        <f t="shared" si="96"/>
        <v/>
      </c>
      <c r="H35" s="8" t="str">
        <f t="shared" si="97"/>
        <v/>
      </c>
      <c r="I35" s="82">
        <v>6</v>
      </c>
      <c r="J35" s="345" t="str">
        <f>IF($C35="","",VLOOKUP($C35,AMABat!$A$10:$BV$140,AD$1,FALSE))</f>
        <v/>
      </c>
      <c r="K35" s="339" t="str">
        <f>IF($C35="","",VLOOKUP($C35,AMABat!$A$10:$BV$140,AE$1,FALSE))</f>
        <v/>
      </c>
      <c r="L35" s="339" t="str">
        <f>IF($C35="","",VLOOKUP($C35,AMABat!$A$10:$BV$140,AF$1,FALSE))</f>
        <v/>
      </c>
      <c r="M35" s="339" t="str">
        <f>IF($C35="","",VLOOKUP($C35,AMABat!$A$10:$BV$140,AG$1,FALSE))</f>
        <v/>
      </c>
      <c r="N35" s="339" t="str">
        <f>IF($C35="","",VLOOKUP($C35,AMABat!$A$10:$BV$140,AH$1,FALSE))</f>
        <v/>
      </c>
      <c r="O35" s="345" t="str">
        <f>IF($C35="","",VLOOKUP($C35,AMABat!$A$10:$BV$140,AI$1,FALSE))</f>
        <v/>
      </c>
      <c r="P35" s="340" t="str">
        <f>IF($C35="","",VLOOKUP($C35,AMABat!$A$10:$BV$140,AJ$1,FALSE))</f>
        <v/>
      </c>
      <c r="Q35" s="108" t="str">
        <f t="shared" si="93"/>
        <v/>
      </c>
      <c r="R35" s="94" t="str">
        <f t="shared" si="94"/>
        <v/>
      </c>
      <c r="S35" s="305"/>
      <c r="T35" s="345" t="s">
        <v>77</v>
      </c>
      <c r="U35" s="345">
        <v>7</v>
      </c>
      <c r="V35" s="340">
        <v>10</v>
      </c>
      <c r="W35" s="339" t="e">
        <f t="shared" si="98"/>
        <v>#N/A</v>
      </c>
      <c r="X35" s="340" t="e">
        <f t="shared" si="99"/>
        <v>#N/A</v>
      </c>
      <c r="Y35" s="305"/>
      <c r="Z35" s="305" t="s">
        <v>343</v>
      </c>
      <c r="AA35" s="305">
        <v>6</v>
      </c>
      <c r="AB35" s="305"/>
      <c r="AC35" s="305"/>
      <c r="AD35" s="305"/>
      <c r="AE35" s="305"/>
      <c r="AF35" s="305"/>
      <c r="AG35" s="70">
        <v>6</v>
      </c>
      <c r="AH35" s="411" t="s">
        <v>364</v>
      </c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7"/>
      <c r="AU35" s="305" t="s">
        <v>376</v>
      </c>
      <c r="AV35" s="305"/>
      <c r="AW35" s="305"/>
      <c r="AX35" s="305"/>
      <c r="AY35" s="305"/>
      <c r="AZ35" s="305"/>
    </row>
    <row r="36" spans="1:52" x14ac:dyDescent="0.25">
      <c r="A36" s="305"/>
      <c r="B36" s="29">
        <v>7</v>
      </c>
      <c r="C36" s="51"/>
      <c r="D36" s="58"/>
      <c r="E36" s="31" t="str">
        <f t="shared" si="95"/>
        <v/>
      </c>
      <c r="F36" s="339" t="str">
        <f t="shared" si="92"/>
        <v/>
      </c>
      <c r="G36" s="339" t="str">
        <f t="shared" si="96"/>
        <v/>
      </c>
      <c r="H36" s="8" t="str">
        <f t="shared" si="97"/>
        <v/>
      </c>
      <c r="I36" s="82">
        <v>7</v>
      </c>
      <c r="J36" s="345" t="str">
        <f>IF($C36="","",VLOOKUP($C36,AMABat!$A$10:$BV$140,AD$1,FALSE))</f>
        <v/>
      </c>
      <c r="K36" s="339" t="str">
        <f>IF($C36="","",VLOOKUP($C36,AMABat!$A$10:$BV$140,AE$1,FALSE))</f>
        <v/>
      </c>
      <c r="L36" s="339" t="str">
        <f>IF($C36="","",VLOOKUP($C36,AMABat!$A$10:$BV$140,AF$1,FALSE))</f>
        <v/>
      </c>
      <c r="M36" s="339" t="str">
        <f>IF($C36="","",VLOOKUP($C36,AMABat!$A$10:$BV$140,AG$1,FALSE))</f>
        <v/>
      </c>
      <c r="N36" s="339" t="str">
        <f>IF($C36="","",VLOOKUP($C36,AMABat!$A$10:$BV$140,AH$1,FALSE))</f>
        <v/>
      </c>
      <c r="O36" s="345" t="str">
        <f>IF($C36="","",VLOOKUP($C36,AMABat!$A$10:$BV$140,AI$1,FALSE))</f>
        <v/>
      </c>
      <c r="P36" s="340" t="str">
        <f>IF($C36="","",VLOOKUP($C36,AMABat!$A$10:$BV$140,AJ$1,FALSE))</f>
        <v/>
      </c>
      <c r="Q36" s="108" t="str">
        <f t="shared" si="93"/>
        <v/>
      </c>
      <c r="R36" s="94" t="str">
        <f t="shared" si="94"/>
        <v/>
      </c>
      <c r="S36" s="305"/>
      <c r="T36" s="345" t="s">
        <v>78</v>
      </c>
      <c r="U36" s="345">
        <v>8</v>
      </c>
      <c r="V36" s="340">
        <v>10</v>
      </c>
      <c r="W36" s="339" t="str">
        <f t="shared" si="98"/>
        <v/>
      </c>
      <c r="X36" s="340" t="str">
        <f t="shared" si="99"/>
        <v/>
      </c>
      <c r="Y36" s="305"/>
      <c r="Z36" s="305" t="s">
        <v>344</v>
      </c>
      <c r="AA36" s="305">
        <v>7</v>
      </c>
      <c r="AB36" s="305"/>
      <c r="AC36" s="305"/>
      <c r="AD36" s="305"/>
      <c r="AE36" s="305"/>
      <c r="AF36" s="305"/>
      <c r="AG36" s="70">
        <v>7</v>
      </c>
      <c r="AH36" s="411" t="s">
        <v>365</v>
      </c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7"/>
      <c r="AU36" s="305" t="s">
        <v>367</v>
      </c>
      <c r="AV36" s="305"/>
      <c r="AW36" s="305"/>
      <c r="AX36" s="305"/>
      <c r="AY36" s="305"/>
      <c r="AZ36" s="305"/>
    </row>
    <row r="37" spans="1:52" x14ac:dyDescent="0.25">
      <c r="A37" s="305"/>
      <c r="B37" s="29">
        <v>8</v>
      </c>
      <c r="C37" s="51"/>
      <c r="D37" s="58"/>
      <c r="E37" s="31" t="str">
        <f t="shared" si="95"/>
        <v/>
      </c>
      <c r="F37" s="339" t="str">
        <f t="shared" si="92"/>
        <v/>
      </c>
      <c r="G37" s="339" t="str">
        <f t="shared" si="96"/>
        <v/>
      </c>
      <c r="H37" s="8" t="str">
        <f t="shared" si="97"/>
        <v/>
      </c>
      <c r="I37" s="82">
        <v>8</v>
      </c>
      <c r="J37" s="345" t="str">
        <f>IF($C37="","",VLOOKUP($C37,AMABat!$A$10:$BV$140,AD$1,FALSE))</f>
        <v/>
      </c>
      <c r="K37" s="339" t="str">
        <f>IF($C37="","",VLOOKUP($C37,AMABat!$A$10:$BV$140,AE$1,FALSE))</f>
        <v/>
      </c>
      <c r="L37" s="339" t="str">
        <f>IF($C37="","",VLOOKUP($C37,AMABat!$A$10:$BV$140,AF$1,FALSE))</f>
        <v/>
      </c>
      <c r="M37" s="339" t="str">
        <f>IF($C37="","",VLOOKUP($C37,AMABat!$A$10:$BV$140,AG$1,FALSE))</f>
        <v/>
      </c>
      <c r="N37" s="339" t="str">
        <f>IF($C37="","",VLOOKUP($C37,AMABat!$A$10:$BV$140,AH$1,FALSE))</f>
        <v/>
      </c>
      <c r="O37" s="345" t="str">
        <f>IF($C37="","",VLOOKUP($C37,AMABat!$A$10:$BV$140,AI$1,FALSE))</f>
        <v/>
      </c>
      <c r="P37" s="340" t="str">
        <f>IF($C37="","",VLOOKUP($C37,AMABat!$A$10:$BV$140,AJ$1,FALSE))</f>
        <v/>
      </c>
      <c r="Q37" s="108" t="str">
        <f t="shared" si="93"/>
        <v/>
      </c>
      <c r="R37" s="94" t="str">
        <f t="shared" si="94"/>
        <v/>
      </c>
      <c r="S37" s="305"/>
      <c r="T37" s="47" t="s">
        <v>79</v>
      </c>
      <c r="U37" s="47">
        <v>9</v>
      </c>
      <c r="V37" s="338">
        <v>10</v>
      </c>
      <c r="W37" s="337" t="e">
        <f t="shared" si="98"/>
        <v>#N/A</v>
      </c>
      <c r="X37" s="338" t="e">
        <f t="shared" si="99"/>
        <v>#N/A</v>
      </c>
      <c r="Y37" s="305"/>
      <c r="Z37" s="305" t="s">
        <v>345</v>
      </c>
      <c r="AA37" s="305">
        <v>8</v>
      </c>
      <c r="AB37" s="305"/>
      <c r="AC37" s="305"/>
      <c r="AD37" s="305"/>
      <c r="AE37" s="305"/>
      <c r="AF37" s="305"/>
      <c r="AG37" s="70">
        <v>8</v>
      </c>
      <c r="AH37" s="412" t="s">
        <v>374</v>
      </c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305" t="s">
        <v>375</v>
      </c>
      <c r="AV37" s="305"/>
      <c r="AW37" s="305"/>
      <c r="AX37" s="305"/>
      <c r="AY37" s="305"/>
      <c r="AZ37" s="305"/>
    </row>
    <row r="38" spans="1:52" x14ac:dyDescent="0.25">
      <c r="A38" s="305"/>
      <c r="B38" s="32">
        <v>9</v>
      </c>
      <c r="C38" s="52"/>
      <c r="D38" s="33"/>
      <c r="E38" s="35" t="str">
        <f t="shared" si="95"/>
        <v/>
      </c>
      <c r="F38" s="337" t="str">
        <f t="shared" si="92"/>
        <v/>
      </c>
      <c r="G38" s="337" t="str">
        <f t="shared" si="96"/>
        <v/>
      </c>
      <c r="H38" s="62" t="str">
        <f t="shared" si="97"/>
        <v/>
      </c>
      <c r="I38" s="83">
        <v>9</v>
      </c>
      <c r="J38" s="47" t="str">
        <f>IF($C38="","",VLOOKUP($C38,AMABat!$A$10:$BV$140,AD$1,FALSE))</f>
        <v/>
      </c>
      <c r="K38" s="337" t="str">
        <f>IF($C38="","",VLOOKUP($C38,AMABat!$A$10:$BV$140,AE$1,FALSE))</f>
        <v/>
      </c>
      <c r="L38" s="337" t="str">
        <f>IF($C38="","",VLOOKUP($C38,AMABat!$A$10:$BV$140,AF$1,FALSE))</f>
        <v/>
      </c>
      <c r="M38" s="337" t="str">
        <f>IF($C38="","",VLOOKUP($C38,AMABat!$A$10:$BV$140,AG$1,FALSE))</f>
        <v/>
      </c>
      <c r="N38" s="337" t="str">
        <f>IF($C38="","",VLOOKUP($C38,AMABat!$A$10:$BV$140,AH$1,FALSE))</f>
        <v/>
      </c>
      <c r="O38" s="47" t="str">
        <f>IF($C38="","",VLOOKUP($C38,AMABat!$A$10:$BV$140,AI$1,FALSE))</f>
        <v/>
      </c>
      <c r="P38" s="338" t="str">
        <f>IF($C38="","",VLOOKUP($C38,AMABat!$A$10:$BV$140,AJ$1,FALSE))</f>
        <v/>
      </c>
      <c r="Q38" s="109" t="str">
        <f t="shared" si="93"/>
        <v/>
      </c>
      <c r="R38" s="95" t="str">
        <f t="shared" si="94"/>
        <v/>
      </c>
      <c r="S38" s="305"/>
      <c r="T38" s="305"/>
      <c r="U38" s="305"/>
      <c r="V38" s="305"/>
      <c r="W38" s="305"/>
      <c r="X38" s="305"/>
      <c r="Y38" s="305"/>
      <c r="Z38" s="305" t="s">
        <v>342</v>
      </c>
      <c r="AA38" s="305">
        <v>9</v>
      </c>
      <c r="AB38" s="305"/>
      <c r="AC38" s="305"/>
      <c r="AD38" s="305"/>
      <c r="AE38" s="305"/>
      <c r="AF38" s="305"/>
      <c r="AG38" s="70">
        <v>9</v>
      </c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7"/>
      <c r="AU38" s="305"/>
      <c r="AV38" s="305"/>
      <c r="AW38" s="305"/>
      <c r="AX38" s="305"/>
      <c r="AY38" s="305"/>
      <c r="AZ38" s="305"/>
    </row>
    <row r="39" spans="1:52" x14ac:dyDescent="0.25">
      <c r="A39" s="305"/>
      <c r="B39" s="4"/>
      <c r="C39" s="30"/>
      <c r="D39" s="30"/>
      <c r="E39" s="30"/>
      <c r="F39" s="339"/>
      <c r="G39" s="339"/>
      <c r="H39" s="9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71">
        <v>10</v>
      </c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9"/>
      <c r="AU39" s="305"/>
      <c r="AV39" s="305"/>
      <c r="AW39" s="305"/>
      <c r="AX39" s="305"/>
      <c r="AY39" s="305"/>
      <c r="AZ39" s="305"/>
    </row>
    <row r="40" spans="1:52" x14ac:dyDescent="0.25">
      <c r="A40" s="1"/>
      <c r="B40" s="341" t="s">
        <v>348</v>
      </c>
      <c r="C40" s="37" t="s">
        <v>96</v>
      </c>
      <c r="D40" s="37" t="s">
        <v>97</v>
      </c>
      <c r="E40" s="43" t="s">
        <v>80</v>
      </c>
      <c r="F40" s="342" t="s">
        <v>133</v>
      </c>
      <c r="G40" s="342" t="s">
        <v>137</v>
      </c>
      <c r="H40" s="343" t="s">
        <v>135</v>
      </c>
      <c r="I40" s="81" t="s">
        <v>159</v>
      </c>
      <c r="J40" s="341" t="s">
        <v>71</v>
      </c>
      <c r="K40" s="342" t="s">
        <v>123</v>
      </c>
      <c r="L40" s="342" t="s">
        <v>124</v>
      </c>
      <c r="M40" s="342" t="s">
        <v>180</v>
      </c>
      <c r="N40" s="342" t="s">
        <v>72</v>
      </c>
      <c r="O40" s="341" t="s">
        <v>181</v>
      </c>
      <c r="P40" s="343" t="s">
        <v>182</v>
      </c>
      <c r="Q40" s="341" t="s">
        <v>190</v>
      </c>
      <c r="R40" s="80" t="s">
        <v>203</v>
      </c>
      <c r="S40" s="1"/>
      <c r="T40" s="341" t="s">
        <v>97</v>
      </c>
      <c r="U40" s="341" t="s">
        <v>191</v>
      </c>
      <c r="V40" s="343" t="s">
        <v>204</v>
      </c>
      <c r="W40" s="342" t="s">
        <v>190</v>
      </c>
      <c r="X40" s="343" t="s">
        <v>203</v>
      </c>
      <c r="Y40" s="1"/>
      <c r="Z40" s="1" t="s">
        <v>336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5">
      <c r="A41" s="305"/>
      <c r="B41" s="29">
        <v>1</v>
      </c>
      <c r="C41" s="50"/>
      <c r="D41" s="26" t="s">
        <v>79</v>
      </c>
      <c r="E41" s="31" t="str">
        <f t="shared" ref="E41" si="100">IF($C41="","",VLOOKUP($C41,$C$3:$AK$24,$E$1-2,FALSE))</f>
        <v/>
      </c>
      <c r="F41" s="339" t="str">
        <f t="shared" ref="F41:F49" si="101">IF($C41="","",VLOOKUP($C41,$C$3:$AK$24,18+$B41,FALSE))</f>
        <v/>
      </c>
      <c r="G41" s="339" t="str">
        <f>IF($C41="","",IF(VLOOKUP($C41,$C$3:$AK$24,18+3,FALSE)=1,3,IF(VLOOKUP($C41,$C$3:$AK$24,18+4,FALSE)=1,4,IF(VLOOKUP($C41,$C$3:$AK$24,18+1,FALSE)=1,1,IF(VLOOKUP($C41,$C$3:$AK$24,18+5,FALSE)=1,5,IF(VLOOKUP($C41,$C$3:$AK$24,18+2,FALSE)=1,2,IF(VLOOKUP($C41,$C$3:$AK$24,18+6,FALSE)=1,6,IF(VLOOKUP($C41,$C$3:$AK$24,18+7,FALSE)=1,7,IF(VLOOKUP($C41,$C$3:$AK$24,18+8,FALSE)=1,8,9)))))))))</f>
        <v/>
      </c>
      <c r="H41" s="8" t="str">
        <f>IF($C41="","",VLOOKUP($C41,$C$3:$AK$24,35,FALSE))</f>
        <v/>
      </c>
      <c r="I41" s="82">
        <v>3</v>
      </c>
      <c r="J41" s="345" t="str">
        <f>IF($C41="","",VLOOKUP($C41,$C$3:$AZ$24,17+AD$1,FALSE))</f>
        <v/>
      </c>
      <c r="K41" s="339" t="str">
        <f t="shared" ref="K41:N49" si="102">IF($C41="","",VLOOKUP($C41,$C$3:$AZ$24,17+AE$1,FALSE))</f>
        <v/>
      </c>
      <c r="L41" s="339" t="str">
        <f t="shared" si="102"/>
        <v/>
      </c>
      <c r="M41" s="339" t="str">
        <f t="shared" si="102"/>
        <v/>
      </c>
      <c r="N41" s="339" t="str">
        <f t="shared" si="102"/>
        <v/>
      </c>
      <c r="O41" s="345" t="str">
        <f t="shared" ref="O41:P49" si="103">IF($C41="","",VLOOKUP($C41,$C$3:$AZ$24,1+AI$1,FALSE))</f>
        <v/>
      </c>
      <c r="P41" s="340" t="str">
        <f t="shared" si="103"/>
        <v/>
      </c>
      <c r="Q41" s="107" t="str">
        <f t="shared" ref="Q41:Q49" si="104">IF($C41="","",IF($D41="DH","-",VLOOKUP($C41,$C$2:$AZ$24,9+VLOOKUP($D41,$T$26:$U$34,2,FALSE),FALSE)))</f>
        <v/>
      </c>
      <c r="R41" s="94" t="str">
        <f t="shared" ref="R41:R49" si="105">IF($C41="","",IF($D41="DH","-",VLOOKUP($C41,$C$2:$AZ$24,VLOOKUP($D41,$T$26:$V$34,3,FALSE),FALSE)))</f>
        <v/>
      </c>
      <c r="S41" s="305"/>
      <c r="T41" s="345" t="s">
        <v>71</v>
      </c>
      <c r="U41" s="345">
        <v>2</v>
      </c>
      <c r="V41" s="340">
        <v>8</v>
      </c>
      <c r="W41" s="339" t="str">
        <f>VLOOKUP($T41,$D$37:$R$46,14,FALSE)</f>
        <v/>
      </c>
      <c r="X41" s="340" t="str">
        <f>VLOOKUP($T41,$D$37:$R$46,15,FALSE)</f>
        <v/>
      </c>
      <c r="Y41" s="305"/>
      <c r="Z41" s="305" t="s">
        <v>337</v>
      </c>
      <c r="AA41" s="305">
        <v>1</v>
      </c>
      <c r="AB41" s="305"/>
      <c r="AC41" s="305"/>
      <c r="AD41" s="305"/>
      <c r="AE41" s="305"/>
      <c r="AF41" s="305"/>
      <c r="AG41" s="400" t="s">
        <v>384</v>
      </c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2"/>
      <c r="AU41" s="305"/>
      <c r="AV41" s="305"/>
      <c r="AW41" s="305"/>
      <c r="AX41" s="305"/>
      <c r="AY41" s="305"/>
      <c r="AZ41" s="305"/>
    </row>
    <row r="42" spans="1:52" x14ac:dyDescent="0.25">
      <c r="A42" s="305"/>
      <c r="B42" s="29">
        <v>2</v>
      </c>
      <c r="C42" s="51"/>
      <c r="D42" s="30" t="s">
        <v>78</v>
      </c>
      <c r="E42" s="31" t="str">
        <f>IF($C42="","",VLOOKUP($C42,$C$3:$AK$24,$E$1-2,FALSE))</f>
        <v/>
      </c>
      <c r="F42" s="339" t="str">
        <f t="shared" si="101"/>
        <v/>
      </c>
      <c r="G42" s="339" t="str">
        <f t="shared" ref="G42:G49" si="106">IF($C42="","",IF(VLOOKUP($C42,$C$3:$AK$24,18+3,FALSE)=1,3,IF(VLOOKUP($C42,$C$3:$AK$24,18+4,FALSE)=1,4,IF(VLOOKUP($C42,$C$3:$AK$24,18+1,FALSE)=1,1,IF(VLOOKUP($C42,$C$3:$AK$24,18+5,FALSE)=1,5,IF(VLOOKUP($C42,$C$3:$AK$24,18+2,FALSE)=1,2,IF(VLOOKUP($C42,$C$3:$AK$24,18+6,FALSE)=1,6,IF(VLOOKUP($C42,$C$3:$AK$24,18+7,FALSE)=1,7,IF(VLOOKUP($C42,$C$3:$AK$24,18+8,FALSE)=1,8,9)))))))))</f>
        <v/>
      </c>
      <c r="H42" s="8" t="str">
        <f t="shared" ref="H42:H49" si="107">IF($C42="","",VLOOKUP($C42,$C$3:$AK$24,35,FALSE))</f>
        <v/>
      </c>
      <c r="I42" s="82">
        <v>5</v>
      </c>
      <c r="J42" s="345" t="str">
        <f t="shared" ref="J42:J49" si="108">IF($C42="","",VLOOKUP($C42,$C$3:$AZ$24,17+AD$1,FALSE))</f>
        <v/>
      </c>
      <c r="K42" s="339" t="str">
        <f t="shared" si="102"/>
        <v/>
      </c>
      <c r="L42" s="339" t="str">
        <f t="shared" si="102"/>
        <v/>
      </c>
      <c r="M42" s="339" t="str">
        <f t="shared" si="102"/>
        <v/>
      </c>
      <c r="N42" s="339" t="str">
        <f t="shared" si="102"/>
        <v/>
      </c>
      <c r="O42" s="345" t="str">
        <f t="shared" si="103"/>
        <v/>
      </c>
      <c r="P42" s="340" t="str">
        <f t="shared" si="103"/>
        <v/>
      </c>
      <c r="Q42" s="108" t="str">
        <f t="shared" si="104"/>
        <v/>
      </c>
      <c r="R42" s="94" t="str">
        <f t="shared" si="105"/>
        <v/>
      </c>
      <c r="S42" s="305"/>
      <c r="T42" s="345" t="s">
        <v>73</v>
      </c>
      <c r="U42" s="345">
        <v>3</v>
      </c>
      <c r="V42" s="340">
        <v>9</v>
      </c>
      <c r="W42" s="339" t="str">
        <f t="shared" ref="W42:W48" si="109">VLOOKUP($T42,$D$37:$R$46,14,FALSE)</f>
        <v/>
      </c>
      <c r="X42" s="340" t="str">
        <f t="shared" ref="X42:X48" si="110">VLOOKUP($T42,$D$37:$R$46,15,FALSE)</f>
        <v/>
      </c>
      <c r="Y42" s="305"/>
      <c r="Z42" s="305" t="s">
        <v>338</v>
      </c>
      <c r="AA42" s="305">
        <v>3</v>
      </c>
      <c r="AB42" s="305"/>
      <c r="AC42" s="305"/>
      <c r="AD42" s="305"/>
      <c r="AE42" s="305"/>
      <c r="AF42" s="305"/>
      <c r="AG42" s="192">
        <v>1</v>
      </c>
      <c r="AH42" s="396" t="s">
        <v>368</v>
      </c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4"/>
      <c r="AU42" s="305"/>
      <c r="AV42" s="305"/>
      <c r="AW42" s="305"/>
      <c r="AX42" s="305"/>
      <c r="AY42" s="305"/>
      <c r="AZ42" s="305"/>
    </row>
    <row r="43" spans="1:52" x14ac:dyDescent="0.25">
      <c r="A43" s="305"/>
      <c r="B43" s="29">
        <v>3</v>
      </c>
      <c r="C43" s="51"/>
      <c r="D43" s="58" t="s">
        <v>73</v>
      </c>
      <c r="E43" s="31" t="str">
        <f t="shared" ref="E43:E49" si="111">IF($C43="","",VLOOKUP($C43,$C$3:$AK$24,$E$1-2,FALSE))</f>
        <v/>
      </c>
      <c r="F43" s="339" t="str">
        <f t="shared" si="101"/>
        <v/>
      </c>
      <c r="G43" s="339" t="str">
        <f t="shared" si="106"/>
        <v/>
      </c>
      <c r="H43" s="8" t="str">
        <f t="shared" si="107"/>
        <v/>
      </c>
      <c r="I43" s="82">
        <v>1</v>
      </c>
      <c r="J43" s="345" t="str">
        <f t="shared" si="108"/>
        <v/>
      </c>
      <c r="K43" s="339" t="str">
        <f t="shared" si="102"/>
        <v/>
      </c>
      <c r="L43" s="339" t="str">
        <f t="shared" si="102"/>
        <v/>
      </c>
      <c r="M43" s="339" t="str">
        <f t="shared" si="102"/>
        <v/>
      </c>
      <c r="N43" s="339" t="str">
        <f t="shared" si="102"/>
        <v/>
      </c>
      <c r="O43" s="345" t="str">
        <f t="shared" si="103"/>
        <v/>
      </c>
      <c r="P43" s="340" t="str">
        <f t="shared" si="103"/>
        <v/>
      </c>
      <c r="Q43" s="108" t="str">
        <f t="shared" si="104"/>
        <v/>
      </c>
      <c r="R43" s="94" t="str">
        <f t="shared" si="105"/>
        <v/>
      </c>
      <c r="S43" s="305"/>
      <c r="T43" s="345" t="s">
        <v>74</v>
      </c>
      <c r="U43" s="345">
        <v>4</v>
      </c>
      <c r="V43" s="340">
        <v>9</v>
      </c>
      <c r="W43" s="339" t="e">
        <f t="shared" si="109"/>
        <v>#N/A</v>
      </c>
      <c r="X43" s="340" t="e">
        <f t="shared" si="110"/>
        <v>#N/A</v>
      </c>
      <c r="Y43" s="305"/>
      <c r="Z43" s="305" t="s">
        <v>341</v>
      </c>
      <c r="AA43" s="305">
        <v>5</v>
      </c>
      <c r="AB43" s="305"/>
      <c r="AC43" s="305"/>
      <c r="AD43" s="305"/>
      <c r="AE43" s="305"/>
      <c r="AF43" s="305"/>
      <c r="AG43" s="70">
        <v>2</v>
      </c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4"/>
      <c r="AU43" s="305"/>
      <c r="AV43" s="305"/>
      <c r="AW43" s="305"/>
      <c r="AX43" s="305"/>
      <c r="AY43" s="305"/>
      <c r="AZ43" s="305"/>
    </row>
    <row r="44" spans="1:52" x14ac:dyDescent="0.25">
      <c r="A44" s="305"/>
      <c r="B44" s="29">
        <v>4</v>
      </c>
      <c r="C44" s="51"/>
      <c r="D44" s="58" t="s">
        <v>76</v>
      </c>
      <c r="E44" s="31" t="str">
        <f t="shared" si="111"/>
        <v/>
      </c>
      <c r="F44" s="339" t="str">
        <f t="shared" si="101"/>
        <v/>
      </c>
      <c r="G44" s="339" t="str">
        <f t="shared" si="106"/>
        <v/>
      </c>
      <c r="H44" s="8" t="str">
        <f t="shared" si="107"/>
        <v/>
      </c>
      <c r="I44" s="82">
        <v>2</v>
      </c>
      <c r="J44" s="345" t="str">
        <f t="shared" si="108"/>
        <v/>
      </c>
      <c r="K44" s="339" t="str">
        <f t="shared" si="102"/>
        <v/>
      </c>
      <c r="L44" s="339" t="str">
        <f t="shared" si="102"/>
        <v/>
      </c>
      <c r="M44" s="339" t="str">
        <f t="shared" si="102"/>
        <v/>
      </c>
      <c r="N44" s="339" t="str">
        <f t="shared" si="102"/>
        <v/>
      </c>
      <c r="O44" s="345" t="str">
        <f t="shared" si="103"/>
        <v/>
      </c>
      <c r="P44" s="340" t="str">
        <f t="shared" si="103"/>
        <v/>
      </c>
      <c r="Q44" s="108" t="str">
        <f t="shared" si="104"/>
        <v/>
      </c>
      <c r="R44" s="94" t="str">
        <f t="shared" si="105"/>
        <v/>
      </c>
      <c r="S44" s="305"/>
      <c r="T44" s="345" t="s">
        <v>75</v>
      </c>
      <c r="U44" s="345">
        <v>5</v>
      </c>
      <c r="V44" s="340">
        <v>9</v>
      </c>
      <c r="W44" s="339" t="e">
        <f t="shared" si="109"/>
        <v>#N/A</v>
      </c>
      <c r="X44" s="340" t="e">
        <f t="shared" si="110"/>
        <v>#N/A</v>
      </c>
      <c r="Y44" s="305"/>
      <c r="Z44" s="305" t="s">
        <v>340</v>
      </c>
      <c r="AA44" s="305">
        <v>2</v>
      </c>
      <c r="AB44" s="305"/>
      <c r="AC44" s="305"/>
      <c r="AD44" s="305"/>
      <c r="AE44" s="305"/>
      <c r="AF44" s="305"/>
      <c r="AG44" s="70">
        <v>3</v>
      </c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4"/>
      <c r="AU44" s="305"/>
      <c r="AV44" s="305"/>
      <c r="AW44" s="305"/>
      <c r="AX44" s="305"/>
      <c r="AY44" s="305"/>
      <c r="AZ44" s="305"/>
    </row>
    <row r="45" spans="1:52" x14ac:dyDescent="0.25">
      <c r="A45" s="305"/>
      <c r="B45" s="29">
        <v>5</v>
      </c>
      <c r="C45" s="51"/>
      <c r="D45" s="58" t="s">
        <v>71</v>
      </c>
      <c r="E45" s="31" t="str">
        <f t="shared" si="111"/>
        <v/>
      </c>
      <c r="F45" s="339" t="str">
        <f t="shared" si="101"/>
        <v/>
      </c>
      <c r="G45" s="339" t="str">
        <f t="shared" si="106"/>
        <v/>
      </c>
      <c r="H45" s="8" t="str">
        <f t="shared" si="107"/>
        <v/>
      </c>
      <c r="I45" s="82">
        <v>4</v>
      </c>
      <c r="J45" s="345" t="str">
        <f t="shared" si="108"/>
        <v/>
      </c>
      <c r="K45" s="339" t="str">
        <f t="shared" si="102"/>
        <v/>
      </c>
      <c r="L45" s="339" t="str">
        <f t="shared" si="102"/>
        <v/>
      </c>
      <c r="M45" s="339" t="str">
        <f t="shared" si="102"/>
        <v/>
      </c>
      <c r="N45" s="339" t="str">
        <f t="shared" si="102"/>
        <v/>
      </c>
      <c r="O45" s="345" t="str">
        <f t="shared" si="103"/>
        <v/>
      </c>
      <c r="P45" s="340" t="str">
        <f t="shared" si="103"/>
        <v/>
      </c>
      <c r="Q45" s="108" t="str">
        <f t="shared" si="104"/>
        <v/>
      </c>
      <c r="R45" s="94" t="str">
        <f t="shared" si="105"/>
        <v/>
      </c>
      <c r="S45" s="305"/>
      <c r="T45" s="345" t="s">
        <v>76</v>
      </c>
      <c r="U45" s="345">
        <v>6</v>
      </c>
      <c r="V45" s="340">
        <v>9</v>
      </c>
      <c r="W45" s="339" t="str">
        <f t="shared" si="109"/>
        <v/>
      </c>
      <c r="X45" s="340" t="str">
        <f t="shared" si="110"/>
        <v/>
      </c>
      <c r="Y45" s="305"/>
      <c r="Z45" s="305" t="s">
        <v>339</v>
      </c>
      <c r="AA45" s="305">
        <v>4</v>
      </c>
      <c r="AB45" s="305"/>
      <c r="AC45" s="305"/>
      <c r="AD45" s="305"/>
      <c r="AE45" s="305"/>
      <c r="AF45" s="305"/>
      <c r="AG45" s="70">
        <v>4</v>
      </c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4"/>
      <c r="AU45" s="305"/>
      <c r="AV45" s="305"/>
      <c r="AW45" s="305"/>
      <c r="AX45" s="305"/>
      <c r="AY45" s="305"/>
      <c r="AZ45" s="305"/>
    </row>
    <row r="46" spans="1:52" x14ac:dyDescent="0.25">
      <c r="A46" s="305"/>
      <c r="B46" s="29">
        <v>6</v>
      </c>
      <c r="C46" s="51"/>
      <c r="D46" s="58" t="s">
        <v>77</v>
      </c>
      <c r="E46" s="31" t="str">
        <f t="shared" si="111"/>
        <v/>
      </c>
      <c r="F46" s="339" t="str">
        <f t="shared" si="101"/>
        <v/>
      </c>
      <c r="G46" s="339" t="str">
        <f t="shared" si="106"/>
        <v/>
      </c>
      <c r="H46" s="8" t="str">
        <f t="shared" si="107"/>
        <v/>
      </c>
      <c r="I46" s="82">
        <v>6</v>
      </c>
      <c r="J46" s="345" t="str">
        <f t="shared" si="108"/>
        <v/>
      </c>
      <c r="K46" s="339" t="str">
        <f t="shared" si="102"/>
        <v/>
      </c>
      <c r="L46" s="339" t="str">
        <f t="shared" si="102"/>
        <v/>
      </c>
      <c r="M46" s="339" t="str">
        <f t="shared" si="102"/>
        <v/>
      </c>
      <c r="N46" s="339" t="str">
        <f t="shared" si="102"/>
        <v/>
      </c>
      <c r="O46" s="345" t="str">
        <f t="shared" si="103"/>
        <v/>
      </c>
      <c r="P46" s="340" t="str">
        <f t="shared" si="103"/>
        <v/>
      </c>
      <c r="Q46" s="108" t="str">
        <f t="shared" si="104"/>
        <v/>
      </c>
      <c r="R46" s="94" t="str">
        <f t="shared" si="105"/>
        <v/>
      </c>
      <c r="S46" s="305"/>
      <c r="T46" s="345" t="s">
        <v>77</v>
      </c>
      <c r="U46" s="345">
        <v>7</v>
      </c>
      <c r="V46" s="340">
        <v>10</v>
      </c>
      <c r="W46" s="339" t="str">
        <f t="shared" si="109"/>
        <v/>
      </c>
      <c r="X46" s="340" t="str">
        <f t="shared" si="110"/>
        <v/>
      </c>
      <c r="Y46" s="305"/>
      <c r="Z46" s="305" t="s">
        <v>343</v>
      </c>
      <c r="AA46" s="305">
        <v>6</v>
      </c>
      <c r="AB46" s="305"/>
      <c r="AC46" s="305"/>
      <c r="AD46" s="305"/>
      <c r="AE46" s="305"/>
      <c r="AF46" s="305"/>
      <c r="AG46" s="70">
        <v>5</v>
      </c>
      <c r="AH46" s="403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5"/>
      <c r="AU46" s="305"/>
      <c r="AV46" s="305"/>
      <c r="AW46" s="305"/>
      <c r="AX46" s="305"/>
      <c r="AY46" s="305"/>
      <c r="AZ46" s="305"/>
    </row>
    <row r="47" spans="1:52" x14ac:dyDescent="0.25">
      <c r="A47" s="305"/>
      <c r="B47" s="29">
        <v>7</v>
      </c>
      <c r="C47" s="51"/>
      <c r="D47" s="58" t="s">
        <v>10</v>
      </c>
      <c r="E47" s="31" t="str">
        <f t="shared" si="111"/>
        <v/>
      </c>
      <c r="F47" s="339" t="str">
        <f t="shared" si="101"/>
        <v/>
      </c>
      <c r="G47" s="339" t="str">
        <f t="shared" si="106"/>
        <v/>
      </c>
      <c r="H47" s="8" t="str">
        <f t="shared" si="107"/>
        <v/>
      </c>
      <c r="I47" s="82">
        <v>7</v>
      </c>
      <c r="J47" s="345" t="str">
        <f t="shared" si="108"/>
        <v/>
      </c>
      <c r="K47" s="339" t="str">
        <f t="shared" si="102"/>
        <v/>
      </c>
      <c r="L47" s="339" t="str">
        <f t="shared" si="102"/>
        <v/>
      </c>
      <c r="M47" s="339" t="str">
        <f t="shared" si="102"/>
        <v/>
      </c>
      <c r="N47" s="339" t="str">
        <f t="shared" si="102"/>
        <v/>
      </c>
      <c r="O47" s="345" t="str">
        <f t="shared" si="103"/>
        <v/>
      </c>
      <c r="P47" s="340" t="str">
        <f t="shared" si="103"/>
        <v/>
      </c>
      <c r="Q47" s="108" t="str">
        <f t="shared" si="104"/>
        <v/>
      </c>
      <c r="R47" s="94" t="str">
        <f t="shared" si="105"/>
        <v/>
      </c>
      <c r="S47" s="305"/>
      <c r="T47" s="345" t="s">
        <v>78</v>
      </c>
      <c r="U47" s="345">
        <v>8</v>
      </c>
      <c r="V47" s="340">
        <v>10</v>
      </c>
      <c r="W47" s="339" t="str">
        <f t="shared" si="109"/>
        <v/>
      </c>
      <c r="X47" s="340" t="str">
        <f t="shared" si="110"/>
        <v/>
      </c>
      <c r="Y47" s="305"/>
      <c r="Z47" s="305" t="s">
        <v>344</v>
      </c>
      <c r="AA47" s="305">
        <v>7</v>
      </c>
      <c r="AB47" s="305"/>
      <c r="AC47" s="305"/>
      <c r="AD47" s="305"/>
      <c r="AE47" s="305"/>
      <c r="AF47" s="305"/>
      <c r="AG47" s="70">
        <v>6</v>
      </c>
      <c r="AH47" s="392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4"/>
      <c r="AU47" s="305"/>
      <c r="AV47" s="305"/>
      <c r="AW47" s="305"/>
      <c r="AX47" s="305"/>
      <c r="AY47" s="305"/>
      <c r="AZ47" s="305"/>
    </row>
    <row r="48" spans="1:52" x14ac:dyDescent="0.25">
      <c r="A48" s="305"/>
      <c r="B48" s="29">
        <v>8</v>
      </c>
      <c r="C48" s="51"/>
      <c r="D48" s="58" t="s">
        <v>74</v>
      </c>
      <c r="E48" s="31" t="str">
        <f t="shared" si="111"/>
        <v/>
      </c>
      <c r="F48" s="339" t="str">
        <f t="shared" si="101"/>
        <v/>
      </c>
      <c r="G48" s="339" t="str">
        <f t="shared" si="106"/>
        <v/>
      </c>
      <c r="H48" s="8" t="str">
        <f t="shared" si="107"/>
        <v/>
      </c>
      <c r="I48" s="82">
        <v>8</v>
      </c>
      <c r="J48" s="345" t="str">
        <f t="shared" si="108"/>
        <v/>
      </c>
      <c r="K48" s="339" t="str">
        <f t="shared" si="102"/>
        <v/>
      </c>
      <c r="L48" s="339" t="str">
        <f t="shared" si="102"/>
        <v/>
      </c>
      <c r="M48" s="339" t="str">
        <f t="shared" si="102"/>
        <v/>
      </c>
      <c r="N48" s="339" t="str">
        <f t="shared" si="102"/>
        <v/>
      </c>
      <c r="O48" s="345" t="str">
        <f t="shared" si="103"/>
        <v/>
      </c>
      <c r="P48" s="340" t="str">
        <f t="shared" si="103"/>
        <v/>
      </c>
      <c r="Q48" s="108" t="str">
        <f t="shared" si="104"/>
        <v/>
      </c>
      <c r="R48" s="94" t="str">
        <f t="shared" si="105"/>
        <v/>
      </c>
      <c r="S48" s="305"/>
      <c r="T48" s="47" t="s">
        <v>79</v>
      </c>
      <c r="U48" s="47">
        <v>9</v>
      </c>
      <c r="V48" s="338">
        <v>10</v>
      </c>
      <c r="W48" s="337" t="str">
        <f t="shared" si="109"/>
        <v/>
      </c>
      <c r="X48" s="338" t="str">
        <f t="shared" si="110"/>
        <v/>
      </c>
      <c r="Y48" s="305"/>
      <c r="Z48" s="305" t="s">
        <v>345</v>
      </c>
      <c r="AA48" s="305">
        <v>8</v>
      </c>
      <c r="AB48" s="305"/>
      <c r="AC48" s="305"/>
      <c r="AD48" s="305"/>
      <c r="AE48" s="305"/>
      <c r="AF48" s="305"/>
      <c r="AG48" s="70">
        <v>7</v>
      </c>
      <c r="AH48" s="392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4"/>
      <c r="AU48" s="305"/>
      <c r="AV48" s="305"/>
      <c r="AW48" s="305"/>
      <c r="AX48" s="305"/>
      <c r="AY48" s="305"/>
      <c r="AZ48" s="305"/>
    </row>
    <row r="49" spans="1:52" x14ac:dyDescent="0.25">
      <c r="A49" s="305"/>
      <c r="B49" s="32">
        <v>9</v>
      </c>
      <c r="C49" s="52"/>
      <c r="D49" s="33" t="s">
        <v>75</v>
      </c>
      <c r="E49" s="35" t="str">
        <f t="shared" si="111"/>
        <v/>
      </c>
      <c r="F49" s="337" t="str">
        <f t="shared" si="101"/>
        <v/>
      </c>
      <c r="G49" s="337" t="str">
        <f t="shared" si="106"/>
        <v/>
      </c>
      <c r="H49" s="62" t="str">
        <f t="shared" si="107"/>
        <v/>
      </c>
      <c r="I49" s="83">
        <v>9</v>
      </c>
      <c r="J49" s="47" t="str">
        <f t="shared" si="108"/>
        <v/>
      </c>
      <c r="K49" s="337" t="str">
        <f t="shared" si="102"/>
        <v/>
      </c>
      <c r="L49" s="337" t="str">
        <f t="shared" si="102"/>
        <v/>
      </c>
      <c r="M49" s="337" t="str">
        <f t="shared" si="102"/>
        <v/>
      </c>
      <c r="N49" s="337" t="str">
        <f t="shared" si="102"/>
        <v/>
      </c>
      <c r="O49" s="47" t="str">
        <f t="shared" si="103"/>
        <v/>
      </c>
      <c r="P49" s="338" t="str">
        <f t="shared" si="103"/>
        <v/>
      </c>
      <c r="Q49" s="109" t="str">
        <f t="shared" si="104"/>
        <v/>
      </c>
      <c r="R49" s="95" t="str">
        <f t="shared" si="105"/>
        <v/>
      </c>
      <c r="S49" s="305"/>
      <c r="T49" s="305"/>
      <c r="U49" s="305"/>
      <c r="V49" s="305"/>
      <c r="W49" s="305"/>
      <c r="X49" s="305"/>
      <c r="Y49" s="305"/>
      <c r="Z49" s="305" t="s">
        <v>342</v>
      </c>
      <c r="AA49" s="305">
        <v>9</v>
      </c>
      <c r="AB49" s="305"/>
      <c r="AC49" s="305"/>
      <c r="AD49" s="305"/>
      <c r="AE49" s="305"/>
      <c r="AF49" s="305"/>
      <c r="AG49" s="70">
        <v>8</v>
      </c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05"/>
      <c r="AV49" s="305"/>
      <c r="AW49" s="305"/>
      <c r="AX49" s="305"/>
      <c r="AY49" s="305"/>
      <c r="AZ49" s="305"/>
    </row>
    <row r="50" spans="1:52" s="223" customFormat="1" x14ac:dyDescent="0.25">
      <c r="A50" s="305"/>
      <c r="B50" s="4"/>
      <c r="C50" s="30"/>
      <c r="D50" s="30"/>
      <c r="E50" s="30"/>
      <c r="F50" s="339"/>
      <c r="G50" s="339"/>
      <c r="H50" s="9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70">
        <v>9</v>
      </c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7"/>
      <c r="AU50" s="305"/>
      <c r="AV50" s="305"/>
      <c r="AW50" s="305"/>
      <c r="AX50" s="305"/>
      <c r="AY50" s="305"/>
      <c r="AZ50" s="305"/>
    </row>
    <row r="51" spans="1:52" x14ac:dyDescent="0.25">
      <c r="A51" s="305"/>
      <c r="B51" s="25" t="s">
        <v>171</v>
      </c>
      <c r="C51" s="28">
        <f>COUNTA(C6:C14,C17:C22,C25:C27)</f>
        <v>0</v>
      </c>
      <c r="D51" s="250" t="e">
        <f>C51/$C$50</f>
        <v>#DIV/0!</v>
      </c>
      <c r="E51" s="30"/>
      <c r="F51" s="339"/>
      <c r="G51" s="339"/>
      <c r="H51" s="9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71">
        <v>10</v>
      </c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9"/>
      <c r="AU51" s="305"/>
      <c r="AV51" s="305"/>
      <c r="AW51" s="305"/>
      <c r="AX51" s="305"/>
      <c r="AY51" s="305"/>
      <c r="AZ51" s="305"/>
    </row>
    <row r="52" spans="1:52" x14ac:dyDescent="0.25">
      <c r="A52" s="305"/>
      <c r="B52" s="29" t="s">
        <v>172</v>
      </c>
      <c r="C52" s="31">
        <f>COUNTA(C56:C61,C64:C65,C68:C77)</f>
        <v>2</v>
      </c>
      <c r="D52" s="250" t="e">
        <f>C52/$C$50</f>
        <v>#DIV/0!</v>
      </c>
      <c r="E52" s="30"/>
      <c r="F52" s="339"/>
      <c r="G52" s="339"/>
      <c r="H52" s="9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</row>
    <row r="53" spans="1:52" x14ac:dyDescent="0.25">
      <c r="A53" s="305"/>
      <c r="B53" s="32" t="s">
        <v>173</v>
      </c>
      <c r="C53" s="35">
        <f>C51+C52</f>
        <v>2</v>
      </c>
      <c r="D53" s="30"/>
      <c r="E53" s="30"/>
      <c r="F53" s="339"/>
      <c r="G53" s="339"/>
      <c r="H53" s="9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</row>
    <row r="54" spans="1:52" x14ac:dyDescent="0.25">
      <c r="A54" s="305"/>
      <c r="F54" s="305"/>
      <c r="G54" s="305"/>
      <c r="H54" s="305"/>
      <c r="I54" s="305">
        <v>12</v>
      </c>
      <c r="J54" s="305"/>
      <c r="K54" s="305">
        <v>17</v>
      </c>
      <c r="L54" s="305">
        <v>18</v>
      </c>
      <c r="M54" s="305">
        <v>19</v>
      </c>
      <c r="N54" s="305">
        <v>23</v>
      </c>
      <c r="O54" s="305">
        <v>25</v>
      </c>
      <c r="P54" s="305">
        <v>27</v>
      </c>
      <c r="Q54" s="305">
        <v>29</v>
      </c>
      <c r="R54" s="305">
        <v>31</v>
      </c>
      <c r="S54" s="305">
        <v>33</v>
      </c>
      <c r="T54" s="305">
        <v>35</v>
      </c>
      <c r="U54" s="305">
        <v>37</v>
      </c>
      <c r="V54" s="305">
        <v>39</v>
      </c>
      <c r="W54" s="305">
        <v>41</v>
      </c>
      <c r="X54" s="305">
        <v>43</v>
      </c>
      <c r="Y54" s="305">
        <v>45</v>
      </c>
      <c r="Z54" s="305">
        <v>47</v>
      </c>
      <c r="AA54" s="305">
        <v>48</v>
      </c>
      <c r="AB54" s="305">
        <v>49</v>
      </c>
      <c r="AC54" s="305">
        <v>52</v>
      </c>
      <c r="AD54" s="305">
        <v>20</v>
      </c>
      <c r="AE54" s="305">
        <v>21</v>
      </c>
      <c r="AF54" s="305">
        <v>22</v>
      </c>
      <c r="AG54" s="305">
        <v>54</v>
      </c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</row>
    <row r="55" spans="1:52" ht="74.25" x14ac:dyDescent="0.25">
      <c r="A55" s="66" t="s">
        <v>170</v>
      </c>
      <c r="B55" s="341" t="s">
        <v>104</v>
      </c>
      <c r="C55" s="37" t="s">
        <v>96</v>
      </c>
      <c r="D55" s="37" t="s">
        <v>70</v>
      </c>
      <c r="E55" s="43" t="s">
        <v>81</v>
      </c>
      <c r="F55" s="39" t="s">
        <v>160</v>
      </c>
      <c r="G55" s="39" t="s">
        <v>161</v>
      </c>
      <c r="H55" s="39" t="s">
        <v>162</v>
      </c>
      <c r="I55" s="69" t="s">
        <v>189</v>
      </c>
      <c r="J55" s="69" t="s">
        <v>166</v>
      </c>
      <c r="K55" s="67" t="s">
        <v>163</v>
      </c>
      <c r="L55" s="67" t="s">
        <v>164</v>
      </c>
      <c r="M55" s="68" t="s">
        <v>165</v>
      </c>
      <c r="N55" s="67" t="s">
        <v>40</v>
      </c>
      <c r="O55" s="67" t="s">
        <v>42</v>
      </c>
      <c r="P55" s="67" t="s">
        <v>44</v>
      </c>
      <c r="Q55" s="67" t="s">
        <v>46</v>
      </c>
      <c r="R55" s="67" t="s">
        <v>48</v>
      </c>
      <c r="S55" s="67" t="s">
        <v>87</v>
      </c>
      <c r="T55" s="67" t="s">
        <v>51</v>
      </c>
      <c r="U55" s="67" t="s">
        <v>53</v>
      </c>
      <c r="V55" s="67" t="s">
        <v>55</v>
      </c>
      <c r="W55" s="67" t="s">
        <v>57</v>
      </c>
      <c r="X55" s="67" t="s">
        <v>59</v>
      </c>
      <c r="Y55" s="68" t="s">
        <v>61</v>
      </c>
      <c r="Z55" s="72" t="s">
        <v>176</v>
      </c>
      <c r="AA55" s="67" t="s">
        <v>175</v>
      </c>
      <c r="AB55" s="68" t="s">
        <v>177</v>
      </c>
      <c r="AC55" s="251" t="s">
        <v>354</v>
      </c>
      <c r="AD55" s="67" t="s">
        <v>163</v>
      </c>
      <c r="AE55" s="67" t="s">
        <v>164</v>
      </c>
      <c r="AF55" s="68" t="s">
        <v>165</v>
      </c>
      <c r="AG55" s="251" t="s">
        <v>174</v>
      </c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  <c r="AT55" s="339"/>
      <c r="AU55" s="339"/>
      <c r="AV55" s="339"/>
      <c r="AW55" s="339"/>
      <c r="AX55" s="339"/>
      <c r="AY55" s="339"/>
      <c r="AZ55" s="339"/>
    </row>
    <row r="56" spans="1:52" x14ac:dyDescent="0.25">
      <c r="A56" s="339">
        <v>1</v>
      </c>
      <c r="B56" s="29" t="s">
        <v>87</v>
      </c>
      <c r="C56" s="344" t="s">
        <v>531</v>
      </c>
      <c r="D56" s="30" t="e">
        <f>IF($C56="","",VLOOKUP($C56,AMAPit!$A$10:$BJ$122,D$4-2,FALSE))</f>
        <v>#N/A</v>
      </c>
      <c r="E56" s="31" t="e">
        <f>IF($C56="","",VLOOKUP($C56,AMAPit!$A$10:$BJ$122,E$4-2,FALSE))</f>
        <v>#N/A</v>
      </c>
      <c r="F56" s="339" t="e">
        <f t="shared" ref="F56:F61" si="112">IF($C56="","",IF(AVERAGE(K56:M56)&gt;7,1,0))</f>
        <v>#N/A</v>
      </c>
      <c r="G56" s="339" t="e">
        <f t="shared" ref="G56:G61" si="113">IF($C56="","",IF(AVERAGE(K56:M56)&gt;6.5,1,0))</f>
        <v>#N/A</v>
      </c>
      <c r="H56" s="339" t="e">
        <f t="shared" ref="H56:H61" si="114">IF($C56="","",IF(AVERAGE(K56:M56)&gt;6,1,0))</f>
        <v>#N/A</v>
      </c>
      <c r="I56" s="91" t="e">
        <f>IF($C56="","",VLOOKUP($C56,AMAPit!$A$10:$BJ$122,I$54,FALSE))</f>
        <v>#N/A</v>
      </c>
      <c r="J56" s="70">
        <f t="shared" ref="J56:J61" si="115">IF($C56="","",COUNT(N56:Y56))</f>
        <v>0</v>
      </c>
      <c r="K56" s="339" t="e">
        <f>IF($C56="","",VLOOKUP($C56,AMAPit!$A$10:$BJ$122,K$54,FALSE))</f>
        <v>#N/A</v>
      </c>
      <c r="L56" s="339" t="e">
        <f>IF($C56="","",VLOOKUP($C56,AMAPit!$A$10:$BJ$122,L$54,FALSE))</f>
        <v>#N/A</v>
      </c>
      <c r="M56" s="340" t="e">
        <f>IF($C56="","",VLOOKUP($C56,AMAPit!$A$10:$BJ$122,M$54,FALSE))</f>
        <v>#N/A</v>
      </c>
      <c r="N56" s="339" t="e">
        <f>IF($C56="","",VLOOKUP($C56,AMAPit!$A$10:$BJ$122,N$54,FALSE))</f>
        <v>#N/A</v>
      </c>
      <c r="O56" s="339" t="e">
        <f>IF($C56="","",VLOOKUP($C56,AMAPit!$A$10:$BJ$122,O$54,FALSE))</f>
        <v>#N/A</v>
      </c>
      <c r="P56" s="339" t="e">
        <f>IF($C56="","",VLOOKUP($C56,AMAPit!$A$10:$BJ$122,P$54,FALSE))</f>
        <v>#N/A</v>
      </c>
      <c r="Q56" s="339" t="e">
        <f>IF($C56="","",VLOOKUP($C56,AMAPit!$A$10:$BJ$122,Q$54,FALSE))</f>
        <v>#N/A</v>
      </c>
      <c r="R56" s="339" t="e">
        <f>IF($C56="","",VLOOKUP($C56,AMAPit!$A$10:$BJ$122,R$54,FALSE))</f>
        <v>#N/A</v>
      </c>
      <c r="S56" s="339" t="e">
        <f>IF($C56="","",VLOOKUP($C56,AMAPit!$A$10:$BJ$122,S$54,FALSE))</f>
        <v>#N/A</v>
      </c>
      <c r="T56" s="339" t="e">
        <f>IF($C56="","",VLOOKUP($C56,AMAPit!$A$10:$BJ$122,T$54,FALSE))</f>
        <v>#N/A</v>
      </c>
      <c r="U56" s="339" t="e">
        <f>IF($C56="","",VLOOKUP($C56,AMAPit!$A$10:$BJ$122,U$54,FALSE))</f>
        <v>#N/A</v>
      </c>
      <c r="V56" s="339" t="e">
        <f>IF($C56="","",VLOOKUP($C56,AMAPit!$A$10:$BJ$122,V$54,FALSE))</f>
        <v>#N/A</v>
      </c>
      <c r="W56" s="339" t="e">
        <f>IF($C56="","",VLOOKUP($C56,AMAPit!$A$10:$BJ$122,W$54,FALSE))</f>
        <v>#N/A</v>
      </c>
      <c r="X56" s="339" t="e">
        <f>IF($C56="","",VLOOKUP($C56,AMAPit!$A$10:$BJ$122,X$54,FALSE))</f>
        <v>#N/A</v>
      </c>
      <c r="Y56" s="340" t="e">
        <f>IF($C56="","",VLOOKUP($C56,AMAPit!$A$10:$BJ$122,Y$54,FALSE))</f>
        <v>#N/A</v>
      </c>
      <c r="Z56" s="345" t="e">
        <f>IF($C56="","",VLOOKUP($C56,AMAPit!$A$10:$BJ$122,Z$54,FALSE))</f>
        <v>#N/A</v>
      </c>
      <c r="AA56" s="339" t="e">
        <f>IF($C56="","",VLOOKUP($C56,AMAPit!$A$10:$BJ$122,AA$54,FALSE))</f>
        <v>#N/A</v>
      </c>
      <c r="AB56" s="73" t="e">
        <f>IF($C56="","",VLOOKUP($C56,AMAPit!$A$10:$BJ$122,AB$54,FALSE))</f>
        <v>#N/A</v>
      </c>
      <c r="AC56" s="252" t="e">
        <f>IF($C56="","",VLOOKUP($C56,AMAPit!$A$10:$BJ$122,AC$54,FALSE))</f>
        <v>#N/A</v>
      </c>
      <c r="AD56" s="339" t="e">
        <f>IF($C56="","",VLOOKUP($C56,AMAPit!$A$10:$BJ$122,AD$54,FALSE))</f>
        <v>#N/A</v>
      </c>
      <c r="AE56" s="339" t="e">
        <f>IF($C56="","",VLOOKUP($C56,AMAPit!$A$10:$BJ$122,AE$54,FALSE))</f>
        <v>#N/A</v>
      </c>
      <c r="AF56" s="340" t="e">
        <f>IF($C56="","",VLOOKUP($C56,AMAPit!$A$10:$BJ$122,AF$54,FALSE))</f>
        <v>#N/A</v>
      </c>
      <c r="AG56" s="252" t="e">
        <f>IF($C56="","",VLOOKUP($C56,AMAPit!$A$10:$BJ$122,AG$54,FALSE))</f>
        <v>#N/A</v>
      </c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</row>
    <row r="57" spans="1:52" x14ac:dyDescent="0.25">
      <c r="A57" s="339">
        <v>2</v>
      </c>
      <c r="B57" s="29" t="s">
        <v>87</v>
      </c>
      <c r="C57" s="344" t="s">
        <v>526</v>
      </c>
      <c r="D57" s="30" t="e">
        <f>IF($C57="","",VLOOKUP($C57,AMAPit!$A$10:$BJ$122,D$4-2,FALSE))</f>
        <v>#N/A</v>
      </c>
      <c r="E57" s="31" t="e">
        <f>IF($C57="","",VLOOKUP($C57,AMAPit!$A$10:$BJ$122,E$4-2,FALSE))</f>
        <v>#N/A</v>
      </c>
      <c r="F57" s="339" t="e">
        <f t="shared" si="112"/>
        <v>#N/A</v>
      </c>
      <c r="G57" s="339" t="e">
        <f t="shared" si="113"/>
        <v>#N/A</v>
      </c>
      <c r="H57" s="339" t="e">
        <f t="shared" si="114"/>
        <v>#N/A</v>
      </c>
      <c r="I57" s="92" t="e">
        <f>IF($C57="","",VLOOKUP($C57,AMAPit!$A$10:$BJ$122,I$54,FALSE))</f>
        <v>#N/A</v>
      </c>
      <c r="J57" s="70">
        <f t="shared" si="115"/>
        <v>0</v>
      </c>
      <c r="K57" s="339" t="e">
        <f>IF($C57="","",VLOOKUP($C57,AMAPit!$A$10:$BJ$122,K$54,FALSE))</f>
        <v>#N/A</v>
      </c>
      <c r="L57" s="339" t="e">
        <f>IF($C57="","",VLOOKUP($C57,AMAPit!$A$10:$BJ$122,L$54,FALSE))</f>
        <v>#N/A</v>
      </c>
      <c r="M57" s="340" t="e">
        <f>IF($C57="","",VLOOKUP($C57,AMAPit!$A$10:$BJ$122,M$54,FALSE))</f>
        <v>#N/A</v>
      </c>
      <c r="N57" s="339" t="e">
        <f>IF($C57="","",VLOOKUP($C57,AMAPit!$A$10:$BJ$122,N$54,FALSE))</f>
        <v>#N/A</v>
      </c>
      <c r="O57" s="339" t="e">
        <f>IF($C57="","",VLOOKUP($C57,AMAPit!$A$10:$BJ$122,O$54,FALSE))</f>
        <v>#N/A</v>
      </c>
      <c r="P57" s="339" t="e">
        <f>IF($C57="","",VLOOKUP($C57,AMAPit!$A$10:$BJ$122,P$54,FALSE))</f>
        <v>#N/A</v>
      </c>
      <c r="Q57" s="339" t="e">
        <f>IF($C57="","",VLOOKUP($C57,AMAPit!$A$10:$BJ$122,Q$54,FALSE))</f>
        <v>#N/A</v>
      </c>
      <c r="R57" s="339" t="e">
        <f>IF($C57="","",VLOOKUP($C57,AMAPit!$A$10:$BJ$122,R$54,FALSE))</f>
        <v>#N/A</v>
      </c>
      <c r="S57" s="339" t="e">
        <f>IF($C57="","",VLOOKUP($C57,AMAPit!$A$10:$BJ$122,S$54,FALSE))</f>
        <v>#N/A</v>
      </c>
      <c r="T57" s="339" t="e">
        <f>IF($C57="","",VLOOKUP($C57,AMAPit!$A$10:$BJ$122,T$54,FALSE))</f>
        <v>#N/A</v>
      </c>
      <c r="U57" s="339" t="e">
        <f>IF($C57="","",VLOOKUP($C57,AMAPit!$A$10:$BJ$122,U$54,FALSE))</f>
        <v>#N/A</v>
      </c>
      <c r="V57" s="339" t="e">
        <f>IF($C57="","",VLOOKUP($C57,AMAPit!$A$10:$BJ$122,V$54,FALSE))</f>
        <v>#N/A</v>
      </c>
      <c r="W57" s="339" t="e">
        <f>IF($C57="","",VLOOKUP($C57,AMAPit!$A$10:$BJ$122,W$54,FALSE))</f>
        <v>#N/A</v>
      </c>
      <c r="X57" s="339" t="e">
        <f>IF($C57="","",VLOOKUP($C57,AMAPit!$A$10:$BJ$122,X$54,FALSE))</f>
        <v>#N/A</v>
      </c>
      <c r="Y57" s="340" t="e">
        <f>IF($C57="","",VLOOKUP($C57,AMAPit!$A$10:$BJ$122,Y$54,FALSE))</f>
        <v>#N/A</v>
      </c>
      <c r="Z57" s="345" t="e">
        <f>IF($C57="","",VLOOKUP($C57,AMAPit!$A$10:$BJ$122,Z$54,FALSE))</f>
        <v>#N/A</v>
      </c>
      <c r="AA57" s="339" t="e">
        <f>IF($C57="","",VLOOKUP($C57,AMAPit!$A$10:$BJ$122,AA$54,FALSE))</f>
        <v>#N/A</v>
      </c>
      <c r="AB57" s="73" t="e">
        <f>IF($C57="","",VLOOKUP($C57,AMAPit!$A$10:$BJ$122,AB$54,FALSE))</f>
        <v>#N/A</v>
      </c>
      <c r="AC57" s="60" t="e">
        <f>IF($C57="","",VLOOKUP($C57,AMAPit!$A$10:$BJ$122,AC$54,FALSE))</f>
        <v>#N/A</v>
      </c>
      <c r="AD57" s="339" t="e">
        <f>IF($C57="","",VLOOKUP($C57,AMAPit!$A$10:$BJ$122,AD$54,FALSE))</f>
        <v>#N/A</v>
      </c>
      <c r="AE57" s="339" t="e">
        <f>IF($C57="","",VLOOKUP($C57,AMAPit!$A$10:$BJ$122,AE$54,FALSE))</f>
        <v>#N/A</v>
      </c>
      <c r="AF57" s="340" t="e">
        <f>IF($C57="","",VLOOKUP($C57,AMAPit!$A$10:$BJ$122,AF$54,FALSE))</f>
        <v>#N/A</v>
      </c>
      <c r="AG57" s="60" t="e">
        <f>IF($C57="","",VLOOKUP($C57,AMAPit!$A$10:$BJ$122,AG$54,FALSE))</f>
        <v>#N/A</v>
      </c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</row>
    <row r="58" spans="1:52" x14ac:dyDescent="0.25">
      <c r="A58" s="339">
        <v>3</v>
      </c>
      <c r="B58" s="29" t="s">
        <v>87</v>
      </c>
      <c r="C58" s="344"/>
      <c r="D58" s="30" t="str">
        <f>IF($C58="","",VLOOKUP($C58,AMAPit!$A$10:$BJ$122,D$4-2,FALSE))</f>
        <v/>
      </c>
      <c r="E58" s="31" t="str">
        <f>IF($C58="","",VLOOKUP($C58,AMAPit!$A$10:$BJ$122,E$4-2,FALSE))</f>
        <v/>
      </c>
      <c r="F58" s="339" t="str">
        <f t="shared" si="112"/>
        <v/>
      </c>
      <c r="G58" s="339" t="str">
        <f t="shared" si="113"/>
        <v/>
      </c>
      <c r="H58" s="339" t="str">
        <f t="shared" si="114"/>
        <v/>
      </c>
      <c r="I58" s="92" t="str">
        <f>IF($C58="","",VLOOKUP($C58,AMAPit!$A$10:$BJ$122,I$54,FALSE))</f>
        <v/>
      </c>
      <c r="J58" s="70" t="str">
        <f t="shared" si="115"/>
        <v/>
      </c>
      <c r="K58" s="339" t="str">
        <f>IF($C58="","",VLOOKUP($C58,AMAPit!$A$10:$BJ$122,K$54,FALSE))</f>
        <v/>
      </c>
      <c r="L58" s="339" t="str">
        <f>IF($C58="","",VLOOKUP($C58,AMAPit!$A$10:$BJ$122,L$54,FALSE))</f>
        <v/>
      </c>
      <c r="M58" s="340" t="str">
        <f>IF($C58="","",VLOOKUP($C58,AMAPit!$A$10:$BJ$122,M$54,FALSE))</f>
        <v/>
      </c>
      <c r="N58" s="339" t="str">
        <f>IF($C58="","",VLOOKUP($C58,AMAPit!$A$10:$BJ$122,N$54,FALSE))</f>
        <v/>
      </c>
      <c r="O58" s="339" t="str">
        <f>IF($C58="","",VLOOKUP($C58,AMAPit!$A$10:$BJ$122,O$54,FALSE))</f>
        <v/>
      </c>
      <c r="P58" s="339" t="str">
        <f>IF($C58="","",VLOOKUP($C58,AMAPit!$A$10:$BJ$122,P$54,FALSE))</f>
        <v/>
      </c>
      <c r="Q58" s="339" t="str">
        <f>IF($C58="","",VLOOKUP($C58,AMAPit!$A$10:$BJ$122,Q$54,FALSE))</f>
        <v/>
      </c>
      <c r="R58" s="339" t="str">
        <f>IF($C58="","",VLOOKUP($C58,AMAPit!$A$10:$BJ$122,R$54,FALSE))</f>
        <v/>
      </c>
      <c r="S58" s="339" t="str">
        <f>IF($C58="","",VLOOKUP($C58,AMAPit!$A$10:$BJ$122,S$54,FALSE))</f>
        <v/>
      </c>
      <c r="T58" s="339" t="str">
        <f>IF($C58="","",VLOOKUP($C58,AMAPit!$A$10:$BJ$122,T$54,FALSE))</f>
        <v/>
      </c>
      <c r="U58" s="339" t="str">
        <f>IF($C58="","",VLOOKUP($C58,AMAPit!$A$10:$BJ$122,U$54,FALSE))</f>
        <v/>
      </c>
      <c r="V58" s="339" t="str">
        <f>IF($C58="","",VLOOKUP($C58,AMAPit!$A$10:$BJ$122,V$54,FALSE))</f>
        <v/>
      </c>
      <c r="W58" s="339" t="str">
        <f>IF($C58="","",VLOOKUP($C58,AMAPit!$A$10:$BJ$122,W$54,FALSE))</f>
        <v/>
      </c>
      <c r="X58" s="339" t="str">
        <f>IF($C58="","",VLOOKUP($C58,AMAPit!$A$10:$BJ$122,X$54,FALSE))</f>
        <v/>
      </c>
      <c r="Y58" s="340" t="str">
        <f>IF($C58="","",VLOOKUP($C58,AMAPit!$A$10:$BJ$122,Y$54,FALSE))</f>
        <v/>
      </c>
      <c r="Z58" s="345" t="str">
        <f>IF($C58="","",VLOOKUP($C58,AMAPit!$A$10:$BJ$122,Z$54,FALSE))</f>
        <v/>
      </c>
      <c r="AA58" s="339" t="str">
        <f>IF($C58="","",VLOOKUP($C58,AMAPit!$A$10:$BJ$122,AA$54,FALSE))</f>
        <v/>
      </c>
      <c r="AB58" s="73" t="str">
        <f>IF($C58="","",VLOOKUP($C58,AMAPit!$A$10:$BJ$122,AB$54,FALSE))</f>
        <v/>
      </c>
      <c r="AC58" s="60" t="str">
        <f>IF($C58="","",VLOOKUP($C58,AMAPit!$A$10:$BJ$122,AC$54,FALSE))</f>
        <v/>
      </c>
      <c r="AD58" s="339" t="str">
        <f>IF($C58="","",VLOOKUP($C58,AMAPit!$A$10:$BJ$122,AD$54,FALSE))</f>
        <v/>
      </c>
      <c r="AE58" s="339" t="str">
        <f>IF($C58="","",VLOOKUP($C58,AMAPit!$A$10:$BJ$122,AE$54,FALSE))</f>
        <v/>
      </c>
      <c r="AF58" s="340" t="str">
        <f>IF($C58="","",VLOOKUP($C58,AMAPit!$A$10:$BJ$122,AF$54,FALSE))</f>
        <v/>
      </c>
      <c r="AG58" s="60" t="str">
        <f>IF($C58="","",VLOOKUP($C58,AMAPit!$A$10:$BJ$122,AG$54,FALSE))</f>
        <v/>
      </c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</row>
    <row r="59" spans="1:52" x14ac:dyDescent="0.25">
      <c r="A59" s="339">
        <v>4</v>
      </c>
      <c r="B59" s="29" t="s">
        <v>87</v>
      </c>
      <c r="C59" s="58"/>
      <c r="D59" s="30" t="str">
        <f>IF($C59="","",VLOOKUP($C59,AMAPit!$A$10:$BJ$122,D$4-2,FALSE))</f>
        <v/>
      </c>
      <c r="E59" s="31" t="str">
        <f>IF($C59="","",VLOOKUP($C59,AMAPit!$A$10:$BJ$122,E$4-2,FALSE))</f>
        <v/>
      </c>
      <c r="F59" s="339" t="str">
        <f t="shared" si="112"/>
        <v/>
      </c>
      <c r="G59" s="339" t="str">
        <f t="shared" si="113"/>
        <v/>
      </c>
      <c r="H59" s="339" t="str">
        <f t="shared" si="114"/>
        <v/>
      </c>
      <c r="I59" s="92" t="str">
        <f>IF($C59="","",VLOOKUP($C59,AMAPit!$A$10:$BJ$122,I$54,FALSE))</f>
        <v/>
      </c>
      <c r="J59" s="70" t="str">
        <f t="shared" si="115"/>
        <v/>
      </c>
      <c r="K59" s="339" t="str">
        <f>IF($C59="","",VLOOKUP($C59,AMAPit!$A$10:$BJ$122,K$54,FALSE))</f>
        <v/>
      </c>
      <c r="L59" s="339" t="str">
        <f>IF($C59="","",VLOOKUP($C59,AMAPit!$A$10:$BJ$122,L$54,FALSE))</f>
        <v/>
      </c>
      <c r="M59" s="340" t="str">
        <f>IF($C59="","",VLOOKUP($C59,AMAPit!$A$10:$BJ$122,M$54,FALSE))</f>
        <v/>
      </c>
      <c r="N59" s="339" t="str">
        <f>IF($C59="","",VLOOKUP($C59,AMAPit!$A$10:$BJ$122,N$54,FALSE))</f>
        <v/>
      </c>
      <c r="O59" s="339" t="str">
        <f>IF($C59="","",VLOOKUP($C59,AMAPit!$A$10:$BJ$122,O$54,FALSE))</f>
        <v/>
      </c>
      <c r="P59" s="339" t="str">
        <f>IF($C59="","",VLOOKUP($C59,AMAPit!$A$10:$BJ$122,P$54,FALSE))</f>
        <v/>
      </c>
      <c r="Q59" s="339" t="str">
        <f>IF($C59="","",VLOOKUP($C59,AMAPit!$A$10:$BJ$122,Q$54,FALSE))</f>
        <v/>
      </c>
      <c r="R59" s="339" t="str">
        <f>IF($C59="","",VLOOKUP($C59,AMAPit!$A$10:$BJ$122,R$54,FALSE))</f>
        <v/>
      </c>
      <c r="S59" s="339" t="str">
        <f>IF($C59="","",VLOOKUP($C59,AMAPit!$A$10:$BJ$122,S$54,FALSE))</f>
        <v/>
      </c>
      <c r="T59" s="339" t="str">
        <f>IF($C59="","",VLOOKUP($C59,AMAPit!$A$10:$BJ$122,T$54,FALSE))</f>
        <v/>
      </c>
      <c r="U59" s="339" t="str">
        <f>IF($C59="","",VLOOKUP($C59,AMAPit!$A$10:$BJ$122,U$54,FALSE))</f>
        <v/>
      </c>
      <c r="V59" s="339" t="str">
        <f>IF($C59="","",VLOOKUP($C59,AMAPit!$A$10:$BJ$122,V$54,FALSE))</f>
        <v/>
      </c>
      <c r="W59" s="339" t="str">
        <f>IF($C59="","",VLOOKUP($C59,AMAPit!$A$10:$BJ$122,W$54,FALSE))</f>
        <v/>
      </c>
      <c r="X59" s="339" t="str">
        <f>IF($C59="","",VLOOKUP($C59,AMAPit!$A$10:$BJ$122,X$54,FALSE))</f>
        <v/>
      </c>
      <c r="Y59" s="340" t="str">
        <f>IF($C59="","",VLOOKUP($C59,AMAPit!$A$10:$BJ$122,Y$54,FALSE))</f>
        <v/>
      </c>
      <c r="Z59" s="345" t="str">
        <f>IF($C59="","",VLOOKUP($C59,AMAPit!$A$10:$BJ$122,Z$54,FALSE))</f>
        <v/>
      </c>
      <c r="AA59" s="339" t="str">
        <f>IF($C59="","",VLOOKUP($C59,AMAPit!$A$10:$BJ$122,AA$54,FALSE))</f>
        <v/>
      </c>
      <c r="AB59" s="73" t="str">
        <f>IF($C59="","",VLOOKUP($C59,AMAPit!$A$10:$BJ$122,AB$54,FALSE))</f>
        <v/>
      </c>
      <c r="AC59" s="60" t="str">
        <f>IF($C59="","",VLOOKUP($C59,AMAPit!$A$10:$BJ$122,AC$54,FALSE))</f>
        <v/>
      </c>
      <c r="AD59" s="339" t="str">
        <f>IF($C59="","",VLOOKUP($C59,AMAPit!$A$10:$BJ$122,AD$54,FALSE))</f>
        <v/>
      </c>
      <c r="AE59" s="339" t="str">
        <f>IF($C59="","",VLOOKUP($C59,AMAPit!$A$10:$BJ$122,AE$54,FALSE))</f>
        <v/>
      </c>
      <c r="AF59" s="340" t="str">
        <f>IF($C59="","",VLOOKUP($C59,AMAPit!$A$10:$BJ$122,AF$54,FALSE))</f>
        <v/>
      </c>
      <c r="AG59" s="60" t="str">
        <f>IF($C59="","",VLOOKUP($C59,AMAPit!$A$10:$BJ$122,AG$54,FALSE))</f>
        <v/>
      </c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</row>
    <row r="60" spans="1:52" x14ac:dyDescent="0.25">
      <c r="A60" s="339">
        <v>5</v>
      </c>
      <c r="B60" s="29" t="s">
        <v>87</v>
      </c>
      <c r="C60" s="58"/>
      <c r="D60" s="30" t="str">
        <f>IF($C60="","",VLOOKUP($C60,AMAPit!$A$10:$BJ$122,D$4-2,FALSE))</f>
        <v/>
      </c>
      <c r="E60" s="31" t="str">
        <f>IF($C60="","",VLOOKUP($C60,AMAPit!$A$10:$BJ$122,E$4-2,FALSE))</f>
        <v/>
      </c>
      <c r="F60" s="339" t="str">
        <f t="shared" si="112"/>
        <v/>
      </c>
      <c r="G60" s="339" t="str">
        <f t="shared" si="113"/>
        <v/>
      </c>
      <c r="H60" s="339" t="str">
        <f t="shared" si="114"/>
        <v/>
      </c>
      <c r="I60" s="92" t="str">
        <f>IF($C60="","",VLOOKUP($C60,AMAPit!$A$10:$BJ$122,I$54,FALSE))</f>
        <v/>
      </c>
      <c r="J60" s="70" t="str">
        <f t="shared" si="115"/>
        <v/>
      </c>
      <c r="K60" s="339" t="str">
        <f>IF($C60="","",VLOOKUP($C60,AMAPit!$A$10:$BJ$122,K$54,FALSE))</f>
        <v/>
      </c>
      <c r="L60" s="339" t="str">
        <f>IF($C60="","",VLOOKUP($C60,AMAPit!$A$10:$BJ$122,L$54,FALSE))</f>
        <v/>
      </c>
      <c r="M60" s="340" t="str">
        <f>IF($C60="","",VLOOKUP($C60,AMAPit!$A$10:$BJ$122,M$54,FALSE))</f>
        <v/>
      </c>
      <c r="N60" s="339" t="str">
        <f>IF($C60="","",VLOOKUP($C60,AMAPit!$A$10:$BJ$122,N$54,FALSE))</f>
        <v/>
      </c>
      <c r="O60" s="339" t="str">
        <f>IF($C60="","",VLOOKUP($C60,AMAPit!$A$10:$BJ$122,O$54,FALSE))</f>
        <v/>
      </c>
      <c r="P60" s="339" t="str">
        <f>IF($C60="","",VLOOKUP($C60,AMAPit!$A$10:$BJ$122,P$54,FALSE))</f>
        <v/>
      </c>
      <c r="Q60" s="339" t="str">
        <f>IF($C60="","",VLOOKUP($C60,AMAPit!$A$10:$BJ$122,Q$54,FALSE))</f>
        <v/>
      </c>
      <c r="R60" s="339" t="str">
        <f>IF($C60="","",VLOOKUP($C60,AMAPit!$A$10:$BJ$122,R$54,FALSE))</f>
        <v/>
      </c>
      <c r="S60" s="339" t="str">
        <f>IF($C60="","",VLOOKUP($C60,AMAPit!$A$10:$BJ$122,S$54,FALSE))</f>
        <v/>
      </c>
      <c r="T60" s="339" t="str">
        <f>IF($C60="","",VLOOKUP($C60,AMAPit!$A$10:$BJ$122,T$54,FALSE))</f>
        <v/>
      </c>
      <c r="U60" s="339" t="str">
        <f>IF($C60="","",VLOOKUP($C60,AMAPit!$A$10:$BJ$122,U$54,FALSE))</f>
        <v/>
      </c>
      <c r="V60" s="339" t="str">
        <f>IF($C60="","",VLOOKUP($C60,AMAPit!$A$10:$BJ$122,V$54,FALSE))</f>
        <v/>
      </c>
      <c r="W60" s="339" t="str">
        <f>IF($C60="","",VLOOKUP($C60,AMAPit!$A$10:$BJ$122,W$54,FALSE))</f>
        <v/>
      </c>
      <c r="X60" s="339" t="str">
        <f>IF($C60="","",VLOOKUP($C60,AMAPit!$A$10:$BJ$122,X$54,FALSE))</f>
        <v/>
      </c>
      <c r="Y60" s="340" t="str">
        <f>IF($C60="","",VLOOKUP($C60,AMAPit!$A$10:$BJ$122,Y$54,FALSE))</f>
        <v/>
      </c>
      <c r="Z60" s="345" t="str">
        <f>IF($C60="","",VLOOKUP($C60,AMAPit!$A$10:$BJ$122,Z$54,FALSE))</f>
        <v/>
      </c>
      <c r="AA60" s="339" t="str">
        <f>IF($C60="","",VLOOKUP($C60,AMAPit!$A$10:$BJ$122,AA$54,FALSE))</f>
        <v/>
      </c>
      <c r="AB60" s="73" t="str">
        <f>IF($C60="","",VLOOKUP($C60,AMAPit!$A$10:$BJ$122,AB$54,FALSE))</f>
        <v/>
      </c>
      <c r="AC60" s="60" t="str">
        <f>IF($C60="","",VLOOKUP($C60,AMAPit!$A$10:$BJ$122,AC$54,FALSE))</f>
        <v/>
      </c>
      <c r="AD60" s="339" t="str">
        <f>IF($C60="","",VLOOKUP($C60,AMAPit!$A$10:$BJ$122,AD$54,FALSE))</f>
        <v/>
      </c>
      <c r="AE60" s="339" t="str">
        <f>IF($C60="","",VLOOKUP($C60,AMAPit!$A$10:$BJ$122,AE$54,FALSE))</f>
        <v/>
      </c>
      <c r="AF60" s="340" t="str">
        <f>IF($C60="","",VLOOKUP($C60,AMAPit!$A$10:$BJ$122,AF$54,FALSE))</f>
        <v/>
      </c>
      <c r="AG60" s="60" t="str">
        <f>IF($C60="","",VLOOKUP($C60,AMAPit!$A$10:$BJ$122,AG$54,FALSE))</f>
        <v/>
      </c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</row>
    <row r="61" spans="1:52" x14ac:dyDescent="0.25">
      <c r="A61" s="339">
        <v>6</v>
      </c>
      <c r="B61" s="32" t="s">
        <v>105</v>
      </c>
      <c r="C61" s="279"/>
      <c r="D61" s="33" t="str">
        <f>IF($C61="","",VLOOKUP($C61,AMAPit!$A$10:$BJ$122,D$4-2,FALSE))</f>
        <v/>
      </c>
      <c r="E61" s="35" t="str">
        <f>IF($C61="","",VLOOKUP($C61,AMAPit!$A$10:$BJ$122,E$4-2,FALSE))</f>
        <v/>
      </c>
      <c r="F61" s="337" t="str">
        <f t="shared" si="112"/>
        <v/>
      </c>
      <c r="G61" s="337" t="str">
        <f t="shared" si="113"/>
        <v/>
      </c>
      <c r="H61" s="337" t="str">
        <f t="shared" si="114"/>
        <v/>
      </c>
      <c r="I61" s="93" t="str">
        <f>IF($C61="","",VLOOKUP($C61,AMAPit!$A$10:$BJ$122,I$54,FALSE))</f>
        <v/>
      </c>
      <c r="J61" s="71" t="str">
        <f t="shared" si="115"/>
        <v/>
      </c>
      <c r="K61" s="337" t="str">
        <f>IF($C61="","",VLOOKUP($C61,AMAPit!$A$10:$BJ$122,K$54,FALSE))</f>
        <v/>
      </c>
      <c r="L61" s="337" t="str">
        <f>IF($C61="","",VLOOKUP($C61,AMAPit!$A$10:$BJ$122,L$54,FALSE))</f>
        <v/>
      </c>
      <c r="M61" s="338" t="str">
        <f>IF($C61="","",VLOOKUP($C61,AMAPit!$A$10:$BJ$122,M$54,FALSE))</f>
        <v/>
      </c>
      <c r="N61" s="337" t="str">
        <f>IF($C61="","",VLOOKUP($C61,AMAPit!$A$10:$BJ$122,N$54,FALSE))</f>
        <v/>
      </c>
      <c r="O61" s="337" t="str">
        <f>IF($C61="","",VLOOKUP($C61,AMAPit!$A$10:$BJ$122,O$54,FALSE))</f>
        <v/>
      </c>
      <c r="P61" s="337" t="str">
        <f>IF($C61="","",VLOOKUP($C61,AMAPit!$A$10:$BJ$122,P$54,FALSE))</f>
        <v/>
      </c>
      <c r="Q61" s="337" t="str">
        <f>IF($C61="","",VLOOKUP($C61,AMAPit!$A$10:$BJ$122,Q$54,FALSE))</f>
        <v/>
      </c>
      <c r="R61" s="337" t="str">
        <f>IF($C61="","",VLOOKUP($C61,AMAPit!$A$10:$BJ$122,R$54,FALSE))</f>
        <v/>
      </c>
      <c r="S61" s="337" t="str">
        <f>IF($C61="","",VLOOKUP($C61,AMAPit!$A$10:$BJ$122,S$54,FALSE))</f>
        <v/>
      </c>
      <c r="T61" s="337" t="str">
        <f>IF($C61="","",VLOOKUP($C61,AMAPit!$A$10:$BJ$122,T$54,FALSE))</f>
        <v/>
      </c>
      <c r="U61" s="337" t="str">
        <f>IF($C61="","",VLOOKUP($C61,AMAPit!$A$10:$BJ$122,U$54,FALSE))</f>
        <v/>
      </c>
      <c r="V61" s="337" t="str">
        <f>IF($C61="","",VLOOKUP($C61,AMAPit!$A$10:$BJ$122,V$54,FALSE))</f>
        <v/>
      </c>
      <c r="W61" s="337" t="str">
        <f>IF($C61="","",VLOOKUP($C61,AMAPit!$A$10:$BJ$122,W$54,FALSE))</f>
        <v/>
      </c>
      <c r="X61" s="337" t="str">
        <f>IF($C61="","",VLOOKUP($C61,AMAPit!$A$10:$BJ$122,X$54,FALSE))</f>
        <v/>
      </c>
      <c r="Y61" s="338" t="str">
        <f>IF($C61="","",VLOOKUP($C61,AMAPit!$A$10:$BJ$122,Y$54,FALSE))</f>
        <v/>
      </c>
      <c r="Z61" s="47" t="str">
        <f>IF($C61="","",VLOOKUP($C61,AMAPit!$A$10:$BJ$122,Z$54,FALSE))</f>
        <v/>
      </c>
      <c r="AA61" s="337" t="str">
        <f>IF($C61="","",VLOOKUP($C61,AMAPit!$A$10:$BJ$122,AA$54,FALSE))</f>
        <v/>
      </c>
      <c r="AB61" s="74" t="str">
        <f>IF($C61="","",VLOOKUP($C61,AMAPit!$A$10:$BJ$122,AB$54,FALSE))</f>
        <v/>
      </c>
      <c r="AC61" s="61" t="str">
        <f>IF($C61="","",VLOOKUP($C61,AMAPit!$A$10:$BJ$122,AC$54,FALSE))</f>
        <v/>
      </c>
      <c r="AD61" s="337" t="str">
        <f>IF($C61="","",VLOOKUP($C61,AMAPit!$A$10:$BJ$122,AD$54,FALSE))</f>
        <v/>
      </c>
      <c r="AE61" s="337" t="str">
        <f>IF($C61="","",VLOOKUP($C61,AMAPit!$A$10:$BJ$122,AE$54,FALSE))</f>
        <v/>
      </c>
      <c r="AF61" s="338" t="str">
        <f>IF($C61="","",VLOOKUP($C61,AMAPit!$A$10:$BJ$122,AF$54,FALSE))</f>
        <v/>
      </c>
      <c r="AG61" s="61" t="str">
        <f>IF($C61="","",VLOOKUP($C61,AMAPit!$A$10:$BJ$122,AG$54,FALSE))</f>
        <v/>
      </c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</row>
    <row r="62" spans="1:52" x14ac:dyDescent="0.25">
      <c r="A62" s="305"/>
      <c r="C62" s="280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39"/>
      <c r="AA62" s="339"/>
      <c r="AB62" s="339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</row>
    <row r="63" spans="1:52" ht="57" x14ac:dyDescent="0.25">
      <c r="A63" s="18" t="s">
        <v>170</v>
      </c>
      <c r="B63" s="341" t="s">
        <v>106</v>
      </c>
      <c r="C63" s="281" t="s">
        <v>96</v>
      </c>
      <c r="D63" s="37" t="s">
        <v>70</v>
      </c>
      <c r="E63" s="37" t="s">
        <v>81</v>
      </c>
      <c r="F63" s="48" t="s">
        <v>167</v>
      </c>
      <c r="G63" s="40" t="s">
        <v>168</v>
      </c>
      <c r="H63" s="49" t="s">
        <v>169</v>
      </c>
      <c r="I63" s="69" t="s">
        <v>189</v>
      </c>
      <c r="J63" s="40" t="s">
        <v>166</v>
      </c>
      <c r="K63" s="72" t="s">
        <v>163</v>
      </c>
      <c r="L63" s="67" t="s">
        <v>164</v>
      </c>
      <c r="M63" s="68" t="s">
        <v>165</v>
      </c>
      <c r="N63" s="67" t="s">
        <v>40</v>
      </c>
      <c r="O63" s="67" t="s">
        <v>42</v>
      </c>
      <c r="P63" s="67" t="s">
        <v>44</v>
      </c>
      <c r="Q63" s="67" t="s">
        <v>46</v>
      </c>
      <c r="R63" s="67" t="s">
        <v>48</v>
      </c>
      <c r="S63" s="67" t="s">
        <v>87</v>
      </c>
      <c r="T63" s="67" t="s">
        <v>51</v>
      </c>
      <c r="U63" s="67" t="s">
        <v>53</v>
      </c>
      <c r="V63" s="67" t="s">
        <v>55</v>
      </c>
      <c r="W63" s="67" t="s">
        <v>57</v>
      </c>
      <c r="X63" s="67" t="s">
        <v>59</v>
      </c>
      <c r="Y63" s="68" t="s">
        <v>61</v>
      </c>
      <c r="Z63" s="72" t="s">
        <v>176</v>
      </c>
      <c r="AA63" s="67" t="s">
        <v>175</v>
      </c>
      <c r="AB63" s="68" t="s">
        <v>177</v>
      </c>
      <c r="AC63" s="251" t="s">
        <v>354</v>
      </c>
      <c r="AD63" s="67" t="s">
        <v>163</v>
      </c>
      <c r="AE63" s="67" t="s">
        <v>164</v>
      </c>
      <c r="AF63" s="68" t="s">
        <v>165</v>
      </c>
      <c r="AG63" s="251" t="s">
        <v>174</v>
      </c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</row>
    <row r="64" spans="1:52" x14ac:dyDescent="0.25">
      <c r="A64" s="305">
        <v>1</v>
      </c>
      <c r="B64" s="29" t="s">
        <v>88</v>
      </c>
      <c r="C64" s="58"/>
      <c r="D64" s="30" t="str">
        <f>IF($C64="","",VLOOKUP($C64,AMAPit!$A$10:$BJ$122,D$4-2,FALSE))</f>
        <v/>
      </c>
      <c r="E64" s="30" t="str">
        <f>IF($C64="","",VLOOKUP($C64,AMAPit!$A$10:$BJ$122,E$4-2,FALSE))</f>
        <v/>
      </c>
      <c r="F64" s="345" t="str">
        <f t="shared" ref="F64:F65" si="116">IF($C64="","",IF(AVERAGE(K64:M64)&gt;7,1,0))</f>
        <v/>
      </c>
      <c r="G64" s="339" t="str">
        <f t="shared" ref="G64:G65" si="117">IF($C64="","",IF(AVERAGE(K64:M64)&gt;6.5,1,0))</f>
        <v/>
      </c>
      <c r="H64" s="340" t="str">
        <f t="shared" ref="H64:H65" si="118">IF($C64="","",IF(AVERAGE(K64:M64)&gt;6,1,0))</f>
        <v/>
      </c>
      <c r="I64" s="91" t="str">
        <f>IF($C64="","",VLOOKUP($C64,AMAPit!$A$10:$BJ$122,I$54,FALSE))</f>
        <v/>
      </c>
      <c r="J64" s="339" t="str">
        <f t="shared" ref="J64:J65" si="119">IF($C64="","",COUNT(N64:Y64))</f>
        <v/>
      </c>
      <c r="K64" s="345" t="str">
        <f>IF($C64="","",VLOOKUP($C64,AMAPit!$A$10:$BJ$122,K$54,FALSE))</f>
        <v/>
      </c>
      <c r="L64" s="339" t="str">
        <f>IF($C64="","",VLOOKUP($C64,AMAPit!$A$10:$BJ$122,L$54,FALSE))</f>
        <v/>
      </c>
      <c r="M64" s="340" t="str">
        <f>IF($C64="","",VLOOKUP($C64,AMAPit!$A$10:$BJ$122,M$54,FALSE))</f>
        <v/>
      </c>
      <c r="N64" s="339" t="str">
        <f>IF($C64="","",VLOOKUP($C64,AMAPit!$A$10:$BJ$122,N$54,FALSE))</f>
        <v/>
      </c>
      <c r="O64" s="339" t="str">
        <f>IF($C64="","",VLOOKUP($C64,AMAPit!$A$10:$BJ$122,O$54,FALSE))</f>
        <v/>
      </c>
      <c r="P64" s="339" t="str">
        <f>IF($C64="","",VLOOKUP($C64,AMAPit!$A$10:$BJ$122,P$54,FALSE))</f>
        <v/>
      </c>
      <c r="Q64" s="339" t="str">
        <f>IF($C64="","",VLOOKUP($C64,AMAPit!$A$10:$BJ$122,Q$54,FALSE))</f>
        <v/>
      </c>
      <c r="R64" s="339" t="str">
        <f>IF($C64="","",VLOOKUP($C64,AMAPit!$A$10:$BJ$122,R$54,FALSE))</f>
        <v/>
      </c>
      <c r="S64" s="339" t="str">
        <f>IF($C64="","",VLOOKUP($C64,AMAPit!$A$10:$BJ$122,S$54,FALSE))</f>
        <v/>
      </c>
      <c r="T64" s="339" t="str">
        <f>IF($C64="","",VLOOKUP($C64,AMAPit!$A$10:$BJ$122,T$54,FALSE))</f>
        <v/>
      </c>
      <c r="U64" s="339" t="str">
        <f>IF($C64="","",VLOOKUP($C64,AMAPit!$A$10:$BJ$122,U$54,FALSE))</f>
        <v/>
      </c>
      <c r="V64" s="339" t="str">
        <f>IF($C64="","",VLOOKUP($C64,AMAPit!$A$10:$BJ$122,V$54,FALSE))</f>
        <v/>
      </c>
      <c r="W64" s="339" t="str">
        <f>IF($C64="","",VLOOKUP($C64,AMAPit!$A$10:$BJ$122,W$54,FALSE))</f>
        <v/>
      </c>
      <c r="X64" s="339" t="str">
        <f>IF($C64="","",VLOOKUP($C64,AMAPit!$A$10:$BJ$122,X$54,FALSE))</f>
        <v/>
      </c>
      <c r="Y64" s="340" t="str">
        <f>IF($C64="","",VLOOKUP($C64,AMAPit!$A$10:$BJ$122,Y$54,FALSE))</f>
        <v/>
      </c>
      <c r="Z64" s="345" t="str">
        <f>IF($C64="","",VLOOKUP($C64,AMAPit!$A$10:$BJ$122,Z$54,FALSE))</f>
        <v/>
      </c>
      <c r="AA64" s="339" t="str">
        <f>IF($C64="","",VLOOKUP($C64,AMAPit!$A$10:$BJ$122,AA$54,FALSE))</f>
        <v/>
      </c>
      <c r="AB64" s="73" t="str">
        <f>IF($C64="","",VLOOKUP($C64,AMAPit!$A$10:$BJ$122,AB$54,FALSE))</f>
        <v/>
      </c>
      <c r="AC64" s="252" t="str">
        <f>IF($C64="","",VLOOKUP($C64,AMAPit!$A$10:$BJ$122,AC$54,FALSE))</f>
        <v/>
      </c>
      <c r="AD64" s="339" t="str">
        <f>IF($C64="","",VLOOKUP($C64,AMAPit!$A$10:$BJ$122,AD$54,FALSE))</f>
        <v/>
      </c>
      <c r="AE64" s="339" t="str">
        <f>IF($C64="","",VLOOKUP($C64,AMAPit!$A$10:$BJ$122,AE$54,FALSE))</f>
        <v/>
      </c>
      <c r="AF64" s="340" t="str">
        <f>IF($C64="","",VLOOKUP($C64,AMAPit!$A$10:$BJ$122,AF$54,FALSE))</f>
        <v/>
      </c>
      <c r="AG64" s="252" t="str">
        <f>IF($C64="","",VLOOKUP($C64,AMAPit!$A$10:$BJ$122,AG$54,FALSE))</f>
        <v/>
      </c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</row>
    <row r="65" spans="1:52" x14ac:dyDescent="0.25">
      <c r="A65" s="305">
        <v>2</v>
      </c>
      <c r="B65" s="32" t="s">
        <v>107</v>
      </c>
      <c r="C65" s="282"/>
      <c r="D65" s="33" t="str">
        <f>IF($C65="","",VLOOKUP($C65,AMAPit!$A$10:$BJ$122,D$4-2,FALSE))</f>
        <v/>
      </c>
      <c r="E65" s="33" t="str">
        <f>IF($C65="","",VLOOKUP($C65,AMAPit!$A$10:$BJ$122,E$4-2,FALSE))</f>
        <v/>
      </c>
      <c r="F65" s="47" t="str">
        <f t="shared" si="116"/>
        <v/>
      </c>
      <c r="G65" s="337" t="str">
        <f t="shared" si="117"/>
        <v/>
      </c>
      <c r="H65" s="338" t="str">
        <f t="shared" si="118"/>
        <v/>
      </c>
      <c r="I65" s="93" t="str">
        <f>IF($C65="","",VLOOKUP($C65,AMAPit!$A$10:$BJ$122,I$54,FALSE))</f>
        <v/>
      </c>
      <c r="J65" s="337" t="str">
        <f t="shared" si="119"/>
        <v/>
      </c>
      <c r="K65" s="47" t="str">
        <f>IF($C65="","",VLOOKUP($C65,AMAPit!$A$10:$BJ$122,K$54,FALSE))</f>
        <v/>
      </c>
      <c r="L65" s="337" t="str">
        <f>IF($C65="","",VLOOKUP($C65,AMAPit!$A$10:$BJ$122,L$54,FALSE))</f>
        <v/>
      </c>
      <c r="M65" s="338" t="str">
        <f>IF($C65="","",VLOOKUP($C65,AMAPit!$A$10:$BJ$122,M$54,FALSE))</f>
        <v/>
      </c>
      <c r="N65" s="337" t="str">
        <f>IF($C65="","",VLOOKUP($C65,AMAPit!$A$10:$BJ$122,N$54,FALSE))</f>
        <v/>
      </c>
      <c r="O65" s="337" t="str">
        <f>IF($C65="","",VLOOKUP($C65,AMAPit!$A$10:$BJ$122,O$54,FALSE))</f>
        <v/>
      </c>
      <c r="P65" s="337" t="str">
        <f>IF($C65="","",VLOOKUP($C65,AMAPit!$A$10:$BJ$122,P$54,FALSE))</f>
        <v/>
      </c>
      <c r="Q65" s="337" t="str">
        <f>IF($C65="","",VLOOKUP($C65,AMAPit!$A$10:$BJ$122,Q$54,FALSE))</f>
        <v/>
      </c>
      <c r="R65" s="337" t="str">
        <f>IF($C65="","",VLOOKUP($C65,AMAPit!$A$10:$BJ$122,R$54,FALSE))</f>
        <v/>
      </c>
      <c r="S65" s="337" t="str">
        <f>IF($C65="","",VLOOKUP($C65,AMAPit!$A$10:$BJ$122,S$54,FALSE))</f>
        <v/>
      </c>
      <c r="T65" s="337" t="str">
        <f>IF($C65="","",VLOOKUP($C65,AMAPit!$A$10:$BJ$122,T$54,FALSE))</f>
        <v/>
      </c>
      <c r="U65" s="337" t="str">
        <f>IF($C65="","",VLOOKUP($C65,AMAPit!$A$10:$BJ$122,U$54,FALSE))</f>
        <v/>
      </c>
      <c r="V65" s="337" t="str">
        <f>IF($C65="","",VLOOKUP($C65,AMAPit!$A$10:$BJ$122,V$54,FALSE))</f>
        <v/>
      </c>
      <c r="W65" s="337" t="str">
        <f>IF($C65="","",VLOOKUP($C65,AMAPit!$A$10:$BJ$122,W$54,FALSE))</f>
        <v/>
      </c>
      <c r="X65" s="337" t="str">
        <f>IF($C65="","",VLOOKUP($C65,AMAPit!$A$10:$BJ$122,X$54,FALSE))</f>
        <v/>
      </c>
      <c r="Y65" s="338" t="str">
        <f>IF($C65="","",VLOOKUP($C65,AMAPit!$A$10:$BJ$122,Y$54,FALSE))</f>
        <v/>
      </c>
      <c r="Z65" s="47" t="str">
        <f>IF($C65="","",VLOOKUP($C65,AMAPit!$A$10:$BJ$122,Z$54,FALSE))</f>
        <v/>
      </c>
      <c r="AA65" s="337" t="str">
        <f>IF($C65="","",VLOOKUP($C65,AMAPit!$A$10:$BJ$122,AA$54,FALSE))</f>
        <v/>
      </c>
      <c r="AB65" s="74" t="str">
        <f>IF($C65="","",VLOOKUP($C65,AMAPit!$A$10:$BJ$122,AB$54,FALSE))</f>
        <v/>
      </c>
      <c r="AC65" s="61" t="str">
        <f>IF($C65="","",VLOOKUP($C65,AMAPit!$A$10:$BJ$122,AC$54,FALSE))</f>
        <v/>
      </c>
      <c r="AD65" s="337" t="str">
        <f>IF($C65="","",VLOOKUP($C65,AMAPit!$A$10:$BJ$122,AD$54,FALSE))</f>
        <v/>
      </c>
      <c r="AE65" s="337" t="str">
        <f>IF($C65="","",VLOOKUP($C65,AMAPit!$A$10:$BJ$122,AE$54,FALSE))</f>
        <v/>
      </c>
      <c r="AF65" s="338" t="str">
        <f>IF($C65="","",VLOOKUP($C65,AMAPit!$A$10:$BJ$122,AF$54,FALSE))</f>
        <v/>
      </c>
      <c r="AG65" s="61" t="str">
        <f>IF($C65="","",VLOOKUP($C65,AMAPit!$A$10:$BJ$122,AG$54,FALSE))</f>
        <v/>
      </c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</row>
    <row r="66" spans="1:52" x14ac:dyDescent="0.25">
      <c r="A66" s="305"/>
      <c r="C66" s="280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39"/>
      <c r="AA66" s="339"/>
      <c r="AB66" s="339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</row>
    <row r="67" spans="1:52" ht="57" x14ac:dyDescent="0.25">
      <c r="A67" s="18" t="s">
        <v>170</v>
      </c>
      <c r="B67" s="341" t="s">
        <v>108</v>
      </c>
      <c r="C67" s="281" t="s">
        <v>96</v>
      </c>
      <c r="D67" s="37" t="s">
        <v>70</v>
      </c>
      <c r="E67" s="37" t="s">
        <v>81</v>
      </c>
      <c r="F67" s="48" t="s">
        <v>167</v>
      </c>
      <c r="G67" s="40" t="s">
        <v>168</v>
      </c>
      <c r="H67" s="49" t="s">
        <v>169</v>
      </c>
      <c r="I67" s="69" t="s">
        <v>189</v>
      </c>
      <c r="J67" s="40" t="s">
        <v>166</v>
      </c>
      <c r="K67" s="72" t="s">
        <v>163</v>
      </c>
      <c r="L67" s="67" t="s">
        <v>164</v>
      </c>
      <c r="M67" s="68" t="s">
        <v>165</v>
      </c>
      <c r="N67" s="67" t="s">
        <v>40</v>
      </c>
      <c r="O67" s="67" t="s">
        <v>42</v>
      </c>
      <c r="P67" s="67" t="s">
        <v>44</v>
      </c>
      <c r="Q67" s="67" t="s">
        <v>46</v>
      </c>
      <c r="R67" s="67" t="s">
        <v>48</v>
      </c>
      <c r="S67" s="67" t="s">
        <v>87</v>
      </c>
      <c r="T67" s="67" t="s">
        <v>51</v>
      </c>
      <c r="U67" s="67" t="s">
        <v>53</v>
      </c>
      <c r="V67" s="67" t="s">
        <v>55</v>
      </c>
      <c r="W67" s="67" t="s">
        <v>57</v>
      </c>
      <c r="X67" s="67" t="s">
        <v>59</v>
      </c>
      <c r="Y67" s="68" t="s">
        <v>61</v>
      </c>
      <c r="Z67" s="72" t="s">
        <v>176</v>
      </c>
      <c r="AA67" s="67" t="s">
        <v>175</v>
      </c>
      <c r="AB67" s="68" t="s">
        <v>177</v>
      </c>
      <c r="AC67" s="251" t="s">
        <v>354</v>
      </c>
      <c r="AD67" s="67" t="s">
        <v>163</v>
      </c>
      <c r="AE67" s="67" t="s">
        <v>164</v>
      </c>
      <c r="AF67" s="68" t="s">
        <v>165</v>
      </c>
      <c r="AG67" s="251" t="s">
        <v>174</v>
      </c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</row>
    <row r="68" spans="1:52" x14ac:dyDescent="0.25">
      <c r="A68" s="305">
        <v>1</v>
      </c>
      <c r="B68" s="29" t="s">
        <v>109</v>
      </c>
      <c r="C68" s="58"/>
      <c r="D68" s="30" t="str">
        <f>IF($C68="","",VLOOKUP($C68,AMAPit!$A$10:$BJ$122,D$4-2,FALSE))</f>
        <v/>
      </c>
      <c r="E68" s="30" t="str">
        <f>IF($C68="","",VLOOKUP($C68,AMAPit!$A$10:$BJ$122,E$4-2,FALSE))</f>
        <v/>
      </c>
      <c r="F68" s="345" t="str">
        <f t="shared" ref="F68:F77" si="120">IF($C68="","",IF(AVERAGE(K68:M68)&gt;7,1,0))</f>
        <v/>
      </c>
      <c r="G68" s="339" t="str">
        <f t="shared" ref="G68:G77" si="121">IF($C68="","",IF(AVERAGE(K68:M68)&gt;6.5,1,0))</f>
        <v/>
      </c>
      <c r="H68" s="340" t="str">
        <f t="shared" ref="H68:H77" si="122">IF($C68="","",IF(AVERAGE(K68:M68)&gt;6,1,0))</f>
        <v/>
      </c>
      <c r="I68" s="92" t="str">
        <f>IF($C68="","",VLOOKUP($C68,AMAPit!$A$10:$BJ$122,I$54,FALSE))</f>
        <v/>
      </c>
      <c r="J68" s="339" t="str">
        <f t="shared" ref="J68:J77" si="123">IF($C68="","",COUNT(N68:Y68))</f>
        <v/>
      </c>
      <c r="K68" s="345" t="str">
        <f>IF($C68="","",VLOOKUP($C68,AMAPit!$A$10:$BJ$122,K$54,FALSE))</f>
        <v/>
      </c>
      <c r="L68" s="339" t="str">
        <f>IF($C68="","",VLOOKUP($C68,AMAPit!$A$10:$BJ$122,L$54,FALSE))</f>
        <v/>
      </c>
      <c r="M68" s="340" t="str">
        <f>IF($C68="","",VLOOKUP($C68,AMAPit!$A$10:$BJ$122,M$54,FALSE))</f>
        <v/>
      </c>
      <c r="N68" s="339" t="str">
        <f>IF($C68="","",VLOOKUP($C68,AMAPit!$A$10:$BJ$122,N$54,FALSE))</f>
        <v/>
      </c>
      <c r="O68" s="339" t="str">
        <f>IF($C68="","",VLOOKUP($C68,AMAPit!$A$10:$BJ$122,O$54,FALSE))</f>
        <v/>
      </c>
      <c r="P68" s="339" t="str">
        <f>IF($C68="","",VLOOKUP($C68,AMAPit!$A$10:$BJ$122,P$54,FALSE))</f>
        <v/>
      </c>
      <c r="Q68" s="339" t="str">
        <f>IF($C68="","",VLOOKUP($C68,AMAPit!$A$10:$BJ$122,Q$54,FALSE))</f>
        <v/>
      </c>
      <c r="R68" s="339" t="str">
        <f>IF($C68="","",VLOOKUP($C68,AMAPit!$A$10:$BJ$122,R$54,FALSE))</f>
        <v/>
      </c>
      <c r="S68" s="339" t="str">
        <f>IF($C68="","",VLOOKUP($C68,AMAPit!$A$10:$BJ$122,S$54,FALSE))</f>
        <v/>
      </c>
      <c r="T68" s="339" t="str">
        <f>IF($C68="","",VLOOKUP($C68,AMAPit!$A$10:$BJ$122,T$54,FALSE))</f>
        <v/>
      </c>
      <c r="U68" s="339" t="str">
        <f>IF($C68="","",VLOOKUP($C68,AMAPit!$A$10:$BJ$122,U$54,FALSE))</f>
        <v/>
      </c>
      <c r="V68" s="339" t="str">
        <f>IF($C68="","",VLOOKUP($C68,AMAPit!$A$10:$BJ$122,V$54,FALSE))</f>
        <v/>
      </c>
      <c r="W68" s="339" t="str">
        <f>IF($C68="","",VLOOKUP($C68,AMAPit!$A$10:$BJ$122,W$54,FALSE))</f>
        <v/>
      </c>
      <c r="X68" s="339" t="str">
        <f>IF($C68="","",VLOOKUP($C68,AMAPit!$A$10:$BJ$122,X$54,FALSE))</f>
        <v/>
      </c>
      <c r="Y68" s="340" t="str">
        <f>IF($C68="","",VLOOKUP($C68,AMAPit!$A$10:$BJ$122,Y$54,FALSE))</f>
        <v/>
      </c>
      <c r="Z68" s="345" t="str">
        <f>IF($C68="","",VLOOKUP($C68,AMAPit!$A$10:$BJ$122,Z$54,FALSE))</f>
        <v/>
      </c>
      <c r="AA68" s="339" t="str">
        <f>IF($C68="","",VLOOKUP($C68,AMAPit!$A$10:$BJ$122,AA$54,FALSE))</f>
        <v/>
      </c>
      <c r="AB68" s="73" t="str">
        <f>IF($C68="","",VLOOKUP($C68,AMAPit!$A$10:$BJ$122,AB$54,FALSE))</f>
        <v/>
      </c>
      <c r="AC68" s="252" t="str">
        <f>IF($C68="","",VLOOKUP($C68,AMAPit!$A$10:$BJ$122,AC$54,FALSE))</f>
        <v/>
      </c>
      <c r="AD68" s="339" t="str">
        <f>IF($C68="","",VLOOKUP($C68,AMAPit!$A$10:$BJ$122,AD$54,FALSE))</f>
        <v/>
      </c>
      <c r="AE68" s="339" t="str">
        <f>IF($C68="","",VLOOKUP($C68,AMAPit!$A$10:$BJ$122,AE$54,FALSE))</f>
        <v/>
      </c>
      <c r="AF68" s="340" t="str">
        <f>IF($C68="","",VLOOKUP($C68,AMAPit!$A$10:$BJ$122,AF$54,FALSE))</f>
        <v/>
      </c>
      <c r="AG68" s="252" t="str">
        <f>IF($C68="","",VLOOKUP($C68,AMAPit!$A$10:$BJ$122,AG$54,FALSE))</f>
        <v/>
      </c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</row>
    <row r="69" spans="1:52" x14ac:dyDescent="0.25">
      <c r="A69" s="305">
        <v>2</v>
      </c>
      <c r="B69" s="29" t="s">
        <v>110</v>
      </c>
      <c r="C69" s="58"/>
      <c r="D69" s="30" t="str">
        <f>IF($C69="","",VLOOKUP($C69,AMAPit!$A$10:$BJ$122,D$4-2,FALSE))</f>
        <v/>
      </c>
      <c r="E69" s="30" t="str">
        <f>IF($C69="","",VLOOKUP($C69,AMAPit!$A$10:$BJ$122,E$4-2,FALSE))</f>
        <v/>
      </c>
      <c r="F69" s="345" t="str">
        <f t="shared" si="120"/>
        <v/>
      </c>
      <c r="G69" s="339" t="str">
        <f t="shared" si="121"/>
        <v/>
      </c>
      <c r="H69" s="340" t="str">
        <f t="shared" si="122"/>
        <v/>
      </c>
      <c r="I69" s="92" t="str">
        <f>IF($C69="","",VLOOKUP($C69,AMAPit!$A$10:$BJ$122,I$54,FALSE))</f>
        <v/>
      </c>
      <c r="J69" s="339" t="str">
        <f t="shared" si="123"/>
        <v/>
      </c>
      <c r="K69" s="345" t="str">
        <f>IF($C69="","",VLOOKUP($C69,AMAPit!$A$10:$BJ$122,K$54,FALSE))</f>
        <v/>
      </c>
      <c r="L69" s="339" t="str">
        <f>IF($C69="","",VLOOKUP($C69,AMAPit!$A$10:$BJ$122,L$54,FALSE))</f>
        <v/>
      </c>
      <c r="M69" s="340" t="str">
        <f>IF($C69="","",VLOOKUP($C69,AMAPit!$A$10:$BJ$122,M$54,FALSE))</f>
        <v/>
      </c>
      <c r="N69" s="339" t="str">
        <f>IF($C69="","",VLOOKUP($C69,AMAPit!$A$10:$BJ$122,N$54,FALSE))</f>
        <v/>
      </c>
      <c r="O69" s="339" t="str">
        <f>IF($C69="","",VLOOKUP($C69,AMAPit!$A$10:$BJ$122,O$54,FALSE))</f>
        <v/>
      </c>
      <c r="P69" s="339" t="str">
        <f>IF($C69="","",VLOOKUP($C69,AMAPit!$A$10:$BJ$122,P$54,FALSE))</f>
        <v/>
      </c>
      <c r="Q69" s="339" t="str">
        <f>IF($C69="","",VLOOKUP($C69,AMAPit!$A$10:$BJ$122,Q$54,FALSE))</f>
        <v/>
      </c>
      <c r="R69" s="339" t="str">
        <f>IF($C69="","",VLOOKUP($C69,AMAPit!$A$10:$BJ$122,R$54,FALSE))</f>
        <v/>
      </c>
      <c r="S69" s="339" t="str">
        <f>IF($C69="","",VLOOKUP($C69,AMAPit!$A$10:$BJ$122,S$54,FALSE))</f>
        <v/>
      </c>
      <c r="T69" s="339" t="str">
        <f>IF($C69="","",VLOOKUP($C69,AMAPit!$A$10:$BJ$122,T$54,FALSE))</f>
        <v/>
      </c>
      <c r="U69" s="339" t="str">
        <f>IF($C69="","",VLOOKUP($C69,AMAPit!$A$10:$BJ$122,U$54,FALSE))</f>
        <v/>
      </c>
      <c r="V69" s="339" t="str">
        <f>IF($C69="","",VLOOKUP($C69,AMAPit!$A$10:$BJ$122,V$54,FALSE))</f>
        <v/>
      </c>
      <c r="W69" s="339" t="str">
        <f>IF($C69="","",VLOOKUP($C69,AMAPit!$A$10:$BJ$122,W$54,FALSE))</f>
        <v/>
      </c>
      <c r="X69" s="339" t="str">
        <f>IF($C69="","",VLOOKUP($C69,AMAPit!$A$10:$BJ$122,X$54,FALSE))</f>
        <v/>
      </c>
      <c r="Y69" s="340" t="str">
        <f>IF($C69="","",VLOOKUP($C69,AMAPit!$A$10:$BJ$122,Y$54,FALSE))</f>
        <v/>
      </c>
      <c r="Z69" s="345" t="str">
        <f>IF($C69="","",VLOOKUP($C69,AMAPit!$A$10:$BJ$122,Z$54,FALSE))</f>
        <v/>
      </c>
      <c r="AA69" s="339" t="str">
        <f>IF($C69="","",VLOOKUP($C69,AMAPit!$A$10:$BJ$122,AA$54,FALSE))</f>
        <v/>
      </c>
      <c r="AB69" s="73" t="str">
        <f>IF($C69="","",VLOOKUP($C69,AMAPit!$A$10:$BJ$122,AB$54,FALSE))</f>
        <v/>
      </c>
      <c r="AC69" s="60" t="str">
        <f>IF($C69="","",VLOOKUP($C69,AMAPit!$A$10:$BJ$122,AC$54,FALSE))</f>
        <v/>
      </c>
      <c r="AD69" s="339" t="str">
        <f>IF($C69="","",VLOOKUP($C69,AMAPit!$A$10:$BJ$122,AD$54,FALSE))</f>
        <v/>
      </c>
      <c r="AE69" s="339" t="str">
        <f>IF($C69="","",VLOOKUP($C69,AMAPit!$A$10:$BJ$122,AE$54,FALSE))</f>
        <v/>
      </c>
      <c r="AF69" s="340" t="str">
        <f>IF($C69="","",VLOOKUP($C69,AMAPit!$A$10:$BJ$122,AF$54,FALSE))</f>
        <v/>
      </c>
      <c r="AG69" s="60" t="str">
        <f>IF($C69="","",VLOOKUP($C69,AMAPit!$A$10:$BJ$122,AG$54,FALSE))</f>
        <v/>
      </c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</row>
    <row r="70" spans="1:52" x14ac:dyDescent="0.25">
      <c r="A70" s="305">
        <v>3</v>
      </c>
      <c r="B70" s="29" t="s">
        <v>11</v>
      </c>
      <c r="C70" s="58"/>
      <c r="D70" s="30" t="str">
        <f>IF($C70="","",VLOOKUP($C70,AMAPit!$A$10:$BJ$122,D$4-2,FALSE))</f>
        <v/>
      </c>
      <c r="E70" s="30" t="str">
        <f>IF($C70="","",VLOOKUP($C70,AMAPit!$A$10:$BJ$122,E$4-2,FALSE))</f>
        <v/>
      </c>
      <c r="F70" s="345" t="str">
        <f t="shared" si="120"/>
        <v/>
      </c>
      <c r="G70" s="339" t="str">
        <f t="shared" si="121"/>
        <v/>
      </c>
      <c r="H70" s="340" t="str">
        <f t="shared" si="122"/>
        <v/>
      </c>
      <c r="I70" s="92" t="str">
        <f>IF($C70="","",VLOOKUP($C70,AMAPit!$A$10:$BJ$122,I$54,FALSE))</f>
        <v/>
      </c>
      <c r="J70" s="339" t="str">
        <f t="shared" si="123"/>
        <v/>
      </c>
      <c r="K70" s="345" t="str">
        <f>IF($C70="","",VLOOKUP($C70,AMAPit!$A$10:$BJ$122,K$54,FALSE))</f>
        <v/>
      </c>
      <c r="L70" s="339" t="str">
        <f>IF($C70="","",VLOOKUP($C70,AMAPit!$A$10:$BJ$122,L$54,FALSE))</f>
        <v/>
      </c>
      <c r="M70" s="340" t="str">
        <f>IF($C70="","",VLOOKUP($C70,AMAPit!$A$10:$BJ$122,M$54,FALSE))</f>
        <v/>
      </c>
      <c r="N70" s="339" t="str">
        <f>IF($C70="","",VLOOKUP($C70,AMAPit!$A$10:$BJ$122,N$54,FALSE))</f>
        <v/>
      </c>
      <c r="O70" s="339" t="str">
        <f>IF($C70="","",VLOOKUP($C70,AMAPit!$A$10:$BJ$122,O$54,FALSE))</f>
        <v/>
      </c>
      <c r="P70" s="339" t="str">
        <f>IF($C70="","",VLOOKUP($C70,AMAPit!$A$10:$BJ$122,P$54,FALSE))</f>
        <v/>
      </c>
      <c r="Q70" s="339" t="str">
        <f>IF($C70="","",VLOOKUP($C70,AMAPit!$A$10:$BJ$122,Q$54,FALSE))</f>
        <v/>
      </c>
      <c r="R70" s="339" t="str">
        <f>IF($C70="","",VLOOKUP($C70,AMAPit!$A$10:$BJ$122,R$54,FALSE))</f>
        <v/>
      </c>
      <c r="S70" s="339" t="str">
        <f>IF($C70="","",VLOOKUP($C70,AMAPit!$A$10:$BJ$122,S$54,FALSE))</f>
        <v/>
      </c>
      <c r="T70" s="339" t="str">
        <f>IF($C70="","",VLOOKUP($C70,AMAPit!$A$10:$BJ$122,T$54,FALSE))</f>
        <v/>
      </c>
      <c r="U70" s="339" t="str">
        <f>IF($C70="","",VLOOKUP($C70,AMAPit!$A$10:$BJ$122,U$54,FALSE))</f>
        <v/>
      </c>
      <c r="V70" s="339" t="str">
        <f>IF($C70="","",VLOOKUP($C70,AMAPit!$A$10:$BJ$122,V$54,FALSE))</f>
        <v/>
      </c>
      <c r="W70" s="339" t="str">
        <f>IF($C70="","",VLOOKUP($C70,AMAPit!$A$10:$BJ$122,W$54,FALSE))</f>
        <v/>
      </c>
      <c r="X70" s="339" t="str">
        <f>IF($C70="","",VLOOKUP($C70,AMAPit!$A$10:$BJ$122,X$54,FALSE))</f>
        <v/>
      </c>
      <c r="Y70" s="340" t="str">
        <f>IF($C70="","",VLOOKUP($C70,AMAPit!$A$10:$BJ$122,Y$54,FALSE))</f>
        <v/>
      </c>
      <c r="Z70" s="345" t="str">
        <f>IF($C70="","",VLOOKUP($C70,AMAPit!$A$10:$BJ$122,Z$54,FALSE))</f>
        <v/>
      </c>
      <c r="AA70" s="339" t="str">
        <f>IF($C70="","",VLOOKUP($C70,AMAPit!$A$10:$BJ$122,AA$54,FALSE))</f>
        <v/>
      </c>
      <c r="AB70" s="73" t="str">
        <f>IF($C70="","",VLOOKUP($C70,AMAPit!$A$10:$BJ$122,AB$54,FALSE))</f>
        <v/>
      </c>
      <c r="AC70" s="60" t="str">
        <f>IF($C70="","",VLOOKUP($C70,AMAPit!$A$10:$BJ$122,AC$54,FALSE))</f>
        <v/>
      </c>
      <c r="AD70" s="339" t="str">
        <f>IF($C70="","",VLOOKUP($C70,AMAPit!$A$10:$BJ$122,AD$54,FALSE))</f>
        <v/>
      </c>
      <c r="AE70" s="339" t="str">
        <f>IF($C70="","",VLOOKUP($C70,AMAPit!$A$10:$BJ$122,AE$54,FALSE))</f>
        <v/>
      </c>
      <c r="AF70" s="340" t="str">
        <f>IF($C70="","",VLOOKUP($C70,AMAPit!$A$10:$BJ$122,AF$54,FALSE))</f>
        <v/>
      </c>
      <c r="AG70" s="60" t="str">
        <f>IF($C70="","",VLOOKUP($C70,AMAPit!$A$10:$BJ$122,AG$54,FALSE))</f>
        <v/>
      </c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</row>
    <row r="71" spans="1:52" x14ac:dyDescent="0.25">
      <c r="A71" s="305">
        <v>4</v>
      </c>
      <c r="B71" s="29" t="s">
        <v>11</v>
      </c>
      <c r="C71" s="58"/>
      <c r="D71" s="30" t="str">
        <f>IF($C71="","",VLOOKUP($C71,AMAPit!$A$10:$BJ$122,D$4-2,FALSE))</f>
        <v/>
      </c>
      <c r="E71" s="30" t="str">
        <f>IF($C71="","",VLOOKUP($C71,AMAPit!$A$10:$BJ$122,E$4-2,FALSE))</f>
        <v/>
      </c>
      <c r="F71" s="345" t="str">
        <f t="shared" si="120"/>
        <v/>
      </c>
      <c r="G71" s="339" t="str">
        <f t="shared" si="121"/>
        <v/>
      </c>
      <c r="H71" s="340" t="str">
        <f t="shared" si="122"/>
        <v/>
      </c>
      <c r="I71" s="92" t="str">
        <f>IF($C71="","",VLOOKUP($C71,AMAPit!$A$10:$BJ$122,I$54,FALSE))</f>
        <v/>
      </c>
      <c r="J71" s="339" t="str">
        <f t="shared" si="123"/>
        <v/>
      </c>
      <c r="K71" s="345" t="str">
        <f>IF($C71="","",VLOOKUP($C71,AMAPit!$A$10:$BJ$122,K$54,FALSE))</f>
        <v/>
      </c>
      <c r="L71" s="339" t="str">
        <f>IF($C71="","",VLOOKUP($C71,AMAPit!$A$10:$BJ$122,L$54,FALSE))</f>
        <v/>
      </c>
      <c r="M71" s="340" t="str">
        <f>IF($C71="","",VLOOKUP($C71,AMAPit!$A$10:$BJ$122,M$54,FALSE))</f>
        <v/>
      </c>
      <c r="N71" s="339" t="str">
        <f>IF($C71="","",VLOOKUP($C71,AMAPit!$A$10:$BJ$122,N$54,FALSE))</f>
        <v/>
      </c>
      <c r="O71" s="339" t="str">
        <f>IF($C71="","",VLOOKUP($C71,AMAPit!$A$10:$BJ$122,O$54,FALSE))</f>
        <v/>
      </c>
      <c r="P71" s="339" t="str">
        <f>IF($C71="","",VLOOKUP($C71,AMAPit!$A$10:$BJ$122,P$54,FALSE))</f>
        <v/>
      </c>
      <c r="Q71" s="339" t="str">
        <f>IF($C71="","",VLOOKUP($C71,AMAPit!$A$10:$BJ$122,Q$54,FALSE))</f>
        <v/>
      </c>
      <c r="R71" s="339" t="str">
        <f>IF($C71="","",VLOOKUP($C71,AMAPit!$A$10:$BJ$122,R$54,FALSE))</f>
        <v/>
      </c>
      <c r="S71" s="339" t="str">
        <f>IF($C71="","",VLOOKUP($C71,AMAPit!$A$10:$BJ$122,S$54,FALSE))</f>
        <v/>
      </c>
      <c r="T71" s="339" t="str">
        <f>IF($C71="","",VLOOKUP($C71,AMAPit!$A$10:$BJ$122,T$54,FALSE))</f>
        <v/>
      </c>
      <c r="U71" s="339" t="str">
        <f>IF($C71="","",VLOOKUP($C71,AMAPit!$A$10:$BJ$122,U$54,FALSE))</f>
        <v/>
      </c>
      <c r="V71" s="339" t="str">
        <f>IF($C71="","",VLOOKUP($C71,AMAPit!$A$10:$BJ$122,V$54,FALSE))</f>
        <v/>
      </c>
      <c r="W71" s="339" t="str">
        <f>IF($C71="","",VLOOKUP($C71,AMAPit!$A$10:$BJ$122,W$54,FALSE))</f>
        <v/>
      </c>
      <c r="X71" s="339" t="str">
        <f>IF($C71="","",VLOOKUP($C71,AMAPit!$A$10:$BJ$122,X$54,FALSE))</f>
        <v/>
      </c>
      <c r="Y71" s="340" t="str">
        <f>IF($C71="","",VLOOKUP($C71,AMAPit!$A$10:$BJ$122,Y$54,FALSE))</f>
        <v/>
      </c>
      <c r="Z71" s="345" t="str">
        <f>IF($C71="","",VLOOKUP($C71,AMAPit!$A$10:$BJ$122,Z$54,FALSE))</f>
        <v/>
      </c>
      <c r="AA71" s="339" t="str">
        <f>IF($C71="","",VLOOKUP($C71,AMAPit!$A$10:$BJ$122,AA$54,FALSE))</f>
        <v/>
      </c>
      <c r="AB71" s="73" t="str">
        <f>IF($C71="","",VLOOKUP($C71,AMAPit!$A$10:$BJ$122,AB$54,FALSE))</f>
        <v/>
      </c>
      <c r="AC71" s="60" t="str">
        <f>IF($C71="","",VLOOKUP($C71,AMAPit!$A$10:$BJ$122,AC$54,FALSE))</f>
        <v/>
      </c>
      <c r="AD71" s="339" t="str">
        <f>IF($C71="","",VLOOKUP($C71,AMAPit!$A$10:$BJ$122,AD$54,FALSE))</f>
        <v/>
      </c>
      <c r="AE71" s="339" t="str">
        <f>IF($C71="","",VLOOKUP($C71,AMAPit!$A$10:$BJ$122,AE$54,FALSE))</f>
        <v/>
      </c>
      <c r="AF71" s="340" t="str">
        <f>IF($C71="","",VLOOKUP($C71,AMAPit!$A$10:$BJ$122,AF$54,FALSE))</f>
        <v/>
      </c>
      <c r="AG71" s="60" t="str">
        <f>IF($C71="","",VLOOKUP($C71,AMAPit!$A$10:$BJ$122,AG$54,FALSE))</f>
        <v/>
      </c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</row>
    <row r="72" spans="1:52" x14ac:dyDescent="0.25">
      <c r="A72" s="305">
        <v>5</v>
      </c>
      <c r="B72" s="29" t="s">
        <v>11</v>
      </c>
      <c r="C72" s="58"/>
      <c r="D72" s="30" t="str">
        <f>IF($C72="","",VLOOKUP($C72,AMAPit!$A$10:$BJ$122,D$4-2,FALSE))</f>
        <v/>
      </c>
      <c r="E72" s="30" t="str">
        <f>IF($C72="","",VLOOKUP($C72,AMAPit!$A$10:$BJ$122,E$4-2,FALSE))</f>
        <v/>
      </c>
      <c r="F72" s="345" t="str">
        <f t="shared" si="120"/>
        <v/>
      </c>
      <c r="G72" s="339" t="str">
        <f t="shared" si="121"/>
        <v/>
      </c>
      <c r="H72" s="340" t="str">
        <f t="shared" si="122"/>
        <v/>
      </c>
      <c r="I72" s="92" t="str">
        <f>IF($C72="","",VLOOKUP($C72,AMAPit!$A$10:$BJ$122,I$54,FALSE))</f>
        <v/>
      </c>
      <c r="J72" s="339" t="str">
        <f t="shared" si="123"/>
        <v/>
      </c>
      <c r="K72" s="345" t="str">
        <f>IF($C72="","",VLOOKUP($C72,AMAPit!$A$10:$BJ$122,K$54,FALSE))</f>
        <v/>
      </c>
      <c r="L72" s="339" t="str">
        <f>IF($C72="","",VLOOKUP($C72,AMAPit!$A$10:$BJ$122,L$54,FALSE))</f>
        <v/>
      </c>
      <c r="M72" s="340" t="str">
        <f>IF($C72="","",VLOOKUP($C72,AMAPit!$A$10:$BJ$122,M$54,FALSE))</f>
        <v/>
      </c>
      <c r="N72" s="339" t="str">
        <f>IF($C72="","",VLOOKUP($C72,AMAPit!$A$10:$BJ$122,N$54,FALSE))</f>
        <v/>
      </c>
      <c r="O72" s="339" t="str">
        <f>IF($C72="","",VLOOKUP($C72,AMAPit!$A$10:$BJ$122,O$54,FALSE))</f>
        <v/>
      </c>
      <c r="P72" s="339" t="str">
        <f>IF($C72="","",VLOOKUP($C72,AMAPit!$A$10:$BJ$122,P$54,FALSE))</f>
        <v/>
      </c>
      <c r="Q72" s="339" t="str">
        <f>IF($C72="","",VLOOKUP($C72,AMAPit!$A$10:$BJ$122,Q$54,FALSE))</f>
        <v/>
      </c>
      <c r="R72" s="339" t="str">
        <f>IF($C72="","",VLOOKUP($C72,AMAPit!$A$10:$BJ$122,R$54,FALSE))</f>
        <v/>
      </c>
      <c r="S72" s="339" t="str">
        <f>IF($C72="","",VLOOKUP($C72,AMAPit!$A$10:$BJ$122,S$54,FALSE))</f>
        <v/>
      </c>
      <c r="T72" s="339" t="str">
        <f>IF($C72="","",VLOOKUP($C72,AMAPit!$A$10:$BJ$122,T$54,FALSE))</f>
        <v/>
      </c>
      <c r="U72" s="339" t="str">
        <f>IF($C72="","",VLOOKUP($C72,AMAPit!$A$10:$BJ$122,U$54,FALSE))</f>
        <v/>
      </c>
      <c r="V72" s="339" t="str">
        <f>IF($C72="","",VLOOKUP($C72,AMAPit!$A$10:$BJ$122,V$54,FALSE))</f>
        <v/>
      </c>
      <c r="W72" s="339" t="str">
        <f>IF($C72="","",VLOOKUP($C72,AMAPit!$A$10:$BJ$122,W$54,FALSE))</f>
        <v/>
      </c>
      <c r="X72" s="339" t="str">
        <f>IF($C72="","",VLOOKUP($C72,AMAPit!$A$10:$BJ$122,X$54,FALSE))</f>
        <v/>
      </c>
      <c r="Y72" s="340" t="str">
        <f>IF($C72="","",VLOOKUP($C72,AMAPit!$A$10:$BJ$122,Y$54,FALSE))</f>
        <v/>
      </c>
      <c r="Z72" s="345" t="str">
        <f>IF($C72="","",VLOOKUP($C72,AMAPit!$A$10:$BJ$122,Z$54,FALSE))</f>
        <v/>
      </c>
      <c r="AA72" s="339" t="str">
        <f>IF($C72="","",VLOOKUP($C72,AMAPit!$A$10:$BJ$122,AA$54,FALSE))</f>
        <v/>
      </c>
      <c r="AB72" s="73" t="str">
        <f>IF($C72="","",VLOOKUP($C72,AMAPit!$A$10:$BJ$122,AB$54,FALSE))</f>
        <v/>
      </c>
      <c r="AC72" s="60" t="str">
        <f>IF($C72="","",VLOOKUP($C72,AMAPit!$A$10:$BJ$122,AC$54,FALSE))</f>
        <v/>
      </c>
      <c r="AD72" s="339" t="str">
        <f>IF($C72="","",VLOOKUP($C72,AMAPit!$A$10:$BJ$122,AD$54,FALSE))</f>
        <v/>
      </c>
      <c r="AE72" s="339" t="str">
        <f>IF($C72="","",VLOOKUP($C72,AMAPit!$A$10:$BJ$122,AE$54,FALSE))</f>
        <v/>
      </c>
      <c r="AF72" s="340" t="str">
        <f>IF($C72="","",VLOOKUP($C72,AMAPit!$A$10:$BJ$122,AF$54,FALSE))</f>
        <v/>
      </c>
      <c r="AG72" s="60" t="str">
        <f>IF($C72="","",VLOOKUP($C72,AMAPit!$A$10:$BJ$122,AG$54,FALSE))</f>
        <v/>
      </c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</row>
    <row r="73" spans="1:52" x14ac:dyDescent="0.25">
      <c r="A73" s="305">
        <v>6</v>
      </c>
      <c r="B73" s="29" t="s">
        <v>11</v>
      </c>
      <c r="C73" s="58"/>
      <c r="D73" s="30" t="str">
        <f>IF($C73="","",VLOOKUP($C73,AMAPit!$A$10:$BJ$122,D$4-2,FALSE))</f>
        <v/>
      </c>
      <c r="E73" s="30" t="str">
        <f>IF($C73="","",VLOOKUP($C73,AMAPit!$A$10:$BJ$122,E$4-2,FALSE))</f>
        <v/>
      </c>
      <c r="F73" s="345" t="str">
        <f t="shared" si="120"/>
        <v/>
      </c>
      <c r="G73" s="339" t="str">
        <f t="shared" si="121"/>
        <v/>
      </c>
      <c r="H73" s="340" t="str">
        <f t="shared" si="122"/>
        <v/>
      </c>
      <c r="I73" s="92" t="str">
        <f>IF($C73="","",VLOOKUP($C73,AMAPit!$A$10:$BJ$122,I$54,FALSE))</f>
        <v/>
      </c>
      <c r="J73" s="339" t="str">
        <f t="shared" si="123"/>
        <v/>
      </c>
      <c r="K73" s="345" t="str">
        <f>IF($C73="","",VLOOKUP($C73,AMAPit!$A$10:$BJ$122,K$54,FALSE))</f>
        <v/>
      </c>
      <c r="L73" s="339" t="str">
        <f>IF($C73="","",VLOOKUP($C73,AMAPit!$A$10:$BJ$122,L$54,FALSE))</f>
        <v/>
      </c>
      <c r="M73" s="340" t="str">
        <f>IF($C73="","",VLOOKUP($C73,AMAPit!$A$10:$BJ$122,M$54,FALSE))</f>
        <v/>
      </c>
      <c r="N73" s="339" t="str">
        <f>IF($C73="","",VLOOKUP($C73,AMAPit!$A$10:$BJ$122,N$54,FALSE))</f>
        <v/>
      </c>
      <c r="O73" s="339" t="str">
        <f>IF($C73="","",VLOOKUP($C73,AMAPit!$A$10:$BJ$122,O$54,FALSE))</f>
        <v/>
      </c>
      <c r="P73" s="339" t="str">
        <f>IF($C73="","",VLOOKUP($C73,AMAPit!$A$10:$BJ$122,P$54,FALSE))</f>
        <v/>
      </c>
      <c r="Q73" s="339" t="str">
        <f>IF($C73="","",VLOOKUP($C73,AMAPit!$A$10:$BJ$122,Q$54,FALSE))</f>
        <v/>
      </c>
      <c r="R73" s="339" t="str">
        <f>IF($C73="","",VLOOKUP($C73,AMAPit!$A$10:$BJ$122,R$54,FALSE))</f>
        <v/>
      </c>
      <c r="S73" s="339" t="str">
        <f>IF($C73="","",VLOOKUP($C73,AMAPit!$A$10:$BJ$122,S$54,FALSE))</f>
        <v/>
      </c>
      <c r="T73" s="339" t="str">
        <f>IF($C73="","",VLOOKUP($C73,AMAPit!$A$10:$BJ$122,T$54,FALSE))</f>
        <v/>
      </c>
      <c r="U73" s="339" t="str">
        <f>IF($C73="","",VLOOKUP($C73,AMAPit!$A$10:$BJ$122,U$54,FALSE))</f>
        <v/>
      </c>
      <c r="V73" s="339" t="str">
        <f>IF($C73="","",VLOOKUP($C73,AMAPit!$A$10:$BJ$122,V$54,FALSE))</f>
        <v/>
      </c>
      <c r="W73" s="339" t="str">
        <f>IF($C73="","",VLOOKUP($C73,AMAPit!$A$10:$BJ$122,W$54,FALSE))</f>
        <v/>
      </c>
      <c r="X73" s="339" t="str">
        <f>IF($C73="","",VLOOKUP($C73,AMAPit!$A$10:$BJ$122,X$54,FALSE))</f>
        <v/>
      </c>
      <c r="Y73" s="340" t="str">
        <f>IF($C73="","",VLOOKUP($C73,AMAPit!$A$10:$BJ$122,Y$54,FALSE))</f>
        <v/>
      </c>
      <c r="Z73" s="345" t="str">
        <f>IF($C73="","",VLOOKUP($C73,AMAPit!$A$10:$BJ$122,Z$54,FALSE))</f>
        <v/>
      </c>
      <c r="AA73" s="339" t="str">
        <f>IF($C73="","",VLOOKUP($C73,AMAPit!$A$10:$BJ$122,AA$54,FALSE))</f>
        <v/>
      </c>
      <c r="AB73" s="73" t="str">
        <f>IF($C73="","",VLOOKUP($C73,AMAPit!$A$10:$BJ$122,AB$54,FALSE))</f>
        <v/>
      </c>
      <c r="AC73" s="60" t="str">
        <f>IF($C73="","",VLOOKUP($C73,AMAPit!$A$10:$BJ$122,AC$54,FALSE))</f>
        <v/>
      </c>
      <c r="AD73" s="339" t="str">
        <f>IF($C73="","",VLOOKUP($C73,AMAPit!$A$10:$BJ$122,AD$54,FALSE))</f>
        <v/>
      </c>
      <c r="AE73" s="339" t="str">
        <f>IF($C73="","",VLOOKUP($C73,AMAPit!$A$10:$BJ$122,AE$54,FALSE))</f>
        <v/>
      </c>
      <c r="AF73" s="340" t="str">
        <f>IF($C73="","",VLOOKUP($C73,AMAPit!$A$10:$BJ$122,AF$54,FALSE))</f>
        <v/>
      </c>
      <c r="AG73" s="60" t="str">
        <f>IF($C73="","",VLOOKUP($C73,AMAPit!$A$10:$BJ$122,AG$54,FALSE))</f>
        <v/>
      </c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</row>
    <row r="74" spans="1:52" x14ac:dyDescent="0.25">
      <c r="A74" s="305">
        <v>7</v>
      </c>
      <c r="B74" s="29" t="s">
        <v>11</v>
      </c>
      <c r="C74" s="58"/>
      <c r="D74" s="30" t="str">
        <f>IF($C74="","",VLOOKUP($C74,AMAPit!$A$10:$BJ$122,D$4-2,FALSE))</f>
        <v/>
      </c>
      <c r="E74" s="30" t="str">
        <f>IF($C74="","",VLOOKUP($C74,AMAPit!$A$10:$BJ$122,E$4-2,FALSE))</f>
        <v/>
      </c>
      <c r="F74" s="345" t="str">
        <f t="shared" si="120"/>
        <v/>
      </c>
      <c r="G74" s="339" t="str">
        <f t="shared" si="121"/>
        <v/>
      </c>
      <c r="H74" s="340" t="str">
        <f t="shared" si="122"/>
        <v/>
      </c>
      <c r="I74" s="92" t="str">
        <f>IF($C74="","",VLOOKUP($C74,AMAPit!$A$10:$BJ$122,I$54,FALSE))</f>
        <v/>
      </c>
      <c r="J74" s="339" t="str">
        <f t="shared" si="123"/>
        <v/>
      </c>
      <c r="K74" s="345" t="str">
        <f>IF($C74="","",VLOOKUP($C74,AMAPit!$A$10:$BJ$122,K$54,FALSE))</f>
        <v/>
      </c>
      <c r="L74" s="339" t="str">
        <f>IF($C74="","",VLOOKUP($C74,AMAPit!$A$10:$BJ$122,L$54,FALSE))</f>
        <v/>
      </c>
      <c r="M74" s="340" t="str">
        <f>IF($C74="","",VLOOKUP($C74,AMAPit!$A$10:$BJ$122,M$54,FALSE))</f>
        <v/>
      </c>
      <c r="N74" s="339" t="str">
        <f>IF($C74="","",VLOOKUP($C74,AMAPit!$A$10:$BJ$122,N$54,FALSE))</f>
        <v/>
      </c>
      <c r="O74" s="339" t="str">
        <f>IF($C74="","",VLOOKUP($C74,AMAPit!$A$10:$BJ$122,O$54,FALSE))</f>
        <v/>
      </c>
      <c r="P74" s="339" t="str">
        <f>IF($C74="","",VLOOKUP($C74,AMAPit!$A$10:$BJ$122,P$54,FALSE))</f>
        <v/>
      </c>
      <c r="Q74" s="339" t="str">
        <f>IF($C74="","",VLOOKUP($C74,AMAPit!$A$10:$BJ$122,Q$54,FALSE))</f>
        <v/>
      </c>
      <c r="R74" s="339" t="str">
        <f>IF($C74="","",VLOOKUP($C74,AMAPit!$A$10:$BJ$122,R$54,FALSE))</f>
        <v/>
      </c>
      <c r="S74" s="339" t="str">
        <f>IF($C74="","",VLOOKUP($C74,AMAPit!$A$10:$BJ$122,S$54,FALSE))</f>
        <v/>
      </c>
      <c r="T74" s="339" t="str">
        <f>IF($C74="","",VLOOKUP($C74,AMAPit!$A$10:$BJ$122,T$54,FALSE))</f>
        <v/>
      </c>
      <c r="U74" s="339" t="str">
        <f>IF($C74="","",VLOOKUP($C74,AMAPit!$A$10:$BJ$122,U$54,FALSE))</f>
        <v/>
      </c>
      <c r="V74" s="339" t="str">
        <f>IF($C74="","",VLOOKUP($C74,AMAPit!$A$10:$BJ$122,V$54,FALSE))</f>
        <v/>
      </c>
      <c r="W74" s="339" t="str">
        <f>IF($C74="","",VLOOKUP($C74,AMAPit!$A$10:$BJ$122,W$54,FALSE))</f>
        <v/>
      </c>
      <c r="X74" s="339" t="str">
        <f>IF($C74="","",VLOOKUP($C74,AMAPit!$A$10:$BJ$122,X$54,FALSE))</f>
        <v/>
      </c>
      <c r="Y74" s="340" t="str">
        <f>IF($C74="","",VLOOKUP($C74,AMAPit!$A$10:$BJ$122,Y$54,FALSE))</f>
        <v/>
      </c>
      <c r="Z74" s="345" t="str">
        <f>IF($C74="","",VLOOKUP($C74,AMAPit!$A$10:$BJ$122,Z$54,FALSE))</f>
        <v/>
      </c>
      <c r="AA74" s="339" t="str">
        <f>IF($C74="","",VLOOKUP($C74,AMAPit!$A$10:$BJ$122,AA$54,FALSE))</f>
        <v/>
      </c>
      <c r="AB74" s="73" t="str">
        <f>IF($C74="","",VLOOKUP($C74,AMAPit!$A$10:$BJ$122,AB$54,FALSE))</f>
        <v/>
      </c>
      <c r="AC74" s="60" t="str">
        <f>IF($C74="","",VLOOKUP($C74,AMAPit!$A$10:$BJ$122,AC$54,FALSE))</f>
        <v/>
      </c>
      <c r="AD74" s="339" t="str">
        <f>IF($C74="","",VLOOKUP($C74,AMAPit!$A$10:$BJ$122,AD$54,FALSE))</f>
        <v/>
      </c>
      <c r="AE74" s="339" t="str">
        <f>IF($C74="","",VLOOKUP($C74,AMAPit!$A$10:$BJ$122,AE$54,FALSE))</f>
        <v/>
      </c>
      <c r="AF74" s="340" t="str">
        <f>IF($C74="","",VLOOKUP($C74,AMAPit!$A$10:$BJ$122,AF$54,FALSE))</f>
        <v/>
      </c>
      <c r="AG74" s="60" t="str">
        <f>IF($C74="","",VLOOKUP($C74,AMAPit!$A$10:$BJ$122,AG$54,FALSE))</f>
        <v/>
      </c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</row>
    <row r="75" spans="1:52" x14ac:dyDescent="0.25">
      <c r="A75" s="305">
        <v>8</v>
      </c>
      <c r="B75" s="29" t="s">
        <v>11</v>
      </c>
      <c r="C75" s="58"/>
      <c r="D75" s="30" t="str">
        <f>IF($C75="","",VLOOKUP($C75,AMAPit!$A$10:$BJ$122,D$4-2,FALSE))</f>
        <v/>
      </c>
      <c r="E75" s="30" t="str">
        <f>IF($C75="","",VLOOKUP($C75,AMAPit!$A$10:$BJ$122,E$4-2,FALSE))</f>
        <v/>
      </c>
      <c r="F75" s="345" t="str">
        <f t="shared" si="120"/>
        <v/>
      </c>
      <c r="G75" s="339" t="str">
        <f t="shared" si="121"/>
        <v/>
      </c>
      <c r="H75" s="340" t="str">
        <f t="shared" si="122"/>
        <v/>
      </c>
      <c r="I75" s="92" t="str">
        <f>IF($C75="","",VLOOKUP($C75,AMAPit!$A$10:$BJ$122,I$54,FALSE))</f>
        <v/>
      </c>
      <c r="J75" s="339" t="str">
        <f t="shared" si="123"/>
        <v/>
      </c>
      <c r="K75" s="345" t="str">
        <f>IF($C75="","",VLOOKUP($C75,AMAPit!$A$10:$BJ$122,K$54,FALSE))</f>
        <v/>
      </c>
      <c r="L75" s="339" t="str">
        <f>IF($C75="","",VLOOKUP($C75,AMAPit!$A$10:$BJ$122,L$54,FALSE))</f>
        <v/>
      </c>
      <c r="M75" s="340" t="str">
        <f>IF($C75="","",VLOOKUP($C75,AMAPit!$A$10:$BJ$122,M$54,FALSE))</f>
        <v/>
      </c>
      <c r="N75" s="339" t="str">
        <f>IF($C75="","",VLOOKUP($C75,AMAPit!$A$10:$BJ$122,N$54,FALSE))</f>
        <v/>
      </c>
      <c r="O75" s="339" t="str">
        <f>IF($C75="","",VLOOKUP($C75,AMAPit!$A$10:$BJ$122,O$54,FALSE))</f>
        <v/>
      </c>
      <c r="P75" s="339" t="str">
        <f>IF($C75="","",VLOOKUP($C75,AMAPit!$A$10:$BJ$122,P$54,FALSE))</f>
        <v/>
      </c>
      <c r="Q75" s="339" t="str">
        <f>IF($C75="","",VLOOKUP($C75,AMAPit!$A$10:$BJ$122,Q$54,FALSE))</f>
        <v/>
      </c>
      <c r="R75" s="339" t="str">
        <f>IF($C75="","",VLOOKUP($C75,AMAPit!$A$10:$BJ$122,R$54,FALSE))</f>
        <v/>
      </c>
      <c r="S75" s="339" t="str">
        <f>IF($C75="","",VLOOKUP($C75,AMAPit!$A$10:$BJ$122,S$54,FALSE))</f>
        <v/>
      </c>
      <c r="T75" s="339" t="str">
        <f>IF($C75="","",VLOOKUP($C75,AMAPit!$A$10:$BJ$122,T$54,FALSE))</f>
        <v/>
      </c>
      <c r="U75" s="339" t="str">
        <f>IF($C75="","",VLOOKUP($C75,AMAPit!$A$10:$BJ$122,U$54,FALSE))</f>
        <v/>
      </c>
      <c r="V75" s="339" t="str">
        <f>IF($C75="","",VLOOKUP($C75,AMAPit!$A$10:$BJ$122,V$54,FALSE))</f>
        <v/>
      </c>
      <c r="W75" s="339" t="str">
        <f>IF($C75="","",VLOOKUP($C75,AMAPit!$A$10:$BJ$122,W$54,FALSE))</f>
        <v/>
      </c>
      <c r="X75" s="339" t="str">
        <f>IF($C75="","",VLOOKUP($C75,AMAPit!$A$10:$BJ$122,X$54,FALSE))</f>
        <v/>
      </c>
      <c r="Y75" s="340" t="str">
        <f>IF($C75="","",VLOOKUP($C75,AMAPit!$A$10:$BJ$122,Y$54,FALSE))</f>
        <v/>
      </c>
      <c r="Z75" s="345" t="str">
        <f>IF($C75="","",VLOOKUP($C75,AMAPit!$A$10:$BJ$122,Z$54,FALSE))</f>
        <v/>
      </c>
      <c r="AA75" s="339" t="str">
        <f>IF($C75="","",VLOOKUP($C75,AMAPit!$A$10:$BJ$122,AA$54,FALSE))</f>
        <v/>
      </c>
      <c r="AB75" s="73" t="str">
        <f>IF($C75="","",VLOOKUP($C75,AMAPit!$A$10:$BJ$122,AB$54,FALSE))</f>
        <v/>
      </c>
      <c r="AC75" s="60" t="str">
        <f>IF($C75="","",VLOOKUP($C75,AMAPit!$A$10:$BJ$122,AC$54,FALSE))</f>
        <v/>
      </c>
      <c r="AD75" s="339" t="str">
        <f>IF($C75="","",VLOOKUP($C75,AMAPit!$A$10:$BJ$122,AD$54,FALSE))</f>
        <v/>
      </c>
      <c r="AE75" s="339" t="str">
        <f>IF($C75="","",VLOOKUP($C75,AMAPit!$A$10:$BJ$122,AE$54,FALSE))</f>
        <v/>
      </c>
      <c r="AF75" s="340" t="str">
        <f>IF($C75="","",VLOOKUP($C75,AMAPit!$A$10:$BJ$122,AF$54,FALSE))</f>
        <v/>
      </c>
      <c r="AG75" s="60" t="str">
        <f>IF($C75="","",VLOOKUP($C75,AMAPit!$A$10:$BJ$122,AG$54,FALSE))</f>
        <v/>
      </c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</row>
    <row r="76" spans="1:52" x14ac:dyDescent="0.25">
      <c r="A76" s="305">
        <v>9</v>
      </c>
      <c r="B76" s="29" t="s">
        <v>11</v>
      </c>
      <c r="C76" s="58"/>
      <c r="D76" s="30" t="str">
        <f>IF($C76="","",VLOOKUP($C76,AMAPit!$A$10:$BJ$122,D$4-2,FALSE))</f>
        <v/>
      </c>
      <c r="E76" s="30" t="str">
        <f>IF($C76="","",VLOOKUP($C76,AMAPit!$A$10:$BJ$122,E$4-2,FALSE))</f>
        <v/>
      </c>
      <c r="F76" s="345" t="str">
        <f t="shared" si="120"/>
        <v/>
      </c>
      <c r="G76" s="339" t="str">
        <f t="shared" si="121"/>
        <v/>
      </c>
      <c r="H76" s="340" t="str">
        <f t="shared" si="122"/>
        <v/>
      </c>
      <c r="I76" s="92" t="str">
        <f>IF($C76="","",VLOOKUP($C76,AMAPit!$A$10:$BJ$122,I$54,FALSE))</f>
        <v/>
      </c>
      <c r="J76" s="339" t="str">
        <f t="shared" si="123"/>
        <v/>
      </c>
      <c r="K76" s="345" t="str">
        <f>IF($C76="","",VLOOKUP($C76,AMAPit!$A$10:$BJ$122,K$54,FALSE))</f>
        <v/>
      </c>
      <c r="L76" s="339" t="str">
        <f>IF($C76="","",VLOOKUP($C76,AMAPit!$A$10:$BJ$122,L$54,FALSE))</f>
        <v/>
      </c>
      <c r="M76" s="340" t="str">
        <f>IF($C76="","",VLOOKUP($C76,AMAPit!$A$10:$BJ$122,M$54,FALSE))</f>
        <v/>
      </c>
      <c r="N76" s="339" t="str">
        <f>IF($C76="","",VLOOKUP($C76,AMAPit!$A$10:$BJ$122,N$54,FALSE))</f>
        <v/>
      </c>
      <c r="O76" s="339" t="str">
        <f>IF($C76="","",VLOOKUP($C76,AMAPit!$A$10:$BJ$122,O$54,FALSE))</f>
        <v/>
      </c>
      <c r="P76" s="339" t="str">
        <f>IF($C76="","",VLOOKUP($C76,AMAPit!$A$10:$BJ$122,P$54,FALSE))</f>
        <v/>
      </c>
      <c r="Q76" s="339" t="str">
        <f>IF($C76="","",VLOOKUP($C76,AMAPit!$A$10:$BJ$122,Q$54,FALSE))</f>
        <v/>
      </c>
      <c r="R76" s="339" t="str">
        <f>IF($C76="","",VLOOKUP($C76,AMAPit!$A$10:$BJ$122,R$54,FALSE))</f>
        <v/>
      </c>
      <c r="S76" s="339" t="str">
        <f>IF($C76="","",VLOOKUP($C76,AMAPit!$A$10:$BJ$122,S$54,FALSE))</f>
        <v/>
      </c>
      <c r="T76" s="339" t="str">
        <f>IF($C76="","",VLOOKUP($C76,AMAPit!$A$10:$BJ$122,T$54,FALSE))</f>
        <v/>
      </c>
      <c r="U76" s="339" t="str">
        <f>IF($C76="","",VLOOKUP($C76,AMAPit!$A$10:$BJ$122,U$54,FALSE))</f>
        <v/>
      </c>
      <c r="V76" s="339" t="str">
        <f>IF($C76="","",VLOOKUP($C76,AMAPit!$A$10:$BJ$122,V$54,FALSE))</f>
        <v/>
      </c>
      <c r="W76" s="339" t="str">
        <f>IF($C76="","",VLOOKUP($C76,AMAPit!$A$10:$BJ$122,W$54,FALSE))</f>
        <v/>
      </c>
      <c r="X76" s="339" t="str">
        <f>IF($C76="","",VLOOKUP($C76,AMAPit!$A$10:$BJ$122,X$54,FALSE))</f>
        <v/>
      </c>
      <c r="Y76" s="340" t="str">
        <f>IF($C76="","",VLOOKUP($C76,AMAPit!$A$10:$BJ$122,Y$54,FALSE))</f>
        <v/>
      </c>
      <c r="Z76" s="345" t="str">
        <f>IF($C76="","",VLOOKUP($C76,AMAPit!$A$10:$BJ$122,Z$54,FALSE))</f>
        <v/>
      </c>
      <c r="AA76" s="339" t="str">
        <f>IF($C76="","",VLOOKUP($C76,AMAPit!$A$10:$BJ$122,AA$54,FALSE))</f>
        <v/>
      </c>
      <c r="AB76" s="73" t="str">
        <f>IF($C76="","",VLOOKUP($C76,AMAPit!$A$10:$BJ$122,AB$54,FALSE))</f>
        <v/>
      </c>
      <c r="AC76" s="60" t="str">
        <f>IF($C76="","",VLOOKUP($C76,AMAPit!$A$10:$BJ$122,AC$54,FALSE))</f>
        <v/>
      </c>
      <c r="AD76" s="339" t="str">
        <f>IF($C76="","",VLOOKUP($C76,AMAPit!$A$10:$BJ$122,AD$54,FALSE))</f>
        <v/>
      </c>
      <c r="AE76" s="339" t="str">
        <f>IF($C76="","",VLOOKUP($C76,AMAPit!$A$10:$BJ$122,AE$54,FALSE))</f>
        <v/>
      </c>
      <c r="AF76" s="340" t="str">
        <f>IF($C76="","",VLOOKUP($C76,AMAPit!$A$10:$BJ$122,AF$54,FALSE))</f>
        <v/>
      </c>
      <c r="AG76" s="60" t="str">
        <f>IF($C76="","",VLOOKUP($C76,AMAPit!$A$10:$BJ$122,AG$54,FALSE))</f>
        <v/>
      </c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</row>
    <row r="77" spans="1:52" x14ac:dyDescent="0.25">
      <c r="A77" s="305">
        <v>10</v>
      </c>
      <c r="B77" s="32" t="s">
        <v>11</v>
      </c>
      <c r="C77" s="33"/>
      <c r="D77" s="33" t="str">
        <f>IF($C77="","",VLOOKUP($C77,AMAPit!$A$10:$BJ$122,D$4-2,FALSE))</f>
        <v/>
      </c>
      <c r="E77" s="33" t="str">
        <f>IF($C77="","",VLOOKUP($C77,AMAPit!$A$10:$BJ$122,E$4-2,FALSE))</f>
        <v/>
      </c>
      <c r="F77" s="47" t="str">
        <f t="shared" si="120"/>
        <v/>
      </c>
      <c r="G77" s="337" t="str">
        <f t="shared" si="121"/>
        <v/>
      </c>
      <c r="H77" s="338" t="str">
        <f t="shared" si="122"/>
        <v/>
      </c>
      <c r="I77" s="93" t="str">
        <f>IF($C77="","",VLOOKUP($C77,AMAPit!$A$10:$BJ$122,I$54,FALSE))</f>
        <v/>
      </c>
      <c r="J77" s="337" t="str">
        <f t="shared" si="123"/>
        <v/>
      </c>
      <c r="K77" s="47" t="str">
        <f>IF($C77="","",VLOOKUP($C77,AMAPit!$A$10:$BJ$122,K$54,FALSE))</f>
        <v/>
      </c>
      <c r="L77" s="337" t="str">
        <f>IF($C77="","",VLOOKUP($C77,AMAPit!$A$10:$BJ$122,L$54,FALSE))</f>
        <v/>
      </c>
      <c r="M77" s="338" t="str">
        <f>IF($C77="","",VLOOKUP($C77,AMAPit!$A$10:$BJ$122,M$54,FALSE))</f>
        <v/>
      </c>
      <c r="N77" s="337" t="str">
        <f>IF($C77="","",VLOOKUP($C77,AMAPit!$A$10:$BJ$122,N$54,FALSE))</f>
        <v/>
      </c>
      <c r="O77" s="337" t="str">
        <f>IF($C77="","",VLOOKUP($C77,AMAPit!$A$10:$BJ$122,O$54,FALSE))</f>
        <v/>
      </c>
      <c r="P77" s="337" t="str">
        <f>IF($C77="","",VLOOKUP($C77,AMAPit!$A$10:$BJ$122,P$54,FALSE))</f>
        <v/>
      </c>
      <c r="Q77" s="337" t="str">
        <f>IF($C77="","",VLOOKUP($C77,AMAPit!$A$10:$BJ$122,Q$54,FALSE))</f>
        <v/>
      </c>
      <c r="R77" s="337" t="str">
        <f>IF($C77="","",VLOOKUP($C77,AMAPit!$A$10:$BJ$122,R$54,FALSE))</f>
        <v/>
      </c>
      <c r="S77" s="337" t="str">
        <f>IF($C77="","",VLOOKUP($C77,AMAPit!$A$10:$BJ$122,S$54,FALSE))</f>
        <v/>
      </c>
      <c r="T77" s="337" t="str">
        <f>IF($C77="","",VLOOKUP($C77,AMAPit!$A$10:$BJ$122,T$54,FALSE))</f>
        <v/>
      </c>
      <c r="U77" s="337" t="str">
        <f>IF($C77="","",VLOOKUP($C77,AMAPit!$A$10:$BJ$122,U$54,FALSE))</f>
        <v/>
      </c>
      <c r="V77" s="337" t="str">
        <f>IF($C77="","",VLOOKUP($C77,AMAPit!$A$10:$BJ$122,V$54,FALSE))</f>
        <v/>
      </c>
      <c r="W77" s="337" t="str">
        <f>IF($C77="","",VLOOKUP($C77,AMAPit!$A$10:$BJ$122,W$54,FALSE))</f>
        <v/>
      </c>
      <c r="X77" s="337" t="str">
        <f>IF($C77="","",VLOOKUP($C77,AMAPit!$A$10:$BJ$122,X$54,FALSE))</f>
        <v/>
      </c>
      <c r="Y77" s="338" t="str">
        <f>IF($C77="","",VLOOKUP($C77,AMAPit!$A$10:$BJ$122,Y$54,FALSE))</f>
        <v/>
      </c>
      <c r="Z77" s="47" t="str">
        <f>IF($C77="","",VLOOKUP($C77,AMAPit!$A$10:$BJ$122,Z$54,FALSE))</f>
        <v/>
      </c>
      <c r="AA77" s="337" t="str">
        <f>IF($C77="","",VLOOKUP($C77,AMAPit!$A$10:$BJ$122,AA$54,FALSE))</f>
        <v/>
      </c>
      <c r="AB77" s="74" t="str">
        <f>IF($C77="","",VLOOKUP($C77,AMAPit!$A$10:$BJ$122,AB$54,FALSE))</f>
        <v/>
      </c>
      <c r="AC77" s="61" t="str">
        <f>IF($C77="","",VLOOKUP($C77,AMAPit!$A$10:$BJ$122,AC$54,FALSE))</f>
        <v/>
      </c>
      <c r="AD77" s="337" t="str">
        <f>IF($C77="","",VLOOKUP($C77,AMAPit!$A$10:$BJ$122,AD$54,FALSE))</f>
        <v/>
      </c>
      <c r="AE77" s="337" t="str">
        <f>IF($C77="","",VLOOKUP($C77,AMAPit!$A$10:$BJ$122,AE$54,FALSE))</f>
        <v/>
      </c>
      <c r="AF77" s="338" t="str">
        <f>IF($C77="","",VLOOKUP($C77,AMAPit!$A$10:$BJ$122,AF$54,FALSE))</f>
        <v/>
      </c>
      <c r="AG77" s="61" t="str">
        <f>IF($C77="","",VLOOKUP($C77,AMAPit!$A$10:$BJ$122,AG$54,FALSE))</f>
        <v/>
      </c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</row>
  </sheetData>
  <mergeCells count="22">
    <mergeCell ref="AH48:AT48"/>
    <mergeCell ref="AH49:AT49"/>
    <mergeCell ref="AH50:AT50"/>
    <mergeCell ref="AH51:AT51"/>
    <mergeCell ref="AG29:AT29"/>
    <mergeCell ref="AH30:AT30"/>
    <mergeCell ref="AH31:AT31"/>
    <mergeCell ref="AH32:AT32"/>
    <mergeCell ref="AH33:AT33"/>
    <mergeCell ref="AH34:AT34"/>
    <mergeCell ref="AH35:AT35"/>
    <mergeCell ref="AG41:AT41"/>
    <mergeCell ref="AH42:AT42"/>
    <mergeCell ref="AH43:AT43"/>
    <mergeCell ref="AH44:AT44"/>
    <mergeCell ref="AH45:AT45"/>
    <mergeCell ref="AH46:AT46"/>
    <mergeCell ref="AH47:AT47"/>
    <mergeCell ref="AH36:AT36"/>
    <mergeCell ref="AH37:AT37"/>
    <mergeCell ref="AH38:AT38"/>
    <mergeCell ref="AH39:AT39"/>
  </mergeCells>
  <conditionalFormatting sqref="G16">
    <cfRule type="expression" dxfId="31" priority="15">
      <formula>IF(SUM(G17:G22)&gt;1,1,0)</formula>
    </cfRule>
  </conditionalFormatting>
  <conditionalFormatting sqref="H16">
    <cfRule type="expression" dxfId="30" priority="14">
      <formula>IF(SUM(H17:H22)&gt;1,1,0)</formula>
    </cfRule>
  </conditionalFormatting>
  <conditionalFormatting sqref="F16">
    <cfRule type="expression" dxfId="29" priority="13">
      <formula>IF(SUM(F17:F22)&gt;1,1,0)</formula>
    </cfRule>
  </conditionalFormatting>
  <conditionalFormatting sqref="I5">
    <cfRule type="expression" dxfId="28" priority="12">
      <formula>-IF(SUM(I6:I14)&gt;1,1,0)</formula>
    </cfRule>
  </conditionalFormatting>
  <conditionalFormatting sqref="H5">
    <cfRule type="expression" dxfId="27" priority="11">
      <formula>-IF(SUM(H6:H14)&gt;1,1,0)</formula>
    </cfRule>
  </conditionalFormatting>
  <conditionalFormatting sqref="F24">
    <cfRule type="expression" dxfId="26" priority="10">
      <formula>IF(SUM($F$22:$F$24)&gt;1,1,0)</formula>
    </cfRule>
  </conditionalFormatting>
  <conditionalFormatting sqref="C25:C27 C17:C22 C6:C14">
    <cfRule type="expression" dxfId="25" priority="5">
      <formula>IF($AK6&lt;4.5,1,0)</formula>
    </cfRule>
    <cfRule type="expression" dxfId="24" priority="6">
      <formula>IF($AK6&gt;7,1,0)</formula>
    </cfRule>
  </conditionalFormatting>
  <conditionalFormatting sqref="C18">
    <cfRule type="expression" dxfId="23" priority="3">
      <formula>IF($AK18&lt;4.5,1,0)</formula>
    </cfRule>
    <cfRule type="expression" dxfId="22" priority="4">
      <formula>IF($AK18&gt;7,1,0)</formula>
    </cfRule>
  </conditionalFormatting>
  <conditionalFormatting sqref="F5">
    <cfRule type="expression" dxfId="21" priority="2">
      <formula>IF(SUM(F6:F14)&gt;1,1,0)</formula>
    </cfRule>
  </conditionalFormatting>
  <conditionalFormatting sqref="G5">
    <cfRule type="expression" dxfId="20" priority="1">
      <formula>IF(SUM(G6:G14)&gt;1,1,0)</formula>
    </cfRule>
  </conditionalFormatting>
  <conditionalFormatting sqref="F55">
    <cfRule type="expression" dxfId="19" priority="9">
      <formula>IF(SUM($F$53:$F$58)&gt;1,1,0)</formula>
    </cfRule>
  </conditionalFormatting>
  <conditionalFormatting sqref="H55">
    <cfRule type="expression" dxfId="18" priority="8">
      <formula>IF(SUM($H$53:$H$58)&gt;3,1,0)</formula>
    </cfRule>
  </conditionalFormatting>
  <conditionalFormatting sqref="G55">
    <cfRule type="expression" dxfId="17" priority="7">
      <formula>IF(SUM($G$53:$G$58)&gt;2,1,0)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E4B2-7402-48C9-8A6C-B7D54110C617}">
  <sheetPr published="0">
    <tabColor theme="9" tint="-0.249977111117893"/>
  </sheetPr>
  <dimension ref="A1:AZ77"/>
  <sheetViews>
    <sheetView zoomScale="85" zoomScaleNormal="85" workbookViewId="0">
      <pane ySplit="3" topLeftCell="A53" activePane="bottomLeft" state="frozenSplit"/>
      <selection pane="bottomLeft" activeCell="AM63" sqref="AM63"/>
    </sheetView>
  </sheetViews>
  <sheetFormatPr defaultColWidth="9.140625" defaultRowHeight="15" x14ac:dyDescent="0.25"/>
  <cols>
    <col min="1" max="1" width="3.140625" style="305" customWidth="1"/>
    <col min="2" max="2" width="10.7109375" style="1" bestFit="1" customWidth="1"/>
    <col min="3" max="3" width="20" style="19" bestFit="1" customWidth="1"/>
    <col min="4" max="4" width="4.5703125" style="19" customWidth="1"/>
    <col min="5" max="5" width="4.42578125" style="19" customWidth="1"/>
    <col min="6" max="6" width="4.42578125" style="305" bestFit="1" customWidth="1"/>
    <col min="7" max="7" width="3.7109375" style="305" bestFit="1" customWidth="1"/>
    <col min="8" max="8" width="4.7109375" style="305" bestFit="1" customWidth="1"/>
    <col min="9" max="9" width="4.28515625" style="305" customWidth="1"/>
    <col min="10" max="12" width="3.7109375" style="305" customWidth="1"/>
    <col min="13" max="16" width="3.7109375" style="305" bestFit="1" customWidth="1"/>
    <col min="17" max="17" width="4.28515625" style="305" bestFit="1" customWidth="1"/>
    <col min="18" max="18" width="4.7109375" style="305" bestFit="1" customWidth="1"/>
    <col min="19" max="21" width="3.7109375" style="305" bestFit="1" customWidth="1"/>
    <col min="22" max="22" width="4.28515625" style="305" bestFit="1" customWidth="1"/>
    <col min="23" max="23" width="4.7109375" style="305" bestFit="1" customWidth="1"/>
    <col min="24" max="24" width="4.28515625" style="305" customWidth="1"/>
    <col min="25" max="25" width="4.28515625" style="305" bestFit="1" customWidth="1"/>
    <col min="26" max="26" width="11.42578125" style="305" bestFit="1" customWidth="1"/>
    <col min="27" max="27" width="4.28515625" style="305" bestFit="1" customWidth="1"/>
    <col min="28" max="29" width="4.7109375" style="305" bestFit="1" customWidth="1"/>
    <col min="30" max="32" width="4.28515625" style="305" bestFit="1" customWidth="1"/>
    <col min="33" max="33" width="6.28515625" style="305" customWidth="1"/>
    <col min="34" max="36" width="3.7109375" style="305" bestFit="1" customWidth="1"/>
    <col min="37" max="37" width="4.5703125" style="305" bestFit="1" customWidth="1"/>
    <col min="38" max="51" width="3.7109375" style="305" bestFit="1" customWidth="1"/>
    <col min="52" max="52" width="4.5703125" style="305" bestFit="1" customWidth="1"/>
    <col min="53" max="16384" width="9.140625" style="305"/>
  </cols>
  <sheetData>
    <row r="1" spans="1:52" x14ac:dyDescent="0.25">
      <c r="C1" s="253" t="s">
        <v>355</v>
      </c>
      <c r="D1" s="253" t="s">
        <v>356</v>
      </c>
    </row>
    <row r="2" spans="1:52" x14ac:dyDescent="0.25">
      <c r="B2" s="253" t="s">
        <v>357</v>
      </c>
      <c r="C2" s="254">
        <v>3.5</v>
      </c>
      <c r="D2" s="254">
        <v>1</v>
      </c>
    </row>
    <row r="3" spans="1:52" x14ac:dyDescent="0.25">
      <c r="B3" s="253" t="s">
        <v>358</v>
      </c>
      <c r="C3" s="254">
        <v>4.25</v>
      </c>
      <c r="D3" s="254">
        <v>1</v>
      </c>
    </row>
    <row r="4" spans="1:52" x14ac:dyDescent="0.25">
      <c r="D4" s="19">
        <v>12</v>
      </c>
      <c r="E4" s="19">
        <v>13</v>
      </c>
      <c r="J4" s="305">
        <v>31</v>
      </c>
      <c r="K4" s="305">
        <v>29</v>
      </c>
      <c r="L4" s="305">
        <v>30</v>
      </c>
      <c r="M4" s="305">
        <v>32</v>
      </c>
      <c r="N4" s="305">
        <v>33</v>
      </c>
      <c r="O4" s="305">
        <v>34</v>
      </c>
      <c r="P4" s="305">
        <v>35</v>
      </c>
      <c r="Q4" s="305">
        <v>36</v>
      </c>
      <c r="R4" s="305">
        <v>37</v>
      </c>
      <c r="S4" s="305">
        <v>38</v>
      </c>
      <c r="T4" s="305">
        <v>39</v>
      </c>
      <c r="AD4" s="305">
        <v>19</v>
      </c>
      <c r="AE4" s="305">
        <v>20</v>
      </c>
      <c r="AF4" s="305">
        <v>21</v>
      </c>
      <c r="AG4" s="305">
        <v>22</v>
      </c>
      <c r="AH4" s="305">
        <v>23</v>
      </c>
      <c r="AI4" s="305">
        <v>40</v>
      </c>
      <c r="AJ4" s="305">
        <v>41</v>
      </c>
      <c r="AU4" s="305">
        <v>24</v>
      </c>
      <c r="AV4" s="305">
        <v>25</v>
      </c>
      <c r="AW4" s="305">
        <v>26</v>
      </c>
      <c r="AX4" s="305">
        <v>27</v>
      </c>
      <c r="AY4" s="305">
        <v>28</v>
      </c>
    </row>
    <row r="5" spans="1:52" s="17" customFormat="1" ht="215.25" customHeight="1" x14ac:dyDescent="0.25">
      <c r="A5" s="18" t="s">
        <v>170</v>
      </c>
      <c r="B5" s="374" t="s">
        <v>102</v>
      </c>
      <c r="C5" s="37" t="str">
        <f>"Player ("&amp;COUNTA(C6:C14)&amp;")"</f>
        <v>Player (0)</v>
      </c>
      <c r="D5" s="37" t="s">
        <v>70</v>
      </c>
      <c r="E5" s="37" t="s">
        <v>80</v>
      </c>
      <c r="F5" s="44" t="str">
        <f>"Only 1 guy who plays only 1B ("&amp;SUM(F6:F14)&amp;")"</f>
        <v>Only 1 guy who plays only 1B (0)</v>
      </c>
      <c r="G5" s="38" t="str">
        <f>"Only 1 guy who can only play 1B or LF ("&amp;SUM(G6:G14)&amp;")"</f>
        <v>Only 1 guy who can only play 1B or LF (0)</v>
      </c>
      <c r="H5" s="39" t="str">
        <f>"2 guys with RF arms ("&amp;SUM(H6:H14)&amp;")"</f>
        <v>2 guys with RF arms (0)</v>
      </c>
      <c r="I5" s="39" t="str">
        <f>"2 guys with CF range ("&amp;SUM(I6:I14)&amp;")"</f>
        <v>2 guys with CF range (0)</v>
      </c>
      <c r="J5" s="48" t="s">
        <v>114</v>
      </c>
      <c r="K5" s="40" t="s">
        <v>112</v>
      </c>
      <c r="L5" s="49" t="s">
        <v>113</v>
      </c>
      <c r="M5" s="41" t="s">
        <v>71</v>
      </c>
      <c r="N5" s="41" t="s">
        <v>73</v>
      </c>
      <c r="O5" s="41" t="s">
        <v>74</v>
      </c>
      <c r="P5" s="41" t="s">
        <v>75</v>
      </c>
      <c r="Q5" s="41" t="s">
        <v>76</v>
      </c>
      <c r="R5" s="41" t="s">
        <v>77</v>
      </c>
      <c r="S5" s="41" t="s">
        <v>78</v>
      </c>
      <c r="T5" s="42" t="s">
        <v>79</v>
      </c>
      <c r="U5" s="44" t="s">
        <v>115</v>
      </c>
      <c r="V5" s="38" t="s">
        <v>158</v>
      </c>
      <c r="W5" s="38" t="s">
        <v>116</v>
      </c>
      <c r="X5" s="38" t="s">
        <v>132</v>
      </c>
      <c r="Y5" s="38" t="s">
        <v>131</v>
      </c>
      <c r="Z5" s="38" t="s">
        <v>119</v>
      </c>
      <c r="AA5" s="38" t="s">
        <v>120</v>
      </c>
      <c r="AB5" s="38" t="s">
        <v>136</v>
      </c>
      <c r="AC5" s="53" t="s">
        <v>121</v>
      </c>
      <c r="AD5" s="41" t="s">
        <v>125</v>
      </c>
      <c r="AE5" s="41" t="s">
        <v>126</v>
      </c>
      <c r="AF5" s="41" t="s">
        <v>127</v>
      </c>
      <c r="AG5" s="41" t="s">
        <v>128</v>
      </c>
      <c r="AH5" s="41" t="s">
        <v>21</v>
      </c>
      <c r="AI5" s="56" t="s">
        <v>129</v>
      </c>
      <c r="AJ5" s="42" t="s">
        <v>130</v>
      </c>
      <c r="AK5" s="59" t="s">
        <v>134</v>
      </c>
      <c r="AL5" s="44" t="s">
        <v>115</v>
      </c>
      <c r="AM5" s="38" t="s">
        <v>158</v>
      </c>
      <c r="AN5" s="38" t="s">
        <v>116</v>
      </c>
      <c r="AO5" s="38" t="s">
        <v>132</v>
      </c>
      <c r="AP5" s="38" t="s">
        <v>131</v>
      </c>
      <c r="AQ5" s="38" t="s">
        <v>119</v>
      </c>
      <c r="AR5" s="38" t="s">
        <v>120</v>
      </c>
      <c r="AS5" s="38" t="s">
        <v>136</v>
      </c>
      <c r="AT5" s="53" t="s">
        <v>121</v>
      </c>
      <c r="AU5" s="56" t="s">
        <v>125</v>
      </c>
      <c r="AV5" s="41" t="s">
        <v>126</v>
      </c>
      <c r="AW5" s="41" t="s">
        <v>127</v>
      </c>
      <c r="AX5" s="41" t="s">
        <v>128</v>
      </c>
      <c r="AY5" s="42" t="s">
        <v>21</v>
      </c>
      <c r="AZ5" s="59" t="s">
        <v>174</v>
      </c>
    </row>
    <row r="6" spans="1:52" x14ac:dyDescent="0.25">
      <c r="A6" s="305">
        <v>1</v>
      </c>
      <c r="B6" s="25" t="s">
        <v>73</v>
      </c>
      <c r="C6" s="30"/>
      <c r="D6" s="26" t="str">
        <f>IF($C6="","",VLOOKUP($C6,AMABat!$A$10:$BV$146,D$4,FALSE))</f>
        <v/>
      </c>
      <c r="E6" s="26" t="str">
        <f>IF($C6="","",VLOOKUP($C6,AMABat!$A$10:$BV$146,E$4,FALSE))</f>
        <v/>
      </c>
      <c r="F6" s="45" t="str">
        <f t="shared" ref="F6:F14" si="0">IF($C6="","",IF(AND(O6&gt;0,O6=SUM(M6:T6)),1,0))</f>
        <v/>
      </c>
      <c r="G6" s="27" t="str">
        <f t="shared" ref="G6:G14" si="1">IF($C6="","",IF(Q6&lt;&gt;"-",1,0))</f>
        <v/>
      </c>
      <c r="H6" s="27" t="str">
        <f t="shared" ref="H6:H14" si="2">IF($C6="","",IF(AND(K6&gt;5,P6&lt;&gt;"-"),1,0))</f>
        <v/>
      </c>
      <c r="I6" s="27" t="str">
        <f t="shared" ref="I6:I14" si="3">IF($C6="","","-")</f>
        <v/>
      </c>
      <c r="J6" s="50" t="str">
        <f>IF($C6="","",VLOOKUP($C6,AMABat!$A$10:$BV$146,J$4,FALSE))</f>
        <v/>
      </c>
      <c r="K6" s="26" t="str">
        <f>IF($C6="","",VLOOKUP($C6,AMABat!$A$10:$BV$146,K$4,FALSE))</f>
        <v/>
      </c>
      <c r="L6" s="28" t="str">
        <f>IF($C6="","",VLOOKUP($C6,AMABat!$A$10:$BV$146,L$4,FALSE))</f>
        <v/>
      </c>
      <c r="M6" s="26" t="str">
        <f>IF($C6="","",VLOOKUP($C6,AMABat!$A$10:$BV$146,M$4,FALSE))</f>
        <v/>
      </c>
      <c r="N6" s="26" t="str">
        <f>IF($C6="","",VLOOKUP($C6,AMABat!$A$10:$BV$146,N$4,FALSE))</f>
        <v/>
      </c>
      <c r="O6" s="26" t="str">
        <f>IF($C6="","",VLOOKUP($C6,AMABat!$A$10:$BV$146,O$4,FALSE))</f>
        <v/>
      </c>
      <c r="P6" s="26" t="str">
        <f>IF($C6="","",VLOOKUP($C6,AMABat!$A$10:$BV$146,P$4,FALSE))</f>
        <v/>
      </c>
      <c r="Q6" s="26" t="str">
        <f>IF($C6="","",VLOOKUP($C6,AMABat!$A$10:$BV$146,Q$4,FALSE))</f>
        <v/>
      </c>
      <c r="R6" s="26" t="str">
        <f>IF($C6="","",VLOOKUP($C6,AMABat!$A$10:$BV$146,R$4,FALSE))</f>
        <v/>
      </c>
      <c r="S6" s="26" t="str">
        <f>IF($C6="","",VLOOKUP($C6,AMABat!$A$10:$BV$146,S$4,FALSE))</f>
        <v/>
      </c>
      <c r="T6" s="28" t="str">
        <f>IF($C6="","",VLOOKUP($C6,AMABat!$A$10:$BV$146,T$4,FALSE))</f>
        <v/>
      </c>
      <c r="U6" s="378" t="str">
        <f t="shared" ref="U6:U14" si="4">IF($C6="","",IF(OR(AD6+AG6&gt;14,AND(OR(AD6+AG6&gt;12,AND(AD6&gt;6,AG6&gt;6)),AI6&gt;6,OR(AJ6&gt;=AI6,AJ6&gt;6))),1,0))</f>
        <v/>
      </c>
      <c r="V6" s="372" t="str">
        <f t="shared" ref="V6:V14" si="5">IF($C6="","",IF(OR(AND(AD6&gt;6,AH6&gt;6),AD6+AG6&gt;12),1,0))</f>
        <v/>
      </c>
      <c r="W6" s="27" t="str">
        <f t="shared" ref="W6:W14" si="6">IF($C6="","",IF(AND(AD6&gt;6,AF6&gt;6,AG6&gt;6),1,0))</f>
        <v/>
      </c>
      <c r="X6" s="27" t="str">
        <f t="shared" ref="X6:X14" si="7">IF($C6="","",IF(AND(AF6&gt;7,OR(AD6&gt;6,AG6&gt;6)),1,0))</f>
        <v/>
      </c>
      <c r="Y6" s="27" t="str">
        <f t="shared" ref="Y6:Y14" si="8">IF($C6="","",IF(AND(AF6&gt;6,OR(AD6&gt;6,AG6&gt;6)),1,0))</f>
        <v/>
      </c>
      <c r="Z6" s="27" t="str">
        <f t="shared" ref="Z6:Z14" si="9">IF($C6="","",IF(AND(OR(AD6&gt;6,AF6&gt;6),OR(AD6&gt;6,AG6&gt;6)),1,0))</f>
        <v/>
      </c>
      <c r="AA6" s="27" t="str">
        <f t="shared" ref="AA6:AA14" si="10">IF($C6="","",IF(AND(AD6&gt;4,OR(AD6&gt;6,AF6&gt;6,AG6&gt;6)),1,0))</f>
        <v/>
      </c>
      <c r="AB6" s="27" t="str">
        <f t="shared" ref="AB6:AB14" si="11">IF($C6="","",IF(AND(AD6&gt;4,OR(AD6&gt;6,AE6&gt;6,AF6&gt;6,AG6&gt;6)),1,0))</f>
        <v/>
      </c>
      <c r="AC6" s="54" t="str">
        <f t="shared" ref="AC6:AC14" si="12">IF($C6="","",IF(AND(AD6&gt;4,MAX(AD6:AH6)&gt;6),1,0))</f>
        <v/>
      </c>
      <c r="AD6" s="26" t="str">
        <f>IF($C6="","",VLOOKUP($C6,AMABat!$A$10:$BV$146,AD$4,FALSE))</f>
        <v/>
      </c>
      <c r="AE6" s="26" t="str">
        <f>IF($C6="","",VLOOKUP($C6,AMABat!$A$10:$BV$146,AE$4,FALSE))</f>
        <v/>
      </c>
      <c r="AF6" s="26" t="str">
        <f>IF($C6="","",VLOOKUP($C6,AMABat!$A$10:$BV$146,AF$4,FALSE))</f>
        <v/>
      </c>
      <c r="AG6" s="26" t="str">
        <f>IF($C6="","",VLOOKUP($C6,AMABat!$A$10:$BV$146,AG$4,FALSE))</f>
        <v/>
      </c>
      <c r="AH6" s="26" t="str">
        <f>IF($C6="","",VLOOKUP($C6,AMABat!$A$10:$BV$146,AH$4,FALSE))</f>
        <v/>
      </c>
      <c r="AI6" s="50" t="str">
        <f>IF($C6="","",VLOOKUP($C6,AMABat!$A$10:$BV$146,AI$4,FALSE))</f>
        <v/>
      </c>
      <c r="AJ6" s="28" t="str">
        <f>IF($C6="","",VLOOKUP($C6,AMABat!$A$10:$BV$146,AJ$4,FALSE))</f>
        <v/>
      </c>
      <c r="AK6" s="60" t="str">
        <f t="shared" ref="AK6:AK14" si="13">IF($C6="","",(5*AD6+4*AF6+3*AG6+2*AE6+1*AH6+0.5*(AVERAGE(AD6:AE6))+0.5*AVERAGE(AD6,AH6)+1*(AVERAGE(AD6,AF6))+1*AVERAGE(AD6,AG6))/(5+4+3+2+1+0.5+0.5+1+1))</f>
        <v/>
      </c>
      <c r="AL6" s="45" t="str">
        <f t="shared" ref="AL6:AL14" si="14">IF($C6="","",IF(AND(OR(AU6+AX6&gt;12,AND(AU6&gt;6,AX6&gt;6)),AI6&gt;6,OR(AJ6&gt;=AI6,AJ6&gt;6)),1,0))</f>
        <v/>
      </c>
      <c r="AM6" s="27" t="str">
        <f t="shared" ref="AM6:AM14" si="15">IF($C6="","",IF(OR(AND(AU6&gt;6,AY6&gt;6),AU6+AX6&gt;12),1,0))</f>
        <v/>
      </c>
      <c r="AN6" s="27" t="str">
        <f t="shared" ref="AN6:AN14" si="16">IF($C6="","",IF(AND(AU6&gt;6,AW6&gt;6,AX6&gt;6),1,0))</f>
        <v/>
      </c>
      <c r="AO6" s="27" t="str">
        <f t="shared" ref="AO6:AO14" si="17">IF($C6="","",IF(AND(AW6&gt;7,OR(AU6&gt;6,AX6&gt;6)),1,0))</f>
        <v/>
      </c>
      <c r="AP6" s="27" t="str">
        <f t="shared" ref="AP6:AP14" si="18">IF($C6="","",IF(AND(AW6&gt;6,OR(AU6&gt;6,AX6&gt;6)),1,0))</f>
        <v/>
      </c>
      <c r="AQ6" s="27" t="str">
        <f t="shared" ref="AQ6:AQ14" si="19">IF($C6="","",IF(AND(OR(AU6&gt;6,AW6&gt;6),OR(AU6&gt;6,AX6&gt;6)),1,0))</f>
        <v/>
      </c>
      <c r="AR6" s="27" t="str">
        <f t="shared" ref="AR6:AR14" si="20">IF($C6="","",IF(AND(AU6&gt;4,OR(AU6&gt;6,AW6&gt;6,AX6&gt;6)),1,0))</f>
        <v/>
      </c>
      <c r="AS6" s="27" t="str">
        <f t="shared" ref="AS6:AS14" si="21">IF($C6="","",IF(AND(AU6&gt;4,OR(AU6&gt;6,AV6&gt;6,AW6&gt;6,AX6&gt;6)),1,0))</f>
        <v/>
      </c>
      <c r="AT6" s="54" t="str">
        <f t="shared" ref="AT6:AT14" si="22">IF($C6="","",IF(AND(AU6&gt;4,MAX(AU6:AY6)&gt;6),1,0))</f>
        <v/>
      </c>
      <c r="AU6" s="50" t="str">
        <f>IF($C6="","",VLOOKUP($C6,AMABat!$A$10:$BV$146,AU$4,FALSE))</f>
        <v/>
      </c>
      <c r="AV6" s="26" t="str">
        <f>IF($C6="","",VLOOKUP($C6,AMABat!$A$10:$BV$146,AV$4,FALSE))</f>
        <v/>
      </c>
      <c r="AW6" s="26" t="str">
        <f>IF($C6="","",VLOOKUP($C6,AMABat!$A$10:$BV$146,AW$4,FALSE))</f>
        <v/>
      </c>
      <c r="AX6" s="26" t="str">
        <f>IF($C6="","",VLOOKUP($C6,AMABat!$A$10:$BV$146,AX$4,FALSE))</f>
        <v/>
      </c>
      <c r="AY6" s="28" t="str">
        <f>IF($C6="","",VLOOKUP($C6,AMABat!$A$10:$BV$146,AY$4,FALSE))</f>
        <v/>
      </c>
      <c r="AZ6" s="60" t="str">
        <f t="shared" ref="AZ6:AZ14" si="23">IF($C6="","",(5*AU6+4*AW6+3*AX6+2*AV6+1*AY6+0.5*(AVERAGE(AU6:AV6))+0.5*AVERAGE(AU6,AY6)+1*(AVERAGE(AU6,AW6))+1*AVERAGE(AU6,AX6))/(5+4+3+2+1+0.5+0.5+1+1))</f>
        <v/>
      </c>
    </row>
    <row r="7" spans="1:52" x14ac:dyDescent="0.25">
      <c r="A7" s="305">
        <v>2</v>
      </c>
      <c r="B7" s="29" t="s">
        <v>77</v>
      </c>
      <c r="C7" s="30"/>
      <c r="D7" s="30" t="str">
        <f>IF($C7="","",VLOOKUP($C7,AMABat!$A$10:$BV$146,D$4,FALSE))</f>
        <v/>
      </c>
      <c r="E7" s="30" t="str">
        <f>IF($C7="","",VLOOKUP($C7,AMABat!$A$10:$BV$146,E$4,FALSE))</f>
        <v/>
      </c>
      <c r="F7" s="378" t="str">
        <f t="shared" si="0"/>
        <v/>
      </c>
      <c r="G7" s="372" t="str">
        <f t="shared" si="1"/>
        <v/>
      </c>
      <c r="H7" s="372" t="str">
        <f t="shared" si="2"/>
        <v/>
      </c>
      <c r="I7" s="372" t="str">
        <f t="shared" si="3"/>
        <v/>
      </c>
      <c r="J7" s="51" t="str">
        <f>IF($C7="","",VLOOKUP($C7,AMABat!$A$10:$BV$146,J$4,FALSE))</f>
        <v/>
      </c>
      <c r="K7" s="30" t="str">
        <f>IF($C7="","",VLOOKUP($C7,AMABat!$A$10:$BV$146,K$4,FALSE))</f>
        <v/>
      </c>
      <c r="L7" s="31" t="str">
        <f>IF($C7="","",VLOOKUP($C7,AMABat!$A$10:$BV$146,L$4,FALSE))</f>
        <v/>
      </c>
      <c r="M7" s="30" t="str">
        <f>IF($C7="","",VLOOKUP($C7,AMABat!$A$10:$BV$146,M$4,FALSE))</f>
        <v/>
      </c>
      <c r="N7" s="30" t="str">
        <f>IF($C7="","",VLOOKUP($C7,AMABat!$A$10:$BV$146,N$4,FALSE))</f>
        <v/>
      </c>
      <c r="O7" s="30" t="str">
        <f>IF($C7="","",VLOOKUP($C7,AMABat!$A$10:$BV$146,O$4,FALSE))</f>
        <v/>
      </c>
      <c r="P7" s="30" t="str">
        <f>IF($C7="","",VLOOKUP($C7,AMABat!$A$10:$BV$146,P$4,FALSE))</f>
        <v/>
      </c>
      <c r="Q7" s="30" t="str">
        <f>IF($C7="","",VLOOKUP($C7,AMABat!$A$10:$BV$146,Q$4,FALSE))</f>
        <v/>
      </c>
      <c r="R7" s="30" t="str">
        <f>IF($C7="","",VLOOKUP($C7,AMABat!$A$10:$BV$146,R$4,FALSE))</f>
        <v/>
      </c>
      <c r="S7" s="30" t="str">
        <f>IF($C7="","",VLOOKUP($C7,AMABat!$A$10:$BV$146,S$4,FALSE))</f>
        <v/>
      </c>
      <c r="T7" s="31" t="str">
        <f>IF($C7="","",VLOOKUP($C7,AMABat!$A$10:$BV$146,T$4,FALSE))</f>
        <v/>
      </c>
      <c r="U7" s="378" t="str">
        <f t="shared" si="4"/>
        <v/>
      </c>
      <c r="V7" s="372" t="str">
        <f t="shared" si="5"/>
        <v/>
      </c>
      <c r="W7" s="372" t="str">
        <f t="shared" si="6"/>
        <v/>
      </c>
      <c r="X7" s="372" t="str">
        <f t="shared" si="7"/>
        <v/>
      </c>
      <c r="Y7" s="372" t="str">
        <f t="shared" si="8"/>
        <v/>
      </c>
      <c r="Z7" s="372" t="str">
        <f t="shared" si="9"/>
        <v/>
      </c>
      <c r="AA7" s="372" t="str">
        <f t="shared" si="10"/>
        <v/>
      </c>
      <c r="AB7" s="372" t="str">
        <f t="shared" si="11"/>
        <v/>
      </c>
      <c r="AC7" s="373" t="str">
        <f t="shared" si="12"/>
        <v/>
      </c>
      <c r="AD7" s="30" t="str">
        <f>IF($C7="","",VLOOKUP($C7,AMABat!$A$10:$BV$146,AD$4,FALSE))</f>
        <v/>
      </c>
      <c r="AE7" s="30" t="str">
        <f>IF($C7="","",VLOOKUP($C7,AMABat!$A$10:$BV$146,AE$4,FALSE))</f>
        <v/>
      </c>
      <c r="AF7" s="30" t="str">
        <f>IF($C7="","",VLOOKUP($C7,AMABat!$A$10:$BV$146,AF$4,FALSE))</f>
        <v/>
      </c>
      <c r="AG7" s="30" t="str">
        <f>IF($C7="","",VLOOKUP($C7,AMABat!$A$10:$BV$146,AG$4,FALSE))</f>
        <v/>
      </c>
      <c r="AH7" s="30" t="str">
        <f>IF($C7="","",VLOOKUP($C7,AMABat!$A$10:$BV$146,AH$4,FALSE))</f>
        <v/>
      </c>
      <c r="AI7" s="51" t="str">
        <f>IF($C7="","",VLOOKUP($C7,AMABat!$A$10:$BV$146,AI$4,FALSE))</f>
        <v/>
      </c>
      <c r="AJ7" s="31" t="str">
        <f>IF($C7="","",VLOOKUP($C7,AMABat!$A$10:$BV$146,AJ$4,FALSE))</f>
        <v/>
      </c>
      <c r="AK7" s="60" t="str">
        <f t="shared" si="13"/>
        <v/>
      </c>
      <c r="AL7" s="378" t="str">
        <f t="shared" si="14"/>
        <v/>
      </c>
      <c r="AM7" s="372" t="str">
        <f t="shared" si="15"/>
        <v/>
      </c>
      <c r="AN7" s="372" t="str">
        <f t="shared" si="16"/>
        <v/>
      </c>
      <c r="AO7" s="372" t="str">
        <f t="shared" si="17"/>
        <v/>
      </c>
      <c r="AP7" s="372" t="str">
        <f t="shared" si="18"/>
        <v/>
      </c>
      <c r="AQ7" s="372" t="str">
        <f t="shared" si="19"/>
        <v/>
      </c>
      <c r="AR7" s="372" t="str">
        <f t="shared" si="20"/>
        <v/>
      </c>
      <c r="AS7" s="372" t="str">
        <f t="shared" si="21"/>
        <v/>
      </c>
      <c r="AT7" s="373" t="str">
        <f t="shared" si="22"/>
        <v/>
      </c>
      <c r="AU7" s="51" t="str">
        <f>IF($C7="","",VLOOKUP($C7,AMABat!$A$10:$BV$146,AU$4,FALSE))</f>
        <v/>
      </c>
      <c r="AV7" s="30" t="str">
        <f>IF($C7="","",VLOOKUP($C7,AMABat!$A$10:$BV$146,AV$4,FALSE))</f>
        <v/>
      </c>
      <c r="AW7" s="30" t="str">
        <f>IF($C7="","",VLOOKUP($C7,AMABat!$A$10:$BV$146,AW$4,FALSE))</f>
        <v/>
      </c>
      <c r="AX7" s="30" t="str">
        <f>IF($C7="","",VLOOKUP($C7,AMABat!$A$10:$BV$146,AX$4,FALSE))</f>
        <v/>
      </c>
      <c r="AY7" s="31" t="str">
        <f>IF($C7="","",VLOOKUP($C7,AMABat!$A$10:$BV$146,AY$4,FALSE))</f>
        <v/>
      </c>
      <c r="AZ7" s="60" t="str">
        <f t="shared" si="23"/>
        <v/>
      </c>
    </row>
    <row r="8" spans="1:52" x14ac:dyDescent="0.25">
      <c r="A8" s="305">
        <v>3</v>
      </c>
      <c r="B8" s="29" t="s">
        <v>78</v>
      </c>
      <c r="C8" s="58"/>
      <c r="D8" s="30" t="str">
        <f>IF($C8="","",VLOOKUP($C8,AMABat!$A$10:$BV$146,D$4,FALSE))</f>
        <v/>
      </c>
      <c r="E8" s="30" t="str">
        <f>IF($C8="","",VLOOKUP($C8,AMABat!$A$10:$BV$146,E$4,FALSE))</f>
        <v/>
      </c>
      <c r="F8" s="378" t="str">
        <f t="shared" si="0"/>
        <v/>
      </c>
      <c r="G8" s="372" t="str">
        <f t="shared" si="1"/>
        <v/>
      </c>
      <c r="H8" s="372" t="str">
        <f t="shared" si="2"/>
        <v/>
      </c>
      <c r="I8" s="372" t="str">
        <f t="shared" si="3"/>
        <v/>
      </c>
      <c r="J8" s="51" t="str">
        <f>IF($C8="","",VLOOKUP($C8,AMABat!$A$10:$BV$146,J$4,FALSE))</f>
        <v/>
      </c>
      <c r="K8" s="30" t="str">
        <f>IF($C8="","",VLOOKUP($C8,AMABat!$A$10:$BV$146,K$4,FALSE))</f>
        <v/>
      </c>
      <c r="L8" s="31" t="str">
        <f>IF($C8="","",VLOOKUP($C8,AMABat!$A$10:$BV$146,L$4,FALSE))</f>
        <v/>
      </c>
      <c r="M8" s="30" t="str">
        <f>IF($C8="","",VLOOKUP($C8,AMABat!$A$10:$BV$146,M$4,FALSE))</f>
        <v/>
      </c>
      <c r="N8" s="30" t="str">
        <f>IF($C8="","",VLOOKUP($C8,AMABat!$A$10:$BV$146,N$4,FALSE))</f>
        <v/>
      </c>
      <c r="O8" s="30" t="str">
        <f>IF($C8="","",VLOOKUP($C8,AMABat!$A$10:$BV$146,O$4,FALSE))</f>
        <v/>
      </c>
      <c r="P8" s="30" t="str">
        <f>IF($C8="","",VLOOKUP($C8,AMABat!$A$10:$BV$146,P$4,FALSE))</f>
        <v/>
      </c>
      <c r="Q8" s="30" t="str">
        <f>IF($C8="","",VLOOKUP($C8,AMABat!$A$10:$BV$146,Q$4,FALSE))</f>
        <v/>
      </c>
      <c r="R8" s="30" t="str">
        <f>IF($C8="","",VLOOKUP($C8,AMABat!$A$10:$BV$146,R$4,FALSE))</f>
        <v/>
      </c>
      <c r="S8" s="30" t="str">
        <f>IF($C8="","",VLOOKUP($C8,AMABat!$A$10:$BV$146,S$4,FALSE))</f>
        <v/>
      </c>
      <c r="T8" s="31" t="str">
        <f>IF($C8="","",VLOOKUP($C8,AMABat!$A$10:$BV$146,T$4,FALSE))</f>
        <v/>
      </c>
      <c r="U8" s="378" t="str">
        <f t="shared" si="4"/>
        <v/>
      </c>
      <c r="V8" s="372" t="str">
        <f t="shared" si="5"/>
        <v/>
      </c>
      <c r="W8" s="372" t="str">
        <f t="shared" si="6"/>
        <v/>
      </c>
      <c r="X8" s="372" t="str">
        <f t="shared" si="7"/>
        <v/>
      </c>
      <c r="Y8" s="372" t="str">
        <f t="shared" si="8"/>
        <v/>
      </c>
      <c r="Z8" s="372" t="str">
        <f t="shared" si="9"/>
        <v/>
      </c>
      <c r="AA8" s="372" t="str">
        <f t="shared" si="10"/>
        <v/>
      </c>
      <c r="AB8" s="372" t="str">
        <f t="shared" si="11"/>
        <v/>
      </c>
      <c r="AC8" s="373" t="str">
        <f t="shared" si="12"/>
        <v/>
      </c>
      <c r="AD8" s="30" t="str">
        <f>IF($C8="","",VLOOKUP($C8,AMABat!$A$10:$BV$146,AD$4,FALSE))</f>
        <v/>
      </c>
      <c r="AE8" s="30" t="str">
        <f>IF($C8="","",VLOOKUP($C8,AMABat!$A$10:$BV$146,AE$4,FALSE))</f>
        <v/>
      </c>
      <c r="AF8" s="30" t="str">
        <f>IF($C8="","",VLOOKUP($C8,AMABat!$A$10:$BV$146,AF$4,FALSE))</f>
        <v/>
      </c>
      <c r="AG8" s="30" t="str">
        <f>IF($C8="","",VLOOKUP($C8,AMABat!$A$10:$BV$146,AG$4,FALSE))</f>
        <v/>
      </c>
      <c r="AH8" s="30" t="str">
        <f>IF($C8="","",VLOOKUP($C8,AMABat!$A$10:$BV$146,AH$4,FALSE))</f>
        <v/>
      </c>
      <c r="AI8" s="51" t="str">
        <f>IF($C8="","",VLOOKUP($C8,AMABat!$A$10:$BV$146,AI$4,FALSE))</f>
        <v/>
      </c>
      <c r="AJ8" s="31" t="str">
        <f>IF($C8="","",VLOOKUP($C8,AMABat!$A$10:$BV$146,AJ$4,FALSE))</f>
        <v/>
      </c>
      <c r="AK8" s="60" t="str">
        <f t="shared" si="13"/>
        <v/>
      </c>
      <c r="AL8" s="378" t="str">
        <f t="shared" si="14"/>
        <v/>
      </c>
      <c r="AM8" s="372" t="str">
        <f t="shared" si="15"/>
        <v/>
      </c>
      <c r="AN8" s="372" t="str">
        <f t="shared" si="16"/>
        <v/>
      </c>
      <c r="AO8" s="372" t="str">
        <f t="shared" si="17"/>
        <v/>
      </c>
      <c r="AP8" s="372" t="str">
        <f t="shared" si="18"/>
        <v/>
      </c>
      <c r="AQ8" s="372" t="str">
        <f t="shared" si="19"/>
        <v/>
      </c>
      <c r="AR8" s="372" t="str">
        <f t="shared" si="20"/>
        <v/>
      </c>
      <c r="AS8" s="372" t="str">
        <f t="shared" si="21"/>
        <v/>
      </c>
      <c r="AT8" s="373" t="str">
        <f t="shared" si="22"/>
        <v/>
      </c>
      <c r="AU8" s="51" t="str">
        <f>IF($C8="","",VLOOKUP($C8,AMABat!$A$10:$BV$146,AU$4,FALSE))</f>
        <v/>
      </c>
      <c r="AV8" s="30" t="str">
        <f>IF($C8="","",VLOOKUP($C8,AMABat!$A$10:$BV$146,AV$4,FALSE))</f>
        <v/>
      </c>
      <c r="AW8" s="30" t="str">
        <f>IF($C8="","",VLOOKUP($C8,AMABat!$A$10:$BV$146,AW$4,FALSE))</f>
        <v/>
      </c>
      <c r="AX8" s="30" t="str">
        <f>IF($C8="","",VLOOKUP($C8,AMABat!$A$10:$BV$146,AX$4,FALSE))</f>
        <v/>
      </c>
      <c r="AY8" s="31" t="str">
        <f>IF($C8="","",VLOOKUP($C8,AMABat!$A$10:$BV$146,AY$4,FALSE))</f>
        <v/>
      </c>
      <c r="AZ8" s="60" t="str">
        <f t="shared" si="23"/>
        <v/>
      </c>
    </row>
    <row r="9" spans="1:52" x14ac:dyDescent="0.25">
      <c r="A9" s="305">
        <v>4</v>
      </c>
      <c r="B9" s="29" t="s">
        <v>79</v>
      </c>
      <c r="C9" s="58"/>
      <c r="D9" s="30" t="str">
        <f>IF($C9="","",VLOOKUP($C9,AMABat!$A$10:$BV$146,D$4,FALSE))</f>
        <v/>
      </c>
      <c r="E9" s="30" t="str">
        <f>IF($C9="","",VLOOKUP($C9,AMABat!$A$10:$BV$146,E$4,FALSE))</f>
        <v/>
      </c>
      <c r="F9" s="378" t="str">
        <f t="shared" si="0"/>
        <v/>
      </c>
      <c r="G9" s="372" t="str">
        <f t="shared" si="1"/>
        <v/>
      </c>
      <c r="H9" s="372" t="str">
        <f t="shared" si="2"/>
        <v/>
      </c>
      <c r="I9" s="372" t="str">
        <f t="shared" si="3"/>
        <v/>
      </c>
      <c r="J9" s="51" t="str">
        <f>IF($C9="","",VLOOKUP($C9,AMABat!$A$10:$BV$146,J$4,FALSE))</f>
        <v/>
      </c>
      <c r="K9" s="30" t="str">
        <f>IF($C9="","",VLOOKUP($C9,AMABat!$A$10:$BV$146,K$4,FALSE))</f>
        <v/>
      </c>
      <c r="L9" s="31" t="str">
        <f>IF($C9="","",VLOOKUP($C9,AMABat!$A$10:$BV$146,L$4,FALSE))</f>
        <v/>
      </c>
      <c r="M9" s="30" t="str">
        <f>IF($C9="","",VLOOKUP($C9,AMABat!$A$10:$BV$146,M$4,FALSE))</f>
        <v/>
      </c>
      <c r="N9" s="30" t="str">
        <f>IF($C9="","",VLOOKUP($C9,AMABat!$A$10:$BV$146,N$4,FALSE))</f>
        <v/>
      </c>
      <c r="O9" s="30" t="str">
        <f>IF($C9="","",VLOOKUP($C9,AMABat!$A$10:$BV$146,O$4,FALSE))</f>
        <v/>
      </c>
      <c r="P9" s="30" t="str">
        <f>IF($C9="","",VLOOKUP($C9,AMABat!$A$10:$BV$146,P$4,FALSE))</f>
        <v/>
      </c>
      <c r="Q9" s="30" t="str">
        <f>IF($C9="","",VLOOKUP($C9,AMABat!$A$10:$BV$146,Q$4,FALSE))</f>
        <v/>
      </c>
      <c r="R9" s="30" t="str">
        <f>IF($C9="","",VLOOKUP($C9,AMABat!$A$10:$BV$146,R$4,FALSE))</f>
        <v/>
      </c>
      <c r="S9" s="30" t="str">
        <f>IF($C9="","",VLOOKUP($C9,AMABat!$A$10:$BV$146,S$4,FALSE))</f>
        <v/>
      </c>
      <c r="T9" s="31" t="str">
        <f>IF($C9="","",VLOOKUP($C9,AMABat!$A$10:$BV$146,T$4,FALSE))</f>
        <v/>
      </c>
      <c r="U9" s="378" t="str">
        <f t="shared" si="4"/>
        <v/>
      </c>
      <c r="V9" s="372" t="str">
        <f t="shared" si="5"/>
        <v/>
      </c>
      <c r="W9" s="372" t="str">
        <f t="shared" si="6"/>
        <v/>
      </c>
      <c r="X9" s="372" t="str">
        <f t="shared" si="7"/>
        <v/>
      </c>
      <c r="Y9" s="372" t="str">
        <f t="shared" si="8"/>
        <v/>
      </c>
      <c r="Z9" s="372" t="str">
        <f t="shared" si="9"/>
        <v/>
      </c>
      <c r="AA9" s="372" t="str">
        <f t="shared" si="10"/>
        <v/>
      </c>
      <c r="AB9" s="372" t="str">
        <f t="shared" si="11"/>
        <v/>
      </c>
      <c r="AC9" s="373" t="str">
        <f t="shared" si="12"/>
        <v/>
      </c>
      <c r="AD9" s="30" t="str">
        <f>IF($C9="","",VLOOKUP($C9,AMABat!$A$10:$BV$146,AD$4,FALSE))</f>
        <v/>
      </c>
      <c r="AE9" s="30" t="str">
        <f>IF($C9="","",VLOOKUP($C9,AMABat!$A$10:$BV$146,AE$4,FALSE))</f>
        <v/>
      </c>
      <c r="AF9" s="30" t="str">
        <f>IF($C9="","",VLOOKUP($C9,AMABat!$A$10:$BV$146,AF$4,FALSE))</f>
        <v/>
      </c>
      <c r="AG9" s="30" t="str">
        <f>IF($C9="","",VLOOKUP($C9,AMABat!$A$10:$BV$146,AG$4,FALSE))</f>
        <v/>
      </c>
      <c r="AH9" s="30" t="str">
        <f>IF($C9="","",VLOOKUP($C9,AMABat!$A$10:$BV$146,AH$4,FALSE))</f>
        <v/>
      </c>
      <c r="AI9" s="51" t="str">
        <f>IF($C9="","",VLOOKUP($C9,AMABat!$A$10:$BV$146,AI$4,FALSE))</f>
        <v/>
      </c>
      <c r="AJ9" s="31" t="str">
        <f>IF($C9="","",VLOOKUP($C9,AMABat!$A$10:$BV$146,AJ$4,FALSE))</f>
        <v/>
      </c>
      <c r="AK9" s="60" t="str">
        <f t="shared" si="13"/>
        <v/>
      </c>
      <c r="AL9" s="378" t="str">
        <f t="shared" si="14"/>
        <v/>
      </c>
      <c r="AM9" s="372" t="str">
        <f t="shared" si="15"/>
        <v/>
      </c>
      <c r="AN9" s="372" t="str">
        <f t="shared" si="16"/>
        <v/>
      </c>
      <c r="AO9" s="372" t="str">
        <f t="shared" si="17"/>
        <v/>
      </c>
      <c r="AP9" s="372" t="str">
        <f t="shared" si="18"/>
        <v/>
      </c>
      <c r="AQ9" s="372" t="str">
        <f t="shared" si="19"/>
        <v/>
      </c>
      <c r="AR9" s="372" t="str">
        <f t="shared" si="20"/>
        <v/>
      </c>
      <c r="AS9" s="372" t="str">
        <f t="shared" si="21"/>
        <v/>
      </c>
      <c r="AT9" s="373" t="str">
        <f t="shared" si="22"/>
        <v/>
      </c>
      <c r="AU9" s="51" t="str">
        <f>IF($C9="","",VLOOKUP($C9,AMABat!$A$10:$BV$146,AU$4,FALSE))</f>
        <v/>
      </c>
      <c r="AV9" s="30" t="str">
        <f>IF($C9="","",VLOOKUP($C9,AMABat!$A$10:$BV$146,AV$4,FALSE))</f>
        <v/>
      </c>
      <c r="AW9" s="30" t="str">
        <f>IF($C9="","",VLOOKUP($C9,AMABat!$A$10:$BV$146,AW$4,FALSE))</f>
        <v/>
      </c>
      <c r="AX9" s="30" t="str">
        <f>IF($C9="","",VLOOKUP($C9,AMABat!$A$10:$BV$146,AX$4,FALSE))</f>
        <v/>
      </c>
      <c r="AY9" s="31" t="str">
        <f>IF($C9="","",VLOOKUP($C9,AMABat!$A$10:$BV$146,AY$4,FALSE))</f>
        <v/>
      </c>
      <c r="AZ9" s="60" t="str">
        <f t="shared" si="23"/>
        <v/>
      </c>
    </row>
    <row r="10" spans="1:52" x14ac:dyDescent="0.25">
      <c r="A10" s="305">
        <v>5</v>
      </c>
      <c r="B10" s="29" t="s">
        <v>10</v>
      </c>
      <c r="C10" s="58"/>
      <c r="D10" s="30" t="str">
        <f>IF($C10="","",VLOOKUP($C10,AMABat!$A$10:$BV$146,D$4,FALSE))</f>
        <v/>
      </c>
      <c r="E10" s="30" t="str">
        <f>IF($C10="","",VLOOKUP($C10,AMABat!$A$10:$BV$146,E$4,FALSE))</f>
        <v/>
      </c>
      <c r="F10" s="378" t="str">
        <f t="shared" si="0"/>
        <v/>
      </c>
      <c r="G10" s="372" t="str">
        <f t="shared" si="1"/>
        <v/>
      </c>
      <c r="H10" s="372" t="str">
        <f t="shared" si="2"/>
        <v/>
      </c>
      <c r="I10" s="372" t="str">
        <f t="shared" si="3"/>
        <v/>
      </c>
      <c r="J10" s="51" t="str">
        <f>IF($C10="","",VLOOKUP($C10,AMABat!$A$10:$BV$146,J$4,FALSE))</f>
        <v/>
      </c>
      <c r="K10" s="30" t="str">
        <f>IF($C10="","",VLOOKUP($C10,AMABat!$A$10:$BV$146,K$4,FALSE))</f>
        <v/>
      </c>
      <c r="L10" s="31" t="str">
        <f>IF($C10="","",VLOOKUP($C10,AMABat!$A$10:$BV$146,L$4,FALSE))</f>
        <v/>
      </c>
      <c r="M10" s="30" t="str">
        <f>IF($C10="","",VLOOKUP($C10,AMABat!$A$10:$BV$146,M$4,FALSE))</f>
        <v/>
      </c>
      <c r="N10" s="30" t="str">
        <f>IF($C10="","",VLOOKUP($C10,AMABat!$A$10:$BV$146,N$4,FALSE))</f>
        <v/>
      </c>
      <c r="O10" s="30" t="str">
        <f>IF($C10="","",VLOOKUP($C10,AMABat!$A$10:$BV$146,O$4,FALSE))</f>
        <v/>
      </c>
      <c r="P10" s="30" t="str">
        <f>IF($C10="","",VLOOKUP($C10,AMABat!$A$10:$BV$146,P$4,FALSE))</f>
        <v/>
      </c>
      <c r="Q10" s="30" t="str">
        <f>IF($C10="","",VLOOKUP($C10,AMABat!$A$10:$BV$146,Q$4,FALSE))</f>
        <v/>
      </c>
      <c r="R10" s="30" t="str">
        <f>IF($C10="","",VLOOKUP($C10,AMABat!$A$10:$BV$146,R$4,FALSE))</f>
        <v/>
      </c>
      <c r="S10" s="30" t="str">
        <f>IF($C10="","",VLOOKUP($C10,AMABat!$A$10:$BV$146,S$4,FALSE))</f>
        <v/>
      </c>
      <c r="T10" s="31" t="str">
        <f>IF($C10="","",VLOOKUP($C10,AMABat!$A$10:$BV$146,T$4,FALSE))</f>
        <v/>
      </c>
      <c r="U10" s="378" t="str">
        <f t="shared" si="4"/>
        <v/>
      </c>
      <c r="V10" s="372" t="str">
        <f t="shared" si="5"/>
        <v/>
      </c>
      <c r="W10" s="372" t="str">
        <f t="shared" si="6"/>
        <v/>
      </c>
      <c r="X10" s="372" t="str">
        <f t="shared" si="7"/>
        <v/>
      </c>
      <c r="Y10" s="372" t="str">
        <f t="shared" si="8"/>
        <v/>
      </c>
      <c r="Z10" s="372" t="str">
        <f t="shared" si="9"/>
        <v/>
      </c>
      <c r="AA10" s="372" t="str">
        <f t="shared" si="10"/>
        <v/>
      </c>
      <c r="AB10" s="372" t="str">
        <f t="shared" si="11"/>
        <v/>
      </c>
      <c r="AC10" s="373" t="str">
        <f t="shared" si="12"/>
        <v/>
      </c>
      <c r="AD10" s="30" t="str">
        <f>IF($C10="","",VLOOKUP($C10,AMABat!$A$10:$BV$146,AD$4,FALSE))</f>
        <v/>
      </c>
      <c r="AE10" s="30" t="str">
        <f>IF($C10="","",VLOOKUP($C10,AMABat!$A$10:$BV$146,AE$4,FALSE))</f>
        <v/>
      </c>
      <c r="AF10" s="30" t="str">
        <f>IF($C10="","",VLOOKUP($C10,AMABat!$A$10:$BV$146,AF$4,FALSE))</f>
        <v/>
      </c>
      <c r="AG10" s="30" t="str">
        <f>IF($C10="","",VLOOKUP($C10,AMABat!$A$10:$BV$146,AG$4,FALSE))</f>
        <v/>
      </c>
      <c r="AH10" s="30" t="str">
        <f>IF($C10="","",VLOOKUP($C10,AMABat!$A$10:$BV$146,AH$4,FALSE))</f>
        <v/>
      </c>
      <c r="AI10" s="51" t="str">
        <f>IF($C10="","",VLOOKUP($C10,AMABat!$A$10:$BV$146,AI$4,FALSE))</f>
        <v/>
      </c>
      <c r="AJ10" s="31" t="str">
        <f>IF($C10="","",VLOOKUP($C10,AMABat!$A$10:$BV$146,AJ$4,FALSE))</f>
        <v/>
      </c>
      <c r="AK10" s="60" t="str">
        <f t="shared" si="13"/>
        <v/>
      </c>
      <c r="AL10" s="378" t="str">
        <f t="shared" si="14"/>
        <v/>
      </c>
      <c r="AM10" s="372" t="str">
        <f t="shared" si="15"/>
        <v/>
      </c>
      <c r="AN10" s="372" t="str">
        <f t="shared" si="16"/>
        <v/>
      </c>
      <c r="AO10" s="372" t="str">
        <f t="shared" si="17"/>
        <v/>
      </c>
      <c r="AP10" s="372" t="str">
        <f t="shared" si="18"/>
        <v/>
      </c>
      <c r="AQ10" s="372" t="str">
        <f t="shared" si="19"/>
        <v/>
      </c>
      <c r="AR10" s="372" t="str">
        <f t="shared" si="20"/>
        <v/>
      </c>
      <c r="AS10" s="372" t="str">
        <f t="shared" si="21"/>
        <v/>
      </c>
      <c r="AT10" s="373" t="str">
        <f t="shared" si="22"/>
        <v/>
      </c>
      <c r="AU10" s="51" t="str">
        <f>IF($C10="","",VLOOKUP($C10,AMABat!$A$10:$BV$146,AU$4,FALSE))</f>
        <v/>
      </c>
      <c r="AV10" s="30" t="str">
        <f>IF($C10="","",VLOOKUP($C10,AMABat!$A$10:$BV$146,AV$4,FALSE))</f>
        <v/>
      </c>
      <c r="AW10" s="30" t="str">
        <f>IF($C10="","",VLOOKUP($C10,AMABat!$A$10:$BV$146,AW$4,FALSE))</f>
        <v/>
      </c>
      <c r="AX10" s="30" t="str">
        <f>IF($C10="","",VLOOKUP($C10,AMABat!$A$10:$BV$146,AX$4,FALSE))</f>
        <v/>
      </c>
      <c r="AY10" s="31" t="str">
        <f>IF($C10="","",VLOOKUP($C10,AMABat!$A$10:$BV$146,AY$4,FALSE))</f>
        <v/>
      </c>
      <c r="AZ10" s="60" t="str">
        <f t="shared" si="23"/>
        <v/>
      </c>
    </row>
    <row r="11" spans="1:52" x14ac:dyDescent="0.25">
      <c r="A11" s="305">
        <v>6</v>
      </c>
      <c r="B11" s="29" t="s">
        <v>80</v>
      </c>
      <c r="C11" s="58"/>
      <c r="D11" s="30" t="str">
        <f>IF($C11="","",VLOOKUP($C11,AMABat!$A$10:$BV$146,D$4,FALSE))</f>
        <v/>
      </c>
      <c r="E11" s="30" t="str">
        <f>IF($C11="","",VLOOKUP($C11,AMABat!$A$10:$BV$146,E$4,FALSE))</f>
        <v/>
      </c>
      <c r="F11" s="378" t="str">
        <f t="shared" si="0"/>
        <v/>
      </c>
      <c r="G11" s="372" t="str">
        <f t="shared" si="1"/>
        <v/>
      </c>
      <c r="H11" s="372" t="str">
        <f t="shared" si="2"/>
        <v/>
      </c>
      <c r="I11" s="372" t="str">
        <f t="shared" si="3"/>
        <v/>
      </c>
      <c r="J11" s="51" t="str">
        <f>IF($C11="","",VLOOKUP($C11,AMABat!$A$10:$BV$146,J$4,FALSE))</f>
        <v/>
      </c>
      <c r="K11" s="30" t="str">
        <f>IF($C11="","",VLOOKUP($C11,AMABat!$A$10:$BV$146,K$4,FALSE))</f>
        <v/>
      </c>
      <c r="L11" s="31" t="str">
        <f>IF($C11="","",VLOOKUP($C11,AMABat!$A$10:$BV$146,L$4,FALSE))</f>
        <v/>
      </c>
      <c r="M11" s="30" t="str">
        <f>IF($C11="","",VLOOKUP($C11,AMABat!$A$10:$BV$146,M$4,FALSE))</f>
        <v/>
      </c>
      <c r="N11" s="30" t="str">
        <f>IF($C11="","",VLOOKUP($C11,AMABat!$A$10:$BV$146,N$4,FALSE))</f>
        <v/>
      </c>
      <c r="O11" s="30" t="str">
        <f>IF($C11="","",VLOOKUP($C11,AMABat!$A$10:$BV$146,O$4,FALSE))</f>
        <v/>
      </c>
      <c r="P11" s="30" t="str">
        <f>IF($C11="","",VLOOKUP($C11,AMABat!$A$10:$BV$146,P$4,FALSE))</f>
        <v/>
      </c>
      <c r="Q11" s="30" t="str">
        <f>IF($C11="","",VLOOKUP($C11,AMABat!$A$10:$BV$146,Q$4,FALSE))</f>
        <v/>
      </c>
      <c r="R11" s="30" t="str">
        <f>IF($C11="","",VLOOKUP($C11,AMABat!$A$10:$BV$146,R$4,FALSE))</f>
        <v/>
      </c>
      <c r="S11" s="30" t="str">
        <f>IF($C11="","",VLOOKUP($C11,AMABat!$A$10:$BV$146,S$4,FALSE))</f>
        <v/>
      </c>
      <c r="T11" s="31" t="str">
        <f>IF($C11="","",VLOOKUP($C11,AMABat!$A$10:$BV$146,T$4,FALSE))</f>
        <v/>
      </c>
      <c r="U11" s="378" t="str">
        <f t="shared" si="4"/>
        <v/>
      </c>
      <c r="V11" s="372" t="str">
        <f t="shared" si="5"/>
        <v/>
      </c>
      <c r="W11" s="372" t="str">
        <f t="shared" si="6"/>
        <v/>
      </c>
      <c r="X11" s="372" t="str">
        <f t="shared" si="7"/>
        <v/>
      </c>
      <c r="Y11" s="372" t="str">
        <f t="shared" si="8"/>
        <v/>
      </c>
      <c r="Z11" s="372" t="str">
        <f t="shared" si="9"/>
        <v/>
      </c>
      <c r="AA11" s="372" t="str">
        <f t="shared" si="10"/>
        <v/>
      </c>
      <c r="AB11" s="372" t="str">
        <f t="shared" si="11"/>
        <v/>
      </c>
      <c r="AC11" s="373" t="str">
        <f t="shared" si="12"/>
        <v/>
      </c>
      <c r="AD11" s="30" t="str">
        <f>IF($C11="","",VLOOKUP($C11,AMABat!$A$10:$BV$146,AD$4,FALSE))</f>
        <v/>
      </c>
      <c r="AE11" s="30" t="str">
        <f>IF($C11="","",VLOOKUP($C11,AMABat!$A$10:$BV$146,AE$4,FALSE))</f>
        <v/>
      </c>
      <c r="AF11" s="30" t="str">
        <f>IF($C11="","",VLOOKUP($C11,AMABat!$A$10:$BV$146,AF$4,FALSE))</f>
        <v/>
      </c>
      <c r="AG11" s="30" t="str">
        <f>IF($C11="","",VLOOKUP($C11,AMABat!$A$10:$BV$146,AG$4,FALSE))</f>
        <v/>
      </c>
      <c r="AH11" s="30" t="str">
        <f>IF($C11="","",VLOOKUP($C11,AMABat!$A$10:$BV$146,AH$4,FALSE))</f>
        <v/>
      </c>
      <c r="AI11" s="51" t="str">
        <f>IF($C11="","",VLOOKUP($C11,AMABat!$A$10:$BV$146,AI$4,FALSE))</f>
        <v/>
      </c>
      <c r="AJ11" s="31" t="str">
        <f>IF($C11="","",VLOOKUP($C11,AMABat!$A$10:$BV$146,AJ$4,FALSE))</f>
        <v/>
      </c>
      <c r="AK11" s="60" t="str">
        <f t="shared" si="13"/>
        <v/>
      </c>
      <c r="AL11" s="378" t="str">
        <f t="shared" si="14"/>
        <v/>
      </c>
      <c r="AM11" s="372" t="str">
        <f t="shared" si="15"/>
        <v/>
      </c>
      <c r="AN11" s="372" t="str">
        <f t="shared" si="16"/>
        <v/>
      </c>
      <c r="AO11" s="372" t="str">
        <f t="shared" si="17"/>
        <v/>
      </c>
      <c r="AP11" s="372" t="str">
        <f t="shared" si="18"/>
        <v/>
      </c>
      <c r="AQ11" s="372" t="str">
        <f t="shared" si="19"/>
        <v/>
      </c>
      <c r="AR11" s="372" t="str">
        <f t="shared" si="20"/>
        <v/>
      </c>
      <c r="AS11" s="372" t="str">
        <f t="shared" si="21"/>
        <v/>
      </c>
      <c r="AT11" s="373" t="str">
        <f t="shared" si="22"/>
        <v/>
      </c>
      <c r="AU11" s="51" t="str">
        <f>IF($C11="","",VLOOKUP($C11,AMABat!$A$10:$BV$146,AU$4,FALSE))</f>
        <v/>
      </c>
      <c r="AV11" s="30" t="str">
        <f>IF($C11="","",VLOOKUP($C11,AMABat!$A$10:$BV$146,AV$4,FALSE))</f>
        <v/>
      </c>
      <c r="AW11" s="30" t="str">
        <f>IF($C11="","",VLOOKUP($C11,AMABat!$A$10:$BV$146,AW$4,FALSE))</f>
        <v/>
      </c>
      <c r="AX11" s="30" t="str">
        <f>IF($C11="","",VLOOKUP($C11,AMABat!$A$10:$BV$146,AX$4,FALSE))</f>
        <v/>
      </c>
      <c r="AY11" s="31" t="str">
        <f>IF($C11="","",VLOOKUP($C11,AMABat!$A$10:$BV$146,AY$4,FALSE))</f>
        <v/>
      </c>
      <c r="AZ11" s="60" t="str">
        <f t="shared" si="23"/>
        <v/>
      </c>
    </row>
    <row r="12" spans="1:52" x14ac:dyDescent="0.25">
      <c r="A12" s="305">
        <v>7</v>
      </c>
      <c r="B12" s="29" t="s">
        <v>80</v>
      </c>
      <c r="C12" s="58"/>
      <c r="D12" s="30" t="str">
        <f>IF($C12="","",VLOOKUP($C12,AMABat!$A$10:$BV$146,D$4,FALSE))</f>
        <v/>
      </c>
      <c r="E12" s="30" t="str">
        <f>IF($C12="","",VLOOKUP($C12,AMABat!$A$10:$BV$146,E$4,FALSE))</f>
        <v/>
      </c>
      <c r="F12" s="378" t="str">
        <f t="shared" si="0"/>
        <v/>
      </c>
      <c r="G12" s="372" t="str">
        <f t="shared" si="1"/>
        <v/>
      </c>
      <c r="H12" s="372" t="str">
        <f t="shared" si="2"/>
        <v/>
      </c>
      <c r="I12" s="372" t="str">
        <f t="shared" si="3"/>
        <v/>
      </c>
      <c r="J12" s="51" t="str">
        <f>IF($C12="","",VLOOKUP($C12,AMABat!$A$10:$BV$146,J$4,FALSE))</f>
        <v/>
      </c>
      <c r="K12" s="30" t="str">
        <f>IF($C12="","",VLOOKUP($C12,AMABat!$A$10:$BV$146,K$4,FALSE))</f>
        <v/>
      </c>
      <c r="L12" s="31" t="str">
        <f>IF($C12="","",VLOOKUP($C12,AMABat!$A$10:$BV$146,L$4,FALSE))</f>
        <v/>
      </c>
      <c r="M12" s="30" t="str">
        <f>IF($C12="","",VLOOKUP($C12,AMABat!$A$10:$BV$146,M$4,FALSE))</f>
        <v/>
      </c>
      <c r="N12" s="30" t="str">
        <f>IF($C12="","",VLOOKUP($C12,AMABat!$A$10:$BV$146,N$4,FALSE))</f>
        <v/>
      </c>
      <c r="O12" s="30" t="str">
        <f>IF($C12="","",VLOOKUP($C12,AMABat!$A$10:$BV$146,O$4,FALSE))</f>
        <v/>
      </c>
      <c r="P12" s="30" t="str">
        <f>IF($C12="","",VLOOKUP($C12,AMABat!$A$10:$BV$146,P$4,FALSE))</f>
        <v/>
      </c>
      <c r="Q12" s="30" t="str">
        <f>IF($C12="","",VLOOKUP($C12,AMABat!$A$10:$BV$146,Q$4,FALSE))</f>
        <v/>
      </c>
      <c r="R12" s="30" t="str">
        <f>IF($C12="","",VLOOKUP($C12,AMABat!$A$10:$BV$146,R$4,FALSE))</f>
        <v/>
      </c>
      <c r="S12" s="30" t="str">
        <f>IF($C12="","",VLOOKUP($C12,AMABat!$A$10:$BV$146,S$4,FALSE))</f>
        <v/>
      </c>
      <c r="T12" s="31" t="str">
        <f>IF($C12="","",VLOOKUP($C12,AMABat!$A$10:$BV$146,T$4,FALSE))</f>
        <v/>
      </c>
      <c r="U12" s="378" t="str">
        <f t="shared" si="4"/>
        <v/>
      </c>
      <c r="V12" s="372" t="str">
        <f t="shared" si="5"/>
        <v/>
      </c>
      <c r="W12" s="372" t="str">
        <f t="shared" si="6"/>
        <v/>
      </c>
      <c r="X12" s="372" t="str">
        <f t="shared" si="7"/>
        <v/>
      </c>
      <c r="Y12" s="372" t="str">
        <f t="shared" si="8"/>
        <v/>
      </c>
      <c r="Z12" s="372" t="str">
        <f t="shared" si="9"/>
        <v/>
      </c>
      <c r="AA12" s="372" t="str">
        <f t="shared" si="10"/>
        <v/>
      </c>
      <c r="AB12" s="372" t="str">
        <f t="shared" si="11"/>
        <v/>
      </c>
      <c r="AC12" s="373" t="str">
        <f t="shared" si="12"/>
        <v/>
      </c>
      <c r="AD12" s="30" t="str">
        <f>IF($C12="","",VLOOKUP($C12,AMABat!$A$10:$BV$146,AD$4,FALSE))</f>
        <v/>
      </c>
      <c r="AE12" s="30" t="str">
        <f>IF($C12="","",VLOOKUP($C12,AMABat!$A$10:$BV$146,AE$4,FALSE))</f>
        <v/>
      </c>
      <c r="AF12" s="30" t="str">
        <f>IF($C12="","",VLOOKUP($C12,AMABat!$A$10:$BV$146,AF$4,FALSE))</f>
        <v/>
      </c>
      <c r="AG12" s="30" t="str">
        <f>IF($C12="","",VLOOKUP($C12,AMABat!$A$10:$BV$146,AG$4,FALSE))</f>
        <v/>
      </c>
      <c r="AH12" s="30" t="str">
        <f>IF($C12="","",VLOOKUP($C12,AMABat!$A$10:$BV$146,AH$4,FALSE))</f>
        <v/>
      </c>
      <c r="AI12" s="51" t="str">
        <f>IF($C12="","",VLOOKUP($C12,AMABat!$A$10:$BV$146,AI$4,FALSE))</f>
        <v/>
      </c>
      <c r="AJ12" s="31" t="str">
        <f>IF($C12="","",VLOOKUP($C12,AMABat!$A$10:$BV$146,AJ$4,FALSE))</f>
        <v/>
      </c>
      <c r="AK12" s="60" t="str">
        <f t="shared" si="13"/>
        <v/>
      </c>
      <c r="AL12" s="378" t="str">
        <f t="shared" si="14"/>
        <v/>
      </c>
      <c r="AM12" s="372" t="str">
        <f t="shared" si="15"/>
        <v/>
      </c>
      <c r="AN12" s="372" t="str">
        <f t="shared" si="16"/>
        <v/>
      </c>
      <c r="AO12" s="372" t="str">
        <f t="shared" si="17"/>
        <v/>
      </c>
      <c r="AP12" s="372" t="str">
        <f t="shared" si="18"/>
        <v/>
      </c>
      <c r="AQ12" s="372" t="str">
        <f t="shared" si="19"/>
        <v/>
      </c>
      <c r="AR12" s="372" t="str">
        <f t="shared" si="20"/>
        <v/>
      </c>
      <c r="AS12" s="372" t="str">
        <f t="shared" si="21"/>
        <v/>
      </c>
      <c r="AT12" s="373" t="str">
        <f t="shared" si="22"/>
        <v/>
      </c>
      <c r="AU12" s="51" t="str">
        <f>IF($C12="","",VLOOKUP($C12,AMABat!$A$10:$BV$146,AU$4,FALSE))</f>
        <v/>
      </c>
      <c r="AV12" s="30" t="str">
        <f>IF($C12="","",VLOOKUP($C12,AMABat!$A$10:$BV$146,AV$4,FALSE))</f>
        <v/>
      </c>
      <c r="AW12" s="30" t="str">
        <f>IF($C12="","",VLOOKUP($C12,AMABat!$A$10:$BV$146,AW$4,FALSE))</f>
        <v/>
      </c>
      <c r="AX12" s="30" t="str">
        <f>IF($C12="","",VLOOKUP($C12,AMABat!$A$10:$BV$146,AX$4,FALSE))</f>
        <v/>
      </c>
      <c r="AY12" s="31" t="str">
        <f>IF($C12="","",VLOOKUP($C12,AMABat!$A$10:$BV$146,AY$4,FALSE))</f>
        <v/>
      </c>
      <c r="AZ12" s="60" t="str">
        <f t="shared" si="23"/>
        <v/>
      </c>
    </row>
    <row r="13" spans="1:52" x14ac:dyDescent="0.25">
      <c r="A13" s="305">
        <v>8</v>
      </c>
      <c r="B13" s="29" t="s">
        <v>80</v>
      </c>
      <c r="C13" s="58"/>
      <c r="D13" s="30" t="str">
        <f>IF($C13="","",VLOOKUP($C13,AMABat!$A$10:$BV$146,D$4,FALSE))</f>
        <v/>
      </c>
      <c r="E13" s="30" t="str">
        <f>IF($C13="","",VLOOKUP($C13,AMABat!$A$10:$BV$146,E$4,FALSE))</f>
        <v/>
      </c>
      <c r="F13" s="378" t="str">
        <f t="shared" si="0"/>
        <v/>
      </c>
      <c r="G13" s="372" t="str">
        <f t="shared" si="1"/>
        <v/>
      </c>
      <c r="H13" s="372" t="str">
        <f t="shared" si="2"/>
        <v/>
      </c>
      <c r="I13" s="372" t="str">
        <f t="shared" si="3"/>
        <v/>
      </c>
      <c r="J13" s="51" t="str">
        <f>IF($C13="","",VLOOKUP($C13,AMABat!$A$10:$BV$146,J$4,FALSE))</f>
        <v/>
      </c>
      <c r="K13" s="30" t="str">
        <f>IF($C13="","",VLOOKUP($C13,AMABat!$A$10:$BV$146,K$4,FALSE))</f>
        <v/>
      </c>
      <c r="L13" s="31" t="str">
        <f>IF($C13="","",VLOOKUP($C13,AMABat!$A$10:$BV$146,L$4,FALSE))</f>
        <v/>
      </c>
      <c r="M13" s="30" t="str">
        <f>IF($C13="","",VLOOKUP($C13,AMABat!$A$10:$BV$146,M$4,FALSE))</f>
        <v/>
      </c>
      <c r="N13" s="30" t="str">
        <f>IF($C13="","",VLOOKUP($C13,AMABat!$A$10:$BV$146,N$4,FALSE))</f>
        <v/>
      </c>
      <c r="O13" s="30" t="str">
        <f>IF($C13="","",VLOOKUP($C13,AMABat!$A$10:$BV$146,O$4,FALSE))</f>
        <v/>
      </c>
      <c r="P13" s="30" t="str">
        <f>IF($C13="","",VLOOKUP($C13,AMABat!$A$10:$BV$146,P$4,FALSE))</f>
        <v/>
      </c>
      <c r="Q13" s="30" t="str">
        <f>IF($C13="","",VLOOKUP($C13,AMABat!$A$10:$BV$146,Q$4,FALSE))</f>
        <v/>
      </c>
      <c r="R13" s="30" t="str">
        <f>IF($C13="","",VLOOKUP($C13,AMABat!$A$10:$BV$146,R$4,FALSE))</f>
        <v/>
      </c>
      <c r="S13" s="30" t="str">
        <f>IF($C13="","",VLOOKUP($C13,AMABat!$A$10:$BV$146,S$4,FALSE))</f>
        <v/>
      </c>
      <c r="T13" s="31" t="str">
        <f>IF($C13="","",VLOOKUP($C13,AMABat!$A$10:$BV$146,T$4,FALSE))</f>
        <v/>
      </c>
      <c r="U13" s="378" t="str">
        <f t="shared" si="4"/>
        <v/>
      </c>
      <c r="V13" s="372" t="str">
        <f t="shared" si="5"/>
        <v/>
      </c>
      <c r="W13" s="372" t="str">
        <f t="shared" si="6"/>
        <v/>
      </c>
      <c r="X13" s="372" t="str">
        <f t="shared" si="7"/>
        <v/>
      </c>
      <c r="Y13" s="372" t="str">
        <f t="shared" si="8"/>
        <v/>
      </c>
      <c r="Z13" s="372" t="str">
        <f t="shared" si="9"/>
        <v/>
      </c>
      <c r="AA13" s="372" t="str">
        <f t="shared" si="10"/>
        <v/>
      </c>
      <c r="AB13" s="372" t="str">
        <f t="shared" si="11"/>
        <v/>
      </c>
      <c r="AC13" s="373" t="str">
        <f t="shared" si="12"/>
        <v/>
      </c>
      <c r="AD13" s="30" t="str">
        <f>IF($C13="","",VLOOKUP($C13,AMABat!$A$10:$BV$146,AD$4,FALSE))</f>
        <v/>
      </c>
      <c r="AE13" s="30" t="str">
        <f>IF($C13="","",VLOOKUP($C13,AMABat!$A$10:$BV$146,AE$4,FALSE))</f>
        <v/>
      </c>
      <c r="AF13" s="30" t="str">
        <f>IF($C13="","",VLOOKUP($C13,AMABat!$A$10:$BV$146,AF$4,FALSE))</f>
        <v/>
      </c>
      <c r="AG13" s="30" t="str">
        <f>IF($C13="","",VLOOKUP($C13,AMABat!$A$10:$BV$146,AG$4,FALSE))</f>
        <v/>
      </c>
      <c r="AH13" s="30" t="str">
        <f>IF($C13="","",VLOOKUP($C13,AMABat!$A$10:$BV$146,AH$4,FALSE))</f>
        <v/>
      </c>
      <c r="AI13" s="51" t="str">
        <f>IF($C13="","",VLOOKUP($C13,AMABat!$A$10:$BV$146,AI$4,FALSE))</f>
        <v/>
      </c>
      <c r="AJ13" s="31" t="str">
        <f>IF($C13="","",VLOOKUP($C13,AMABat!$A$10:$BV$146,AJ$4,FALSE))</f>
        <v/>
      </c>
      <c r="AK13" s="60" t="str">
        <f t="shared" si="13"/>
        <v/>
      </c>
      <c r="AL13" s="378" t="str">
        <f t="shared" si="14"/>
        <v/>
      </c>
      <c r="AM13" s="372" t="str">
        <f t="shared" si="15"/>
        <v/>
      </c>
      <c r="AN13" s="372" t="str">
        <f t="shared" si="16"/>
        <v/>
      </c>
      <c r="AO13" s="372" t="str">
        <f t="shared" si="17"/>
        <v/>
      </c>
      <c r="AP13" s="372" t="str">
        <f t="shared" si="18"/>
        <v/>
      </c>
      <c r="AQ13" s="372" t="str">
        <f t="shared" si="19"/>
        <v/>
      </c>
      <c r="AR13" s="372" t="str">
        <f t="shared" si="20"/>
        <v/>
      </c>
      <c r="AS13" s="372" t="str">
        <f t="shared" si="21"/>
        <v/>
      </c>
      <c r="AT13" s="373" t="str">
        <f t="shared" si="22"/>
        <v/>
      </c>
      <c r="AU13" s="51" t="str">
        <f>IF($C13="","",VLOOKUP($C13,AMABat!$A$10:$BV$146,AU$4,FALSE))</f>
        <v/>
      </c>
      <c r="AV13" s="30" t="str">
        <f>IF($C13="","",VLOOKUP($C13,AMABat!$A$10:$BV$146,AV$4,FALSE))</f>
        <v/>
      </c>
      <c r="AW13" s="30" t="str">
        <f>IF($C13="","",VLOOKUP($C13,AMABat!$A$10:$BV$146,AW$4,FALSE))</f>
        <v/>
      </c>
      <c r="AX13" s="30" t="str">
        <f>IF($C13="","",VLOOKUP($C13,AMABat!$A$10:$BV$146,AX$4,FALSE))</f>
        <v/>
      </c>
      <c r="AY13" s="31" t="str">
        <f>IF($C13="","",VLOOKUP($C13,AMABat!$A$10:$BV$146,AY$4,FALSE))</f>
        <v/>
      </c>
      <c r="AZ13" s="60" t="str">
        <f t="shared" si="23"/>
        <v/>
      </c>
    </row>
    <row r="14" spans="1:52" x14ac:dyDescent="0.25">
      <c r="A14" s="305">
        <v>9</v>
      </c>
      <c r="B14" s="32" t="s">
        <v>80</v>
      </c>
      <c r="C14" s="33"/>
      <c r="D14" s="33" t="str">
        <f>IF($C14="","",VLOOKUP($C14,AMABat!$A$10:$BV$146,D$4,FALSE))</f>
        <v/>
      </c>
      <c r="E14" s="33" t="str">
        <f>IF($C14="","",VLOOKUP($C14,AMABat!$A$10:$BV$146,E$4,FALSE))</f>
        <v/>
      </c>
      <c r="F14" s="47" t="str">
        <f t="shared" si="0"/>
        <v/>
      </c>
      <c r="G14" s="370" t="str">
        <f t="shared" si="1"/>
        <v/>
      </c>
      <c r="H14" s="370" t="str">
        <f t="shared" si="2"/>
        <v/>
      </c>
      <c r="I14" s="370" t="str">
        <f t="shared" si="3"/>
        <v/>
      </c>
      <c r="J14" s="52" t="str">
        <f>IF($C14="","",VLOOKUP($C14,AMABat!$A$10:$BV$146,J$4,FALSE))</f>
        <v/>
      </c>
      <c r="K14" s="33" t="str">
        <f>IF($C14="","",VLOOKUP($C14,AMABat!$A$10:$BV$146,K$4,FALSE))</f>
        <v/>
      </c>
      <c r="L14" s="35" t="str">
        <f>IF($C14="","",VLOOKUP($C14,AMABat!$A$10:$BV$146,L$4,FALSE))</f>
        <v/>
      </c>
      <c r="M14" s="33" t="str">
        <f>IF($C14="","",VLOOKUP($C14,AMABat!$A$10:$BV$146,M$4,FALSE))</f>
        <v/>
      </c>
      <c r="N14" s="33" t="str">
        <f>IF($C14="","",VLOOKUP($C14,AMABat!$A$10:$BV$146,N$4,FALSE))</f>
        <v/>
      </c>
      <c r="O14" s="33" t="str">
        <f>IF($C14="","",VLOOKUP($C14,AMABat!$A$10:$BV$146,O$4,FALSE))</f>
        <v/>
      </c>
      <c r="P14" s="33" t="str">
        <f>IF($C14="","",VLOOKUP($C14,AMABat!$A$10:$BV$146,P$4,FALSE))</f>
        <v/>
      </c>
      <c r="Q14" s="33" t="str">
        <f>IF($C14="","",VLOOKUP($C14,AMABat!$A$10:$BV$146,Q$4,FALSE))</f>
        <v/>
      </c>
      <c r="R14" s="33" t="str">
        <f>IF($C14="","",VLOOKUP($C14,AMABat!$A$10:$BV$146,R$4,FALSE))</f>
        <v/>
      </c>
      <c r="S14" s="33" t="str">
        <f>IF($C14="","",VLOOKUP($C14,AMABat!$A$10:$BV$146,S$4,FALSE))</f>
        <v/>
      </c>
      <c r="T14" s="35" t="str">
        <f>IF($C14="","",VLOOKUP($C14,AMABat!$A$10:$BV$146,T$4,FALSE))</f>
        <v/>
      </c>
      <c r="U14" s="47" t="str">
        <f t="shared" si="4"/>
        <v/>
      </c>
      <c r="V14" s="370" t="str">
        <f t="shared" si="5"/>
        <v/>
      </c>
      <c r="W14" s="370" t="str">
        <f t="shared" si="6"/>
        <v/>
      </c>
      <c r="X14" s="370" t="str">
        <f t="shared" si="7"/>
        <v/>
      </c>
      <c r="Y14" s="370" t="str">
        <f t="shared" si="8"/>
        <v/>
      </c>
      <c r="Z14" s="370" t="str">
        <f t="shared" si="9"/>
        <v/>
      </c>
      <c r="AA14" s="370" t="str">
        <f t="shared" si="10"/>
        <v/>
      </c>
      <c r="AB14" s="370" t="str">
        <f t="shared" si="11"/>
        <v/>
      </c>
      <c r="AC14" s="371" t="str">
        <f t="shared" si="12"/>
        <v/>
      </c>
      <c r="AD14" s="33" t="str">
        <f>IF($C14="","",VLOOKUP($C14,AMABat!$A$10:$BV$146,AD$4,FALSE))</f>
        <v/>
      </c>
      <c r="AE14" s="33" t="str">
        <f>IF($C14="","",VLOOKUP($C14,AMABat!$A$10:$BV$146,AE$4,FALSE))</f>
        <v/>
      </c>
      <c r="AF14" s="33" t="str">
        <f>IF($C14="","",VLOOKUP($C14,AMABat!$A$10:$BV$146,AF$4,FALSE))</f>
        <v/>
      </c>
      <c r="AG14" s="33" t="str">
        <f>IF($C14="","",VLOOKUP($C14,AMABat!$A$10:$BV$146,AG$4,FALSE))</f>
        <v/>
      </c>
      <c r="AH14" s="33" t="str">
        <f>IF($C14="","",VLOOKUP($C14,AMABat!$A$10:$BV$146,AH$4,FALSE))</f>
        <v/>
      </c>
      <c r="AI14" s="52" t="str">
        <f>IF($C14="","",VLOOKUP($C14,AMABat!$A$10:$BV$146,AI$4,FALSE))</f>
        <v/>
      </c>
      <c r="AJ14" s="35" t="str">
        <f>IF($C14="","",VLOOKUP($C14,AMABat!$A$10:$BV$146,AJ$4,FALSE))</f>
        <v/>
      </c>
      <c r="AK14" s="61" t="str">
        <f t="shared" si="13"/>
        <v/>
      </c>
      <c r="AL14" s="47" t="str">
        <f t="shared" si="14"/>
        <v/>
      </c>
      <c r="AM14" s="370" t="str">
        <f t="shared" si="15"/>
        <v/>
      </c>
      <c r="AN14" s="370" t="str">
        <f t="shared" si="16"/>
        <v/>
      </c>
      <c r="AO14" s="370" t="str">
        <f t="shared" si="17"/>
        <v/>
      </c>
      <c r="AP14" s="370" t="str">
        <f t="shared" si="18"/>
        <v/>
      </c>
      <c r="AQ14" s="370" t="str">
        <f t="shared" si="19"/>
        <v/>
      </c>
      <c r="AR14" s="370" t="str">
        <f t="shared" si="20"/>
        <v/>
      </c>
      <c r="AS14" s="370" t="str">
        <f t="shared" si="21"/>
        <v/>
      </c>
      <c r="AT14" s="371" t="str">
        <f t="shared" si="22"/>
        <v/>
      </c>
      <c r="AU14" s="52" t="str">
        <f>IF($C14="","",VLOOKUP($C14,AMABat!$A$10:$BV$146,AU$4,FALSE))</f>
        <v/>
      </c>
      <c r="AV14" s="33" t="str">
        <f>IF($C14="","",VLOOKUP($C14,AMABat!$A$10:$BV$146,AV$4,FALSE))</f>
        <v/>
      </c>
      <c r="AW14" s="33" t="str">
        <f>IF($C14="","",VLOOKUP($C14,AMABat!$A$10:$BV$146,AW$4,FALSE))</f>
        <v/>
      </c>
      <c r="AX14" s="33" t="str">
        <f>IF($C14="","",VLOOKUP($C14,AMABat!$A$10:$BV$146,AX$4,FALSE))</f>
        <v/>
      </c>
      <c r="AY14" s="35" t="str">
        <f>IF($C14="","",VLOOKUP($C14,AMABat!$A$10:$BV$146,AY$4,FALSE))</f>
        <v/>
      </c>
      <c r="AZ14" s="61" t="str">
        <f t="shared" si="23"/>
        <v/>
      </c>
    </row>
    <row r="16" spans="1:52" ht="196.5" x14ac:dyDescent="0.25">
      <c r="A16" s="18" t="s">
        <v>170</v>
      </c>
      <c r="B16" s="374" t="s">
        <v>103</v>
      </c>
      <c r="C16" s="37" t="str">
        <f>"Player ("&amp;COUNTA(C17:C22)&amp;")"</f>
        <v>Player (0)</v>
      </c>
      <c r="D16" s="37" t="s">
        <v>70</v>
      </c>
      <c r="E16" s="37" t="s">
        <v>80</v>
      </c>
      <c r="F16" s="44" t="str">
        <f>"Only 1 guy who only plays 2B ("&amp;SUM(F17:F22)&amp;")"</f>
        <v>Only 1 guy who only plays 2B (0)</v>
      </c>
      <c r="G16" s="39" t="str">
        <f>"2 Guys Who Play SS ("&amp;SUM(G17:G22)&amp;")"</f>
        <v>2 Guys Who Play SS (0)</v>
      </c>
      <c r="H16" s="39" t="str">
        <f>"2 guys with 3B arm ("&amp;SUM(H17:H22)&amp;")"</f>
        <v>2 guys with 3B arm (0)</v>
      </c>
      <c r="I16" s="42" t="s">
        <v>32</v>
      </c>
      <c r="J16" s="40" t="s">
        <v>114</v>
      </c>
      <c r="K16" s="40" t="s">
        <v>112</v>
      </c>
      <c r="L16" s="40" t="s">
        <v>113</v>
      </c>
      <c r="M16" s="56" t="s">
        <v>71</v>
      </c>
      <c r="N16" s="41" t="s">
        <v>73</v>
      </c>
      <c r="O16" s="41" t="s">
        <v>74</v>
      </c>
      <c r="P16" s="41" t="s">
        <v>75</v>
      </c>
      <c r="Q16" s="41" t="s">
        <v>76</v>
      </c>
      <c r="R16" s="41" t="s">
        <v>77</v>
      </c>
      <c r="S16" s="41" t="s">
        <v>78</v>
      </c>
      <c r="T16" s="42" t="s">
        <v>79</v>
      </c>
      <c r="U16" s="38" t="s">
        <v>115</v>
      </c>
      <c r="V16" s="38" t="s">
        <v>158</v>
      </c>
      <c r="W16" s="38" t="s">
        <v>116</v>
      </c>
      <c r="X16" s="38" t="s">
        <v>117</v>
      </c>
      <c r="Y16" s="38" t="s">
        <v>118</v>
      </c>
      <c r="Z16" s="38" t="s">
        <v>119</v>
      </c>
      <c r="AA16" s="38" t="s">
        <v>120</v>
      </c>
      <c r="AB16" s="38" t="s">
        <v>122</v>
      </c>
      <c r="AC16" s="38" t="s">
        <v>121</v>
      </c>
      <c r="AD16" s="56" t="s">
        <v>125</v>
      </c>
      <c r="AE16" s="41" t="s">
        <v>126</v>
      </c>
      <c r="AF16" s="41" t="s">
        <v>127</v>
      </c>
      <c r="AG16" s="41" t="s">
        <v>128</v>
      </c>
      <c r="AH16" s="41" t="s">
        <v>21</v>
      </c>
      <c r="AI16" s="41" t="s">
        <v>129</v>
      </c>
      <c r="AJ16" s="42" t="s">
        <v>130</v>
      </c>
      <c r="AK16" s="59" t="s">
        <v>134</v>
      </c>
      <c r="AL16" s="38" t="s">
        <v>115</v>
      </c>
      <c r="AM16" s="38" t="s">
        <v>158</v>
      </c>
      <c r="AN16" s="38" t="s">
        <v>116</v>
      </c>
      <c r="AO16" s="38" t="s">
        <v>117</v>
      </c>
      <c r="AP16" s="38" t="s">
        <v>118</v>
      </c>
      <c r="AQ16" s="38" t="s">
        <v>119</v>
      </c>
      <c r="AR16" s="38" t="s">
        <v>120</v>
      </c>
      <c r="AS16" s="38" t="s">
        <v>122</v>
      </c>
      <c r="AT16" s="38" t="s">
        <v>121</v>
      </c>
      <c r="AU16" s="56" t="s">
        <v>125</v>
      </c>
      <c r="AV16" s="41" t="s">
        <v>126</v>
      </c>
      <c r="AW16" s="41" t="s">
        <v>127</v>
      </c>
      <c r="AX16" s="41" t="s">
        <v>128</v>
      </c>
      <c r="AY16" s="42" t="s">
        <v>21</v>
      </c>
      <c r="AZ16" s="59" t="s">
        <v>174</v>
      </c>
    </row>
    <row r="17" spans="1:52" x14ac:dyDescent="0.25">
      <c r="A17" s="305">
        <v>1</v>
      </c>
      <c r="B17" s="29" t="s">
        <v>74</v>
      </c>
      <c r="C17" s="30"/>
      <c r="D17" s="30" t="str">
        <f>IF($C17="","",VLOOKUP($C17,AMABat!$A$10:$BV$146,D$4,FALSE))</f>
        <v/>
      </c>
      <c r="E17" s="26" t="str">
        <f>IF($C17="","",VLOOKUP($C17,AMABat!$A$10:$BV$146,E$4,FALSE))</f>
        <v/>
      </c>
      <c r="F17" s="378" t="str">
        <f t="shared" ref="F17:F22" si="24">IF($C17="","",IF(AND(O17&gt;0,O17=SUM(M17:T17)),1,0))</f>
        <v/>
      </c>
      <c r="G17" s="372" t="str">
        <f t="shared" ref="G17:G22" si="25">IF($C17="","",IF(Q17&lt;&gt;"-",1,0))</f>
        <v/>
      </c>
      <c r="H17" s="372" t="str">
        <f t="shared" ref="H17:H22" si="26">IF($C17="","",IF(AND(K17&gt;5,P17&lt;&gt;"-"),1,0))</f>
        <v/>
      </c>
      <c r="I17" s="373" t="str">
        <f t="shared" ref="I17:I22" si="27">IF($C17="","","-")</f>
        <v/>
      </c>
      <c r="J17" s="30" t="str">
        <f>IF($C17="","",VLOOKUP($C17,AMABat!$A$10:$BV$146,J$4,FALSE))</f>
        <v/>
      </c>
      <c r="K17" s="30" t="str">
        <f>IF($C17="","",VLOOKUP($C17,AMABat!$A$10:$BV$146,K$4,FALSE))</f>
        <v/>
      </c>
      <c r="L17" s="30" t="str">
        <f>IF($C17="","",VLOOKUP($C17,AMABat!$A$10:$BV$146,L$4,FALSE))</f>
        <v/>
      </c>
      <c r="M17" s="51" t="str">
        <f>IF($C17="","",VLOOKUP($C17,AMABat!$A$10:$BV$146,M$4,FALSE))</f>
        <v/>
      </c>
      <c r="N17" s="30" t="str">
        <f>IF($C17="","",VLOOKUP($C17,AMABat!$A$10:$BV$146,N$4,FALSE))</f>
        <v/>
      </c>
      <c r="O17" s="30" t="str">
        <f>IF($C17="","",VLOOKUP($C17,AMABat!$A$10:$BV$146,O$4,FALSE))</f>
        <v/>
      </c>
      <c r="P17" s="30" t="str">
        <f>IF($C17="","",VLOOKUP($C17,AMABat!$A$10:$BV$146,P$4,FALSE))</f>
        <v/>
      </c>
      <c r="Q17" s="30" t="str">
        <f>IF($C17="","",VLOOKUP($C17,AMABat!$A$10:$BV$146,Q$4,FALSE))</f>
        <v/>
      </c>
      <c r="R17" s="30" t="str">
        <f>IF($C17="","",VLOOKUP($C17,AMABat!$A$10:$BV$146,R$4,FALSE))</f>
        <v/>
      </c>
      <c r="S17" s="30" t="str">
        <f>IF($C17="","",VLOOKUP($C17,AMABat!$A$10:$BV$146,S$4,FALSE))</f>
        <v/>
      </c>
      <c r="T17" s="31" t="str">
        <f>IF($C17="","",VLOOKUP($C17,AMABat!$A$10:$BV$146,T$4,FALSE))</f>
        <v/>
      </c>
      <c r="U17" s="372" t="str">
        <f t="shared" ref="U17:U22" si="28">IF($C17="","",IF(OR(AD17+AG17&gt;14,AND(OR(AD17+AG17&gt;12,AND(AD17&gt;6,AG17&gt;6)),AI17&gt;6,OR(AJ17&gt;=AI17,AJ17&gt;6))),1,0))</f>
        <v/>
      </c>
      <c r="V17" s="372" t="str">
        <f t="shared" ref="V17:V22" si="29">IF($C17="","",IF(OR(AND(AD17&gt;6,AH17&gt;6),AD17+AG17&gt;12),1,0))</f>
        <v/>
      </c>
      <c r="W17" s="372" t="str">
        <f t="shared" ref="W17:W22" si="30">IF($C17="","",IF(AND(AD17&gt;6,AF17&gt;6,AG17&gt;6),1,0))</f>
        <v/>
      </c>
      <c r="X17" s="372" t="str">
        <f t="shared" ref="X17:X22" si="31">IF($C17="","",IF(AND(AF17&gt;7,OR(AD17&gt;6,AG17&gt;6)),1,0))</f>
        <v/>
      </c>
      <c r="Y17" s="372" t="str">
        <f t="shared" ref="Y17:Y22" si="32">IF($C17="","",IF(AND(AF17&gt;6,OR(AD17&gt;6,AG17&gt;6)),1,0))</f>
        <v/>
      </c>
      <c r="Z17" s="372" t="str">
        <f t="shared" ref="Z17:Z22" si="33">IF($C17="","",IF(AND(OR(AD17&gt;6,AF17&gt;6),OR(AD17&gt;6,AG17&gt;6)),1,0))</f>
        <v/>
      </c>
      <c r="AA17" s="372" t="str">
        <f t="shared" ref="AA17:AA22" si="34">IF($C17="","",IF(AND(AD17&gt;4,OR(AD17&gt;6,AF17&gt;6,AG17&gt;6)),1,0))</f>
        <v/>
      </c>
      <c r="AB17" s="372" t="str">
        <f t="shared" ref="AB17:AB22" si="35">IF($C17="","",IF(AND(AD17&gt;4,OR(AD17&gt;6,AE17&gt;6,AF17&gt;6,AG17&gt;6)),1,0))</f>
        <v/>
      </c>
      <c r="AC17" s="372" t="str">
        <f t="shared" ref="AC17:AC22" si="36">IF($C17="","",IF(AND(AD17&gt;4,MAX(AD17:AH17)&gt;6),1,0))</f>
        <v/>
      </c>
      <c r="AD17" s="51" t="str">
        <f>IF($C17="","",VLOOKUP($C17,AMABat!$A$10:$BV$146,AD$4,FALSE))</f>
        <v/>
      </c>
      <c r="AE17" s="30" t="str">
        <f>IF($C17="","",VLOOKUP($C17,AMABat!$A$10:$BV$146,AE$4,FALSE))</f>
        <v/>
      </c>
      <c r="AF17" s="30" t="str">
        <f>IF($C17="","",VLOOKUP($C17,AMABat!$A$10:$BV$146,AF$4,FALSE))</f>
        <v/>
      </c>
      <c r="AG17" s="30" t="str">
        <f>IF($C17="","",VLOOKUP($C17,AMABat!$A$10:$BV$146,AG$4,FALSE))</f>
        <v/>
      </c>
      <c r="AH17" s="30" t="str">
        <f>IF($C17="","",VLOOKUP($C17,AMABat!$A$10:$BV$146,AH$4,FALSE))</f>
        <v/>
      </c>
      <c r="AI17" s="30" t="str">
        <f>IF($C17="","",VLOOKUP($C17,AMABat!$A$10:$BV$146,AI$4,FALSE))</f>
        <v/>
      </c>
      <c r="AJ17" s="31" t="str">
        <f>IF($C17="","",VLOOKUP($C17,AMABat!$A$10:$BV$146,AJ$4,FALSE))</f>
        <v/>
      </c>
      <c r="AK17" s="60" t="str">
        <f t="shared" ref="AK17:AK22" si="37">IF($C17="","",(5*AD17+4*AF17+3*AG17+2*AE17+1*AH17+0.5*(AVERAGE(AD17:AE17))+0.5*AVERAGE(AD17,AH17)+1*(AVERAGE(AD17,AF17))+1*AVERAGE(AD17,AG17))/(5+4+3+2+1+0.5+0.5+1+1))</f>
        <v/>
      </c>
      <c r="AL17" s="372" t="str">
        <f t="shared" ref="AL17:AL22" si="38">IF($C17="","",IF(AND(OR(AU17+AX17&gt;12,AND(AU17&gt;6,AX17&gt;6)),AI17&gt;6,OR(AJ17&gt;=AI17,AJ17&gt;6)),1,0))</f>
        <v/>
      </c>
      <c r="AM17" s="372" t="str">
        <f t="shared" ref="AM17:AM22" si="39">IF($C17="","",IF(OR(AND(AU17&gt;6,AY17&gt;6),AU17+AX17&gt;12),1,0))</f>
        <v/>
      </c>
      <c r="AN17" s="372" t="str">
        <f t="shared" ref="AN17:AN22" si="40">IF($C17="","",IF(AND(AU17&gt;6,AW17&gt;6,AX17&gt;6),1,0))</f>
        <v/>
      </c>
      <c r="AO17" s="372" t="str">
        <f t="shared" ref="AO17:AO22" si="41">IF($C17="","",IF(AND(AW17&gt;7,OR(AU17&gt;6,AX17&gt;6)),1,0))</f>
        <v/>
      </c>
      <c r="AP17" s="372" t="str">
        <f t="shared" ref="AP17:AP22" si="42">IF($C17="","",IF(AND(AW17&gt;6,OR(AU17&gt;6,AX17&gt;6)),1,0))</f>
        <v/>
      </c>
      <c r="AQ17" s="372" t="str">
        <f t="shared" ref="AQ17:AQ22" si="43">IF($C17="","",IF(AND(OR(AU17&gt;6,AW17&gt;6),OR(AU17&gt;6,AX17&gt;6)),1,0))</f>
        <v/>
      </c>
      <c r="AR17" s="372" t="str">
        <f t="shared" ref="AR17:AR22" si="44">IF($C17="","",IF(AND(AU17&gt;4,OR(AU17&gt;6,AW17&gt;6,AX17&gt;6)),1,0))</f>
        <v/>
      </c>
      <c r="AS17" s="372" t="str">
        <f t="shared" ref="AS17:AS22" si="45">IF($C17="","",IF(AND(AU17&gt;4,OR(AU17&gt;6,AV17&gt;6,AW17&gt;6,AX17&gt;6)),1,0))</f>
        <v/>
      </c>
      <c r="AT17" s="372" t="str">
        <f t="shared" ref="AT17:AT22" si="46">IF($C17="","",IF(AND(AU17&gt;4,MAX(AU17:AY17)&gt;6),1,0))</f>
        <v/>
      </c>
      <c r="AU17" s="51" t="str">
        <f>IF($C17="","",VLOOKUP($C17,AMABat!$A$10:$BV$146,AU$4,FALSE))</f>
        <v/>
      </c>
      <c r="AV17" s="30" t="str">
        <f>IF($C17="","",VLOOKUP($C17,AMABat!$A$10:$BV$146,AV$4,FALSE))</f>
        <v/>
      </c>
      <c r="AW17" s="30" t="str">
        <f>IF($C17="","",VLOOKUP($C17,AMABat!$A$10:$BV$146,AW$4,FALSE))</f>
        <v/>
      </c>
      <c r="AX17" s="30" t="str">
        <f>IF($C17="","",VLOOKUP($C17,AMABat!$A$10:$BV$146,AX$4,FALSE))</f>
        <v/>
      </c>
      <c r="AY17" s="31" t="str">
        <f>IF($C17="","",VLOOKUP($C17,AMABat!$A$10:$BV$146,AY$4,FALSE))</f>
        <v/>
      </c>
      <c r="AZ17" s="60" t="str">
        <f t="shared" ref="AZ17:AZ22" si="47">IF($C17="","",(5*AU17+4*AW17+3*AX17+2*AV17+1*AY17+0.5*(AVERAGE(AU17:AV17))+0.5*AVERAGE(AU17,AY17)+1*(AVERAGE(AU17,AW17))+1*AVERAGE(AU17,AX17))/(5+4+3+2+1+0.5+0.5+1+1))</f>
        <v/>
      </c>
    </row>
    <row r="18" spans="1:52" x14ac:dyDescent="0.25">
      <c r="A18" s="305">
        <v>2</v>
      </c>
      <c r="B18" s="29" t="s">
        <v>75</v>
      </c>
      <c r="C18" s="58"/>
      <c r="D18" s="30" t="str">
        <f>IF($C18="","",VLOOKUP($C18,AMABat!$A$10:$BV$146,D$4,FALSE))</f>
        <v/>
      </c>
      <c r="E18" s="30" t="str">
        <f>IF($C18="","",VLOOKUP($C18,AMABat!$A$10:$BV$146,E$4,FALSE))</f>
        <v/>
      </c>
      <c r="F18" s="378" t="str">
        <f t="shared" si="24"/>
        <v/>
      </c>
      <c r="G18" s="372" t="str">
        <f t="shared" si="25"/>
        <v/>
      </c>
      <c r="H18" s="372" t="str">
        <f t="shared" si="26"/>
        <v/>
      </c>
      <c r="I18" s="373" t="str">
        <f t="shared" si="27"/>
        <v/>
      </c>
      <c r="J18" s="30" t="str">
        <f>IF($C18="","",VLOOKUP($C18,AMABat!$A$10:$BV$146,J$4,FALSE))</f>
        <v/>
      </c>
      <c r="K18" s="30" t="str">
        <f>IF($C18="","",VLOOKUP($C18,AMABat!$A$10:$BV$146,K$4,FALSE))</f>
        <v/>
      </c>
      <c r="L18" s="30" t="str">
        <f>IF($C18="","",VLOOKUP($C18,AMABat!$A$10:$BV$146,L$4,FALSE))</f>
        <v/>
      </c>
      <c r="M18" s="51" t="str">
        <f>IF($C18="","",VLOOKUP($C18,AMABat!$A$10:$BV$146,M$4,FALSE))</f>
        <v/>
      </c>
      <c r="N18" s="30" t="str">
        <f>IF($C18="","",VLOOKUP($C18,AMABat!$A$10:$BV$146,N$4,FALSE))</f>
        <v/>
      </c>
      <c r="O18" s="30" t="str">
        <f>IF($C18="","",VLOOKUP($C18,AMABat!$A$10:$BV$146,O$4,FALSE))</f>
        <v/>
      </c>
      <c r="P18" s="30" t="str">
        <f>IF($C18="","",VLOOKUP($C18,AMABat!$A$10:$BV$146,P$4,FALSE))</f>
        <v/>
      </c>
      <c r="Q18" s="30" t="str">
        <f>IF($C18="","",VLOOKUP($C18,AMABat!$A$10:$BV$146,Q$4,FALSE))</f>
        <v/>
      </c>
      <c r="R18" s="30" t="str">
        <f>IF($C18="","",VLOOKUP($C18,AMABat!$A$10:$BV$146,R$4,FALSE))</f>
        <v/>
      </c>
      <c r="S18" s="30" t="str">
        <f>IF($C18="","",VLOOKUP($C18,AMABat!$A$10:$BV$146,S$4,FALSE))</f>
        <v/>
      </c>
      <c r="T18" s="31" t="str">
        <f>IF($C18="","",VLOOKUP($C18,AMABat!$A$10:$BV$146,T$4,FALSE))</f>
        <v/>
      </c>
      <c r="U18" s="372" t="str">
        <f t="shared" si="28"/>
        <v/>
      </c>
      <c r="V18" s="372" t="str">
        <f t="shared" si="29"/>
        <v/>
      </c>
      <c r="W18" s="372" t="str">
        <f t="shared" si="30"/>
        <v/>
      </c>
      <c r="X18" s="372" t="str">
        <f t="shared" si="31"/>
        <v/>
      </c>
      <c r="Y18" s="372" t="str">
        <f t="shared" si="32"/>
        <v/>
      </c>
      <c r="Z18" s="372" t="str">
        <f t="shared" si="33"/>
        <v/>
      </c>
      <c r="AA18" s="372" t="str">
        <f t="shared" si="34"/>
        <v/>
      </c>
      <c r="AB18" s="372" t="str">
        <f t="shared" si="35"/>
        <v/>
      </c>
      <c r="AC18" s="372" t="str">
        <f t="shared" si="36"/>
        <v/>
      </c>
      <c r="AD18" s="51" t="str">
        <f>IF($C18="","",VLOOKUP($C18,AMABat!$A$10:$BV$146,AD$4,FALSE))</f>
        <v/>
      </c>
      <c r="AE18" s="30" t="str">
        <f>IF($C18="","",VLOOKUP($C18,AMABat!$A$10:$BV$146,AE$4,FALSE))</f>
        <v/>
      </c>
      <c r="AF18" s="30" t="str">
        <f>IF($C18="","",VLOOKUP($C18,AMABat!$A$10:$BV$146,AF$4,FALSE))</f>
        <v/>
      </c>
      <c r="AG18" s="30" t="str">
        <f>IF($C18="","",VLOOKUP($C18,AMABat!$A$10:$BV$146,AG$4,FALSE))</f>
        <v/>
      </c>
      <c r="AH18" s="30" t="str">
        <f>IF($C18="","",VLOOKUP($C18,AMABat!$A$10:$BV$146,AH$4,FALSE))</f>
        <v/>
      </c>
      <c r="AI18" s="30" t="str">
        <f>IF($C18="","",VLOOKUP($C18,AMABat!$A$10:$BV$146,AI$4,FALSE))</f>
        <v/>
      </c>
      <c r="AJ18" s="31" t="str">
        <f>IF($C18="","",VLOOKUP($C18,AMABat!$A$10:$BV$146,AJ$4,FALSE))</f>
        <v/>
      </c>
      <c r="AK18" s="60" t="str">
        <f t="shared" si="37"/>
        <v/>
      </c>
      <c r="AL18" s="372" t="str">
        <f t="shared" si="38"/>
        <v/>
      </c>
      <c r="AM18" s="372" t="str">
        <f t="shared" si="39"/>
        <v/>
      </c>
      <c r="AN18" s="372" t="str">
        <f t="shared" si="40"/>
        <v/>
      </c>
      <c r="AO18" s="372" t="str">
        <f t="shared" si="41"/>
        <v/>
      </c>
      <c r="AP18" s="372" t="str">
        <f t="shared" si="42"/>
        <v/>
      </c>
      <c r="AQ18" s="372" t="str">
        <f t="shared" si="43"/>
        <v/>
      </c>
      <c r="AR18" s="372" t="str">
        <f t="shared" si="44"/>
        <v/>
      </c>
      <c r="AS18" s="372" t="str">
        <f t="shared" si="45"/>
        <v/>
      </c>
      <c r="AT18" s="372" t="str">
        <f t="shared" si="46"/>
        <v/>
      </c>
      <c r="AU18" s="51" t="str">
        <f>IF($C18="","",VLOOKUP($C18,AMABat!$A$10:$BV$146,AU$4,FALSE))</f>
        <v/>
      </c>
      <c r="AV18" s="30" t="str">
        <f>IF($C18="","",VLOOKUP($C18,AMABat!$A$10:$BV$146,AV$4,FALSE))</f>
        <v/>
      </c>
      <c r="AW18" s="30" t="str">
        <f>IF($C18="","",VLOOKUP($C18,AMABat!$A$10:$BV$146,AW$4,FALSE))</f>
        <v/>
      </c>
      <c r="AX18" s="30" t="str">
        <f>IF($C18="","",VLOOKUP($C18,AMABat!$A$10:$BV$146,AX$4,FALSE))</f>
        <v/>
      </c>
      <c r="AY18" s="31" t="str">
        <f>IF($C18="","",VLOOKUP($C18,AMABat!$A$10:$BV$146,AY$4,FALSE))</f>
        <v/>
      </c>
      <c r="AZ18" s="60" t="str">
        <f t="shared" si="47"/>
        <v/>
      </c>
    </row>
    <row r="19" spans="1:52" s="17" customFormat="1" x14ac:dyDescent="0.25">
      <c r="A19" s="305">
        <v>3</v>
      </c>
      <c r="B19" s="29" t="s">
        <v>76</v>
      </c>
      <c r="C19" s="30"/>
      <c r="D19" s="30" t="str">
        <f>IF($C19="","",VLOOKUP($C19,AMABat!$A$10:$BV$146,D$4,FALSE))</f>
        <v/>
      </c>
      <c r="E19" s="30" t="str">
        <f>IF($C19="","",VLOOKUP($C19,AMABat!$A$10:$BV$146,E$4,FALSE))</f>
        <v/>
      </c>
      <c r="F19" s="378" t="str">
        <f t="shared" si="24"/>
        <v/>
      </c>
      <c r="G19" s="372" t="str">
        <f t="shared" si="25"/>
        <v/>
      </c>
      <c r="H19" s="372" t="str">
        <f t="shared" si="26"/>
        <v/>
      </c>
      <c r="I19" s="373" t="str">
        <f t="shared" si="27"/>
        <v/>
      </c>
      <c r="J19" s="30" t="str">
        <f>IF($C19="","",VLOOKUP($C19,AMABat!$A$10:$BV$146,J$4,FALSE))</f>
        <v/>
      </c>
      <c r="K19" s="30" t="str">
        <f>IF($C19="","",VLOOKUP($C19,AMABat!$A$10:$BV$146,K$4,FALSE))</f>
        <v/>
      </c>
      <c r="L19" s="30" t="str">
        <f>IF($C19="","",VLOOKUP($C19,AMABat!$A$10:$BV$146,L$4,FALSE))</f>
        <v/>
      </c>
      <c r="M19" s="51" t="str">
        <f>IF($C19="","",VLOOKUP($C19,AMABat!$A$10:$BV$146,M$4,FALSE))</f>
        <v/>
      </c>
      <c r="N19" s="30" t="str">
        <f>IF($C19="","",VLOOKUP($C19,AMABat!$A$10:$BV$146,N$4,FALSE))</f>
        <v/>
      </c>
      <c r="O19" s="30" t="str">
        <f>IF($C19="","",VLOOKUP($C19,AMABat!$A$10:$BV$146,O$4,FALSE))</f>
        <v/>
      </c>
      <c r="P19" s="30" t="str">
        <f>IF($C19="","",VLOOKUP($C19,AMABat!$A$10:$BV$146,P$4,FALSE))</f>
        <v/>
      </c>
      <c r="Q19" s="30" t="str">
        <f>IF($C19="","",VLOOKUP($C19,AMABat!$A$10:$BV$146,Q$4,FALSE))</f>
        <v/>
      </c>
      <c r="R19" s="30" t="str">
        <f>IF($C19="","",VLOOKUP($C19,AMABat!$A$10:$BV$146,R$4,FALSE))</f>
        <v/>
      </c>
      <c r="S19" s="30" t="str">
        <f>IF($C19="","",VLOOKUP($C19,AMABat!$A$10:$BV$146,S$4,FALSE))</f>
        <v/>
      </c>
      <c r="T19" s="31" t="str">
        <f>IF($C19="","",VLOOKUP($C19,AMABat!$A$10:$BV$146,T$4,FALSE))</f>
        <v/>
      </c>
      <c r="U19" s="372" t="str">
        <f t="shared" si="28"/>
        <v/>
      </c>
      <c r="V19" s="372" t="str">
        <f t="shared" si="29"/>
        <v/>
      </c>
      <c r="W19" s="372" t="str">
        <f t="shared" si="30"/>
        <v/>
      </c>
      <c r="X19" s="372" t="str">
        <f t="shared" si="31"/>
        <v/>
      </c>
      <c r="Y19" s="372" t="str">
        <f t="shared" si="32"/>
        <v/>
      </c>
      <c r="Z19" s="372" t="str">
        <f t="shared" si="33"/>
        <v/>
      </c>
      <c r="AA19" s="372" t="str">
        <f t="shared" si="34"/>
        <v/>
      </c>
      <c r="AB19" s="372" t="str">
        <f t="shared" si="35"/>
        <v/>
      </c>
      <c r="AC19" s="372" t="str">
        <f t="shared" si="36"/>
        <v/>
      </c>
      <c r="AD19" s="51" t="str">
        <f>IF($C19="","",VLOOKUP($C19,AMABat!$A$10:$BV$146,AD$4,FALSE))</f>
        <v/>
      </c>
      <c r="AE19" s="30" t="str">
        <f>IF($C19="","",VLOOKUP($C19,AMABat!$A$10:$BV$146,AE$4,FALSE))</f>
        <v/>
      </c>
      <c r="AF19" s="30" t="str">
        <f>IF($C19="","",VLOOKUP($C19,AMABat!$A$10:$BV$146,AF$4,FALSE))</f>
        <v/>
      </c>
      <c r="AG19" s="30" t="str">
        <f>IF($C19="","",VLOOKUP($C19,AMABat!$A$10:$BV$146,AG$4,FALSE))</f>
        <v/>
      </c>
      <c r="AH19" s="30" t="str">
        <f>IF($C19="","",VLOOKUP($C19,AMABat!$A$10:$BV$146,AH$4,FALSE))</f>
        <v/>
      </c>
      <c r="AI19" s="30" t="str">
        <f>IF($C19="","",VLOOKUP($C19,AMABat!$A$10:$BV$146,AI$4,FALSE))</f>
        <v/>
      </c>
      <c r="AJ19" s="31" t="str">
        <f>IF($C19="","",VLOOKUP($C19,AMABat!$A$10:$BV$146,AJ$4,FALSE))</f>
        <v/>
      </c>
      <c r="AK19" s="60" t="str">
        <f t="shared" si="37"/>
        <v/>
      </c>
      <c r="AL19" s="372" t="str">
        <f t="shared" si="38"/>
        <v/>
      </c>
      <c r="AM19" s="372" t="str">
        <f t="shared" si="39"/>
        <v/>
      </c>
      <c r="AN19" s="372" t="str">
        <f t="shared" si="40"/>
        <v/>
      </c>
      <c r="AO19" s="372" t="str">
        <f t="shared" si="41"/>
        <v/>
      </c>
      <c r="AP19" s="372" t="str">
        <f t="shared" si="42"/>
        <v/>
      </c>
      <c r="AQ19" s="372" t="str">
        <f t="shared" si="43"/>
        <v/>
      </c>
      <c r="AR19" s="372" t="str">
        <f t="shared" si="44"/>
        <v/>
      </c>
      <c r="AS19" s="372" t="str">
        <f t="shared" si="45"/>
        <v/>
      </c>
      <c r="AT19" s="372" t="str">
        <f t="shared" si="46"/>
        <v/>
      </c>
      <c r="AU19" s="51" t="str">
        <f>IF($C19="","",VLOOKUP($C19,AMABat!$A$10:$BV$146,AU$4,FALSE))</f>
        <v/>
      </c>
      <c r="AV19" s="30" t="str">
        <f>IF($C19="","",VLOOKUP($C19,AMABat!$A$10:$BV$146,AV$4,FALSE))</f>
        <v/>
      </c>
      <c r="AW19" s="30" t="str">
        <f>IF($C19="","",VLOOKUP($C19,AMABat!$A$10:$BV$146,AW$4,FALSE))</f>
        <v/>
      </c>
      <c r="AX19" s="30" t="str">
        <f>IF($C19="","",VLOOKUP($C19,AMABat!$A$10:$BV$146,AX$4,FALSE))</f>
        <v/>
      </c>
      <c r="AY19" s="31" t="str">
        <f>IF($C19="","",VLOOKUP($C19,AMABat!$A$10:$BV$146,AY$4,FALSE))</f>
        <v/>
      </c>
      <c r="AZ19" s="60" t="str">
        <f t="shared" si="47"/>
        <v/>
      </c>
    </row>
    <row r="20" spans="1:52" x14ac:dyDescent="0.25">
      <c r="A20" s="305">
        <v>4</v>
      </c>
      <c r="B20" s="29" t="s">
        <v>80</v>
      </c>
      <c r="C20" s="58"/>
      <c r="D20" s="30" t="str">
        <f>IF($C20="","",VLOOKUP($C20,AMABat!$A$10:$BV$146,D$4,FALSE))</f>
        <v/>
      </c>
      <c r="E20" s="30" t="str">
        <f>IF($C20="","",VLOOKUP($C20,AMABat!$A$10:$BV$146,E$4,FALSE))</f>
        <v/>
      </c>
      <c r="F20" s="378" t="str">
        <f t="shared" si="24"/>
        <v/>
      </c>
      <c r="G20" s="372" t="str">
        <f t="shared" si="25"/>
        <v/>
      </c>
      <c r="H20" s="372" t="str">
        <f t="shared" si="26"/>
        <v/>
      </c>
      <c r="I20" s="373" t="str">
        <f t="shared" si="27"/>
        <v/>
      </c>
      <c r="J20" s="30" t="str">
        <f>IF($C20="","",VLOOKUP($C20,AMABat!$A$10:$BV$146,J$4,FALSE))</f>
        <v/>
      </c>
      <c r="K20" s="30" t="str">
        <f>IF($C20="","",VLOOKUP($C20,AMABat!$A$10:$BV$146,K$4,FALSE))</f>
        <v/>
      </c>
      <c r="L20" s="30" t="str">
        <f>IF($C20="","",VLOOKUP($C20,AMABat!$A$10:$BV$146,L$4,FALSE))</f>
        <v/>
      </c>
      <c r="M20" s="51" t="str">
        <f>IF($C20="","",VLOOKUP($C20,AMABat!$A$10:$BV$146,M$4,FALSE))</f>
        <v/>
      </c>
      <c r="N20" s="30" t="str">
        <f>IF($C20="","",VLOOKUP($C20,AMABat!$A$10:$BV$146,N$4,FALSE))</f>
        <v/>
      </c>
      <c r="O20" s="30" t="str">
        <f>IF($C20="","",VLOOKUP($C20,AMABat!$A$10:$BV$146,O$4,FALSE))</f>
        <v/>
      </c>
      <c r="P20" s="30" t="str">
        <f>IF($C20="","",VLOOKUP($C20,AMABat!$A$10:$BV$146,P$4,FALSE))</f>
        <v/>
      </c>
      <c r="Q20" s="30" t="str">
        <f>IF($C20="","",VLOOKUP($C20,AMABat!$A$10:$BV$146,Q$4,FALSE))</f>
        <v/>
      </c>
      <c r="R20" s="30" t="str">
        <f>IF($C20="","",VLOOKUP($C20,AMABat!$A$10:$BV$146,R$4,FALSE))</f>
        <v/>
      </c>
      <c r="S20" s="30" t="str">
        <f>IF($C20="","",VLOOKUP($C20,AMABat!$A$10:$BV$146,S$4,FALSE))</f>
        <v/>
      </c>
      <c r="T20" s="31" t="str">
        <f>IF($C20="","",VLOOKUP($C20,AMABat!$A$10:$BV$146,T$4,FALSE))</f>
        <v/>
      </c>
      <c r="U20" s="372" t="str">
        <f t="shared" si="28"/>
        <v/>
      </c>
      <c r="V20" s="372" t="str">
        <f t="shared" si="29"/>
        <v/>
      </c>
      <c r="W20" s="372" t="str">
        <f t="shared" si="30"/>
        <v/>
      </c>
      <c r="X20" s="372" t="str">
        <f t="shared" si="31"/>
        <v/>
      </c>
      <c r="Y20" s="372" t="str">
        <f t="shared" si="32"/>
        <v/>
      </c>
      <c r="Z20" s="372" t="str">
        <f t="shared" si="33"/>
        <v/>
      </c>
      <c r="AA20" s="372" t="str">
        <f t="shared" si="34"/>
        <v/>
      </c>
      <c r="AB20" s="372" t="str">
        <f t="shared" si="35"/>
        <v/>
      </c>
      <c r="AC20" s="372" t="str">
        <f t="shared" si="36"/>
        <v/>
      </c>
      <c r="AD20" s="51" t="str">
        <f>IF($C20="","",VLOOKUP($C20,AMABat!$A$10:$BV$146,AD$4,FALSE))</f>
        <v/>
      </c>
      <c r="AE20" s="30" t="str">
        <f>IF($C20="","",VLOOKUP($C20,AMABat!$A$10:$BV$146,AE$4,FALSE))</f>
        <v/>
      </c>
      <c r="AF20" s="30" t="str">
        <f>IF($C20="","",VLOOKUP($C20,AMABat!$A$10:$BV$146,AF$4,FALSE))</f>
        <v/>
      </c>
      <c r="AG20" s="30" t="str">
        <f>IF($C20="","",VLOOKUP($C20,AMABat!$A$10:$BV$146,AG$4,FALSE))</f>
        <v/>
      </c>
      <c r="AH20" s="30" t="str">
        <f>IF($C20="","",VLOOKUP($C20,AMABat!$A$10:$BV$146,AH$4,FALSE))</f>
        <v/>
      </c>
      <c r="AI20" s="30" t="str">
        <f>IF($C20="","",VLOOKUP($C20,AMABat!$A$10:$BV$146,AI$4,FALSE))</f>
        <v/>
      </c>
      <c r="AJ20" s="31" t="str">
        <f>IF($C20="","",VLOOKUP($C20,AMABat!$A$10:$BV$146,AJ$4,FALSE))</f>
        <v/>
      </c>
      <c r="AK20" s="60" t="str">
        <f t="shared" si="37"/>
        <v/>
      </c>
      <c r="AL20" s="372" t="str">
        <f t="shared" si="38"/>
        <v/>
      </c>
      <c r="AM20" s="372" t="str">
        <f t="shared" si="39"/>
        <v/>
      </c>
      <c r="AN20" s="372" t="str">
        <f t="shared" si="40"/>
        <v/>
      </c>
      <c r="AO20" s="372" t="str">
        <f t="shared" si="41"/>
        <v/>
      </c>
      <c r="AP20" s="372" t="str">
        <f t="shared" si="42"/>
        <v/>
      </c>
      <c r="AQ20" s="372" t="str">
        <f t="shared" si="43"/>
        <v/>
      </c>
      <c r="AR20" s="372" t="str">
        <f t="shared" si="44"/>
        <v/>
      </c>
      <c r="AS20" s="372" t="str">
        <f t="shared" si="45"/>
        <v/>
      </c>
      <c r="AT20" s="372" t="str">
        <f t="shared" si="46"/>
        <v/>
      </c>
      <c r="AU20" s="51" t="str">
        <f>IF($C20="","",VLOOKUP($C20,AMABat!$A$10:$BV$146,AU$4,FALSE))</f>
        <v/>
      </c>
      <c r="AV20" s="30" t="str">
        <f>IF($C20="","",VLOOKUP($C20,AMABat!$A$10:$BV$146,AV$4,FALSE))</f>
        <v/>
      </c>
      <c r="AW20" s="30" t="str">
        <f>IF($C20="","",VLOOKUP($C20,AMABat!$A$10:$BV$146,AW$4,FALSE))</f>
        <v/>
      </c>
      <c r="AX20" s="30" t="str">
        <f>IF($C20="","",VLOOKUP($C20,AMABat!$A$10:$BV$146,AX$4,FALSE))</f>
        <v/>
      </c>
      <c r="AY20" s="31" t="str">
        <f>IF($C20="","",VLOOKUP($C20,AMABat!$A$10:$BV$146,AY$4,FALSE))</f>
        <v/>
      </c>
      <c r="AZ20" s="60" t="str">
        <f t="shared" si="47"/>
        <v/>
      </c>
    </row>
    <row r="21" spans="1:52" x14ac:dyDescent="0.25">
      <c r="A21" s="305">
        <v>5</v>
      </c>
      <c r="B21" s="29" t="s">
        <v>80</v>
      </c>
      <c r="C21" s="58"/>
      <c r="D21" s="30" t="str">
        <f>IF($C21="","",VLOOKUP($C21,AMABat!$A$10:$BV$146,D$4,FALSE))</f>
        <v/>
      </c>
      <c r="E21" s="30" t="str">
        <f>IF($C21="","",VLOOKUP($C21,AMABat!$A$10:$BV$146,E$4,FALSE))</f>
        <v/>
      </c>
      <c r="F21" s="378" t="str">
        <f t="shared" si="24"/>
        <v/>
      </c>
      <c r="G21" s="372" t="str">
        <f t="shared" si="25"/>
        <v/>
      </c>
      <c r="H21" s="372" t="str">
        <f t="shared" si="26"/>
        <v/>
      </c>
      <c r="I21" s="373" t="str">
        <f t="shared" si="27"/>
        <v/>
      </c>
      <c r="J21" s="30" t="str">
        <f>IF($C21="","",VLOOKUP($C21,AMABat!$A$10:$BV$146,J$4,FALSE))</f>
        <v/>
      </c>
      <c r="K21" s="30" t="str">
        <f>IF($C21="","",VLOOKUP($C21,AMABat!$A$10:$BV$146,K$4,FALSE))</f>
        <v/>
      </c>
      <c r="L21" s="30" t="str">
        <f>IF($C21="","",VLOOKUP($C21,AMABat!$A$10:$BV$146,L$4,FALSE))</f>
        <v/>
      </c>
      <c r="M21" s="51" t="str">
        <f>IF($C21="","",VLOOKUP($C21,AMABat!$A$10:$BV$146,M$4,FALSE))</f>
        <v/>
      </c>
      <c r="N21" s="30" t="str">
        <f>IF($C21="","",VLOOKUP($C21,AMABat!$A$10:$BV$146,N$4,FALSE))</f>
        <v/>
      </c>
      <c r="O21" s="30" t="str">
        <f>IF($C21="","",VLOOKUP($C21,AMABat!$A$10:$BV$146,O$4,FALSE))</f>
        <v/>
      </c>
      <c r="P21" s="30" t="str">
        <f>IF($C21="","",VLOOKUP($C21,AMABat!$A$10:$BV$146,P$4,FALSE))</f>
        <v/>
      </c>
      <c r="Q21" s="30" t="str">
        <f>IF($C21="","",VLOOKUP($C21,AMABat!$A$10:$BV$146,Q$4,FALSE))</f>
        <v/>
      </c>
      <c r="R21" s="30" t="str">
        <f>IF($C21="","",VLOOKUP($C21,AMABat!$A$10:$BV$146,R$4,FALSE))</f>
        <v/>
      </c>
      <c r="S21" s="30" t="str">
        <f>IF($C21="","",VLOOKUP($C21,AMABat!$A$10:$BV$146,S$4,FALSE))</f>
        <v/>
      </c>
      <c r="T21" s="31" t="str">
        <f>IF($C21="","",VLOOKUP($C21,AMABat!$A$10:$BV$146,T$4,FALSE))</f>
        <v/>
      </c>
      <c r="U21" s="372" t="str">
        <f t="shared" si="28"/>
        <v/>
      </c>
      <c r="V21" s="372" t="str">
        <f t="shared" si="29"/>
        <v/>
      </c>
      <c r="W21" s="372" t="str">
        <f t="shared" si="30"/>
        <v/>
      </c>
      <c r="X21" s="372" t="str">
        <f t="shared" si="31"/>
        <v/>
      </c>
      <c r="Y21" s="372" t="str">
        <f t="shared" si="32"/>
        <v/>
      </c>
      <c r="Z21" s="372" t="str">
        <f t="shared" si="33"/>
        <v/>
      </c>
      <c r="AA21" s="372" t="str">
        <f t="shared" si="34"/>
        <v/>
      </c>
      <c r="AB21" s="372" t="str">
        <f t="shared" si="35"/>
        <v/>
      </c>
      <c r="AC21" s="372" t="str">
        <f t="shared" si="36"/>
        <v/>
      </c>
      <c r="AD21" s="51" t="str">
        <f>IF($C21="","",VLOOKUP($C21,AMABat!$A$10:$BV$146,AD$4,FALSE))</f>
        <v/>
      </c>
      <c r="AE21" s="30" t="str">
        <f>IF($C21="","",VLOOKUP($C21,AMABat!$A$10:$BV$146,AE$4,FALSE))</f>
        <v/>
      </c>
      <c r="AF21" s="30" t="str">
        <f>IF($C21="","",VLOOKUP($C21,AMABat!$A$10:$BV$146,AF$4,FALSE))</f>
        <v/>
      </c>
      <c r="AG21" s="30" t="str">
        <f>IF($C21="","",VLOOKUP($C21,AMABat!$A$10:$BV$146,AG$4,FALSE))</f>
        <v/>
      </c>
      <c r="AH21" s="30" t="str">
        <f>IF($C21="","",VLOOKUP($C21,AMABat!$A$10:$BV$146,AH$4,FALSE))</f>
        <v/>
      </c>
      <c r="AI21" s="30" t="str">
        <f>IF($C21="","",VLOOKUP($C21,AMABat!$A$10:$BV$146,AI$4,FALSE))</f>
        <v/>
      </c>
      <c r="AJ21" s="31" t="str">
        <f>IF($C21="","",VLOOKUP($C21,AMABat!$A$10:$BV$146,AJ$4,FALSE))</f>
        <v/>
      </c>
      <c r="AK21" s="60" t="str">
        <f t="shared" si="37"/>
        <v/>
      </c>
      <c r="AL21" s="372" t="str">
        <f t="shared" si="38"/>
        <v/>
      </c>
      <c r="AM21" s="372" t="str">
        <f t="shared" si="39"/>
        <v/>
      </c>
      <c r="AN21" s="372" t="str">
        <f t="shared" si="40"/>
        <v/>
      </c>
      <c r="AO21" s="372" t="str">
        <f t="shared" si="41"/>
        <v/>
      </c>
      <c r="AP21" s="372" t="str">
        <f t="shared" si="42"/>
        <v/>
      </c>
      <c r="AQ21" s="372" t="str">
        <f t="shared" si="43"/>
        <v/>
      </c>
      <c r="AR21" s="372" t="str">
        <f t="shared" si="44"/>
        <v/>
      </c>
      <c r="AS21" s="372" t="str">
        <f t="shared" si="45"/>
        <v/>
      </c>
      <c r="AT21" s="372" t="str">
        <f t="shared" si="46"/>
        <v/>
      </c>
      <c r="AU21" s="51" t="str">
        <f>IF($C21="","",VLOOKUP($C21,AMABat!$A$10:$BV$146,AU$4,FALSE))</f>
        <v/>
      </c>
      <c r="AV21" s="30" t="str">
        <f>IF($C21="","",VLOOKUP($C21,AMABat!$A$10:$BV$146,AV$4,FALSE))</f>
        <v/>
      </c>
      <c r="AW21" s="30" t="str">
        <f>IF($C21="","",VLOOKUP($C21,AMABat!$A$10:$BV$146,AW$4,FALSE))</f>
        <v/>
      </c>
      <c r="AX21" s="30" t="str">
        <f>IF($C21="","",VLOOKUP($C21,AMABat!$A$10:$BV$146,AX$4,FALSE))</f>
        <v/>
      </c>
      <c r="AY21" s="31" t="str">
        <f>IF($C21="","",VLOOKUP($C21,AMABat!$A$10:$BV$146,AY$4,FALSE))</f>
        <v/>
      </c>
      <c r="AZ21" s="60" t="str">
        <f t="shared" si="47"/>
        <v/>
      </c>
    </row>
    <row r="22" spans="1:52" x14ac:dyDescent="0.25">
      <c r="A22" s="305">
        <v>6</v>
      </c>
      <c r="B22" s="32" t="s">
        <v>80</v>
      </c>
      <c r="C22" s="33"/>
      <c r="D22" s="33" t="str">
        <f>IF($C22="","",VLOOKUP($C22,AMABat!$A$10:$BV$146,D$4,FALSE))</f>
        <v/>
      </c>
      <c r="E22" s="33" t="str">
        <f>IF($C22="","",VLOOKUP($C22,AMABat!$A$10:$BV$146,E$4,FALSE))</f>
        <v/>
      </c>
      <c r="F22" s="47" t="str">
        <f t="shared" si="24"/>
        <v/>
      </c>
      <c r="G22" s="370" t="str">
        <f t="shared" si="25"/>
        <v/>
      </c>
      <c r="H22" s="370" t="str">
        <f t="shared" si="26"/>
        <v/>
      </c>
      <c r="I22" s="371" t="str">
        <f t="shared" si="27"/>
        <v/>
      </c>
      <c r="J22" s="33" t="str">
        <f>IF($C22="","",VLOOKUP($C22,AMABat!$A$10:$BV$146,J$4,FALSE))</f>
        <v/>
      </c>
      <c r="K22" s="33" t="str">
        <f>IF($C22="","",VLOOKUP($C22,AMABat!$A$10:$BV$146,K$4,FALSE))</f>
        <v/>
      </c>
      <c r="L22" s="33" t="str">
        <f>IF($C22="","",VLOOKUP($C22,AMABat!$A$10:$BV$146,L$4,FALSE))</f>
        <v/>
      </c>
      <c r="M22" s="52" t="str">
        <f>IF($C22="","",VLOOKUP($C22,AMABat!$A$10:$BV$146,M$4,FALSE))</f>
        <v/>
      </c>
      <c r="N22" s="33" t="str">
        <f>IF($C22="","",VLOOKUP($C22,AMABat!$A$10:$BV$146,N$4,FALSE))</f>
        <v/>
      </c>
      <c r="O22" s="33" t="str">
        <f>IF($C22="","",VLOOKUP($C22,AMABat!$A$10:$BV$146,O$4,FALSE))</f>
        <v/>
      </c>
      <c r="P22" s="33" t="str">
        <f>IF($C22="","",VLOOKUP($C22,AMABat!$A$10:$BV$146,P$4,FALSE))</f>
        <v/>
      </c>
      <c r="Q22" s="33" t="str">
        <f>IF($C22="","",VLOOKUP($C22,AMABat!$A$10:$BV$146,Q$4,FALSE))</f>
        <v/>
      </c>
      <c r="R22" s="33" t="str">
        <f>IF($C22="","",VLOOKUP($C22,AMABat!$A$10:$BV$146,R$4,FALSE))</f>
        <v/>
      </c>
      <c r="S22" s="33" t="str">
        <f>IF($C22="","",VLOOKUP($C22,AMABat!$A$10:$BV$146,S$4,FALSE))</f>
        <v/>
      </c>
      <c r="T22" s="35" t="str">
        <f>IF($C22="","",VLOOKUP($C22,AMABat!$A$10:$BV$146,T$4,FALSE))</f>
        <v/>
      </c>
      <c r="U22" s="370" t="str">
        <f t="shared" si="28"/>
        <v/>
      </c>
      <c r="V22" s="370" t="str">
        <f t="shared" si="29"/>
        <v/>
      </c>
      <c r="W22" s="370" t="str">
        <f t="shared" si="30"/>
        <v/>
      </c>
      <c r="X22" s="370" t="str">
        <f t="shared" si="31"/>
        <v/>
      </c>
      <c r="Y22" s="370" t="str">
        <f t="shared" si="32"/>
        <v/>
      </c>
      <c r="Z22" s="370" t="str">
        <f t="shared" si="33"/>
        <v/>
      </c>
      <c r="AA22" s="370" t="str">
        <f t="shared" si="34"/>
        <v/>
      </c>
      <c r="AB22" s="370" t="str">
        <f t="shared" si="35"/>
        <v/>
      </c>
      <c r="AC22" s="370" t="str">
        <f t="shared" si="36"/>
        <v/>
      </c>
      <c r="AD22" s="52" t="str">
        <f>IF($C22="","",VLOOKUP($C22,AMABat!$A$10:$BV$146,AD$4,FALSE))</f>
        <v/>
      </c>
      <c r="AE22" s="33" t="str">
        <f>IF($C22="","",VLOOKUP($C22,AMABat!$A$10:$BV$146,AE$4,FALSE))</f>
        <v/>
      </c>
      <c r="AF22" s="33" t="str">
        <f>IF($C22="","",VLOOKUP($C22,AMABat!$A$10:$BV$146,AF$4,FALSE))</f>
        <v/>
      </c>
      <c r="AG22" s="33" t="str">
        <f>IF($C22="","",VLOOKUP($C22,AMABat!$A$10:$BV$146,AG$4,FALSE))</f>
        <v/>
      </c>
      <c r="AH22" s="33" t="str">
        <f>IF($C22="","",VLOOKUP($C22,AMABat!$A$10:$BV$146,AH$4,FALSE))</f>
        <v/>
      </c>
      <c r="AI22" s="33" t="str">
        <f>IF($C22="","",VLOOKUP($C22,AMABat!$A$10:$BV$146,AI$4,FALSE))</f>
        <v/>
      </c>
      <c r="AJ22" s="35" t="str">
        <f>IF($C22="","",VLOOKUP($C22,AMABat!$A$10:$BV$146,AJ$4,FALSE))</f>
        <v/>
      </c>
      <c r="AK22" s="61" t="str">
        <f t="shared" si="37"/>
        <v/>
      </c>
      <c r="AL22" s="370" t="str">
        <f t="shared" si="38"/>
        <v/>
      </c>
      <c r="AM22" s="370" t="str">
        <f t="shared" si="39"/>
        <v/>
      </c>
      <c r="AN22" s="370" t="str">
        <f t="shared" si="40"/>
        <v/>
      </c>
      <c r="AO22" s="370" t="str">
        <f t="shared" si="41"/>
        <v/>
      </c>
      <c r="AP22" s="370" t="str">
        <f t="shared" si="42"/>
        <v/>
      </c>
      <c r="AQ22" s="370" t="str">
        <f t="shared" si="43"/>
        <v/>
      </c>
      <c r="AR22" s="370" t="str">
        <f t="shared" si="44"/>
        <v/>
      </c>
      <c r="AS22" s="370" t="str">
        <f t="shared" si="45"/>
        <v/>
      </c>
      <c r="AT22" s="370" t="str">
        <f t="shared" si="46"/>
        <v/>
      </c>
      <c r="AU22" s="52" t="str">
        <f>IF($C22="","",VLOOKUP($C22,AMABat!$A$10:$BV$146,AU$4,FALSE))</f>
        <v/>
      </c>
      <c r="AV22" s="33" t="str">
        <f>IF($C22="","",VLOOKUP($C22,AMABat!$A$10:$BV$146,AV$4,FALSE))</f>
        <v/>
      </c>
      <c r="AW22" s="33" t="str">
        <f>IF($C22="","",VLOOKUP($C22,AMABat!$A$10:$BV$146,AW$4,FALSE))</f>
        <v/>
      </c>
      <c r="AX22" s="33" t="str">
        <f>IF($C22="","",VLOOKUP($C22,AMABat!$A$10:$BV$146,AX$4,FALSE))</f>
        <v/>
      </c>
      <c r="AY22" s="35" t="str">
        <f>IF($C22="","",VLOOKUP($C22,AMABat!$A$10:$BV$146,AY$4,FALSE))</f>
        <v/>
      </c>
      <c r="AZ22" s="61" t="str">
        <f t="shared" si="47"/>
        <v/>
      </c>
    </row>
    <row r="24" spans="1:52" ht="196.5" x14ac:dyDescent="0.25">
      <c r="A24" s="18" t="s">
        <v>170</v>
      </c>
      <c r="B24" s="374" t="s">
        <v>111</v>
      </c>
      <c r="C24" s="37" t="str">
        <f>"Player ("&amp;COUNTA(C25:C27)&amp;")"</f>
        <v>Player (0)</v>
      </c>
      <c r="D24" s="37" t="s">
        <v>70</v>
      </c>
      <c r="E24" s="37" t="s">
        <v>80</v>
      </c>
      <c r="F24" s="57" t="str">
        <f>"Strong C Arm ("&amp;SUM(F25:F27)&amp;")"</f>
        <v>Strong C Arm (0)</v>
      </c>
      <c r="G24" s="41" t="s">
        <v>32</v>
      </c>
      <c r="H24" s="41" t="s">
        <v>32</v>
      </c>
      <c r="I24" s="41" t="s">
        <v>32</v>
      </c>
      <c r="J24" s="48" t="s">
        <v>114</v>
      </c>
      <c r="K24" s="40" t="s">
        <v>112</v>
      </c>
      <c r="L24" s="49" t="s">
        <v>113</v>
      </c>
      <c r="M24" s="41" t="s">
        <v>71</v>
      </c>
      <c r="N24" s="41" t="s">
        <v>73</v>
      </c>
      <c r="O24" s="41" t="s">
        <v>74</v>
      </c>
      <c r="P24" s="41" t="s">
        <v>75</v>
      </c>
      <c r="Q24" s="41" t="s">
        <v>76</v>
      </c>
      <c r="R24" s="41" t="s">
        <v>77</v>
      </c>
      <c r="S24" s="41" t="s">
        <v>78</v>
      </c>
      <c r="T24" s="42" t="s">
        <v>79</v>
      </c>
      <c r="U24" s="38" t="s">
        <v>115</v>
      </c>
      <c r="V24" s="38" t="s">
        <v>158</v>
      </c>
      <c r="W24" s="38" t="s">
        <v>116</v>
      </c>
      <c r="X24" s="38" t="s">
        <v>117</v>
      </c>
      <c r="Y24" s="38" t="s">
        <v>118</v>
      </c>
      <c r="Z24" s="38" t="s">
        <v>119</v>
      </c>
      <c r="AA24" s="38" t="s">
        <v>120</v>
      </c>
      <c r="AB24" s="38" t="s">
        <v>122</v>
      </c>
      <c r="AC24" s="53" t="s">
        <v>121</v>
      </c>
      <c r="AD24" s="41" t="s">
        <v>125</v>
      </c>
      <c r="AE24" s="41" t="s">
        <v>126</v>
      </c>
      <c r="AF24" s="41" t="s">
        <v>127</v>
      </c>
      <c r="AG24" s="41" t="s">
        <v>128</v>
      </c>
      <c r="AH24" s="41" t="s">
        <v>21</v>
      </c>
      <c r="AI24" s="41" t="s">
        <v>129</v>
      </c>
      <c r="AJ24" s="42" t="s">
        <v>130</v>
      </c>
      <c r="AK24" s="59" t="s">
        <v>134</v>
      </c>
      <c r="AL24" s="38" t="s">
        <v>115</v>
      </c>
      <c r="AM24" s="38" t="s">
        <v>158</v>
      </c>
      <c r="AN24" s="38" t="s">
        <v>116</v>
      </c>
      <c r="AO24" s="38" t="s">
        <v>117</v>
      </c>
      <c r="AP24" s="38" t="s">
        <v>118</v>
      </c>
      <c r="AQ24" s="38" t="s">
        <v>119</v>
      </c>
      <c r="AR24" s="38" t="s">
        <v>120</v>
      </c>
      <c r="AS24" s="38" t="s">
        <v>122</v>
      </c>
      <c r="AT24" s="53" t="s">
        <v>121</v>
      </c>
      <c r="AU24" s="56" t="s">
        <v>125</v>
      </c>
      <c r="AV24" s="41" t="s">
        <v>126</v>
      </c>
      <c r="AW24" s="41" t="s">
        <v>127</v>
      </c>
      <c r="AX24" s="41" t="s">
        <v>128</v>
      </c>
      <c r="AY24" s="42" t="s">
        <v>21</v>
      </c>
      <c r="AZ24" s="59" t="s">
        <v>174</v>
      </c>
    </row>
    <row r="25" spans="1:52" x14ac:dyDescent="0.25">
      <c r="A25" s="305">
        <v>1</v>
      </c>
      <c r="B25" s="29" t="s">
        <v>71</v>
      </c>
      <c r="C25" s="30"/>
      <c r="D25" s="30" t="str">
        <f>IF($C25="","",VLOOKUP($C25,AMABat!$A$10:$BV$146,D$4,FALSE))</f>
        <v/>
      </c>
      <c r="E25" s="30" t="str">
        <f>IF($C25="","",VLOOKUP($C25,AMABat!$A$10:$BV$146,E$4,FALSE))</f>
        <v/>
      </c>
      <c r="F25" s="378" t="str">
        <f t="shared" ref="F25:F27" si="48">IF($C25="","",IF(AND(O25&gt;0,O25=SUM(M25:T25)),1,0))</f>
        <v/>
      </c>
      <c r="G25" s="372" t="str">
        <f t="shared" ref="G25:G27" si="49">IF($C25="","",IF(Q25&lt;&gt;"-",1,0))</f>
        <v/>
      </c>
      <c r="H25" s="372" t="str">
        <f t="shared" ref="H25:H27" si="50">IF($C25="","",IF(AND(K25&gt;5,P25&lt;&gt;"-"),1,0))</f>
        <v/>
      </c>
      <c r="I25" s="372" t="str">
        <f t="shared" ref="I25:I27" si="51">IF($C25="","","-")</f>
        <v/>
      </c>
      <c r="J25" s="51" t="str">
        <f>IF($C25="","",VLOOKUP($C25,AMABat!$A$10:$BV$146,J$4,FALSE))</f>
        <v/>
      </c>
      <c r="K25" s="30" t="str">
        <f>IF($C25="","",VLOOKUP($C25,AMABat!$A$10:$BV$146,K$4,FALSE))</f>
        <v/>
      </c>
      <c r="L25" s="31" t="str">
        <f>IF($C25="","",VLOOKUP($C25,AMABat!$A$10:$BV$146,L$4,FALSE))</f>
        <v/>
      </c>
      <c r="M25" s="30" t="str">
        <f>IF($C25="","",VLOOKUP($C25,AMABat!$A$10:$BV$146,M$4,FALSE))</f>
        <v/>
      </c>
      <c r="N25" s="30" t="str">
        <f>IF($C25="","",VLOOKUP($C25,AMABat!$A$10:$BV$146,N$4,FALSE))</f>
        <v/>
      </c>
      <c r="O25" s="30" t="str">
        <f>IF($C25="","",VLOOKUP($C25,AMABat!$A$10:$BV$146,O$4,FALSE))</f>
        <v/>
      </c>
      <c r="P25" s="30" t="str">
        <f>IF($C25="","",VLOOKUP($C25,AMABat!$A$10:$BV$146,P$4,FALSE))</f>
        <v/>
      </c>
      <c r="Q25" s="30" t="str">
        <f>IF($C25="","",VLOOKUP($C25,AMABat!$A$10:$BV$146,Q$4,FALSE))</f>
        <v/>
      </c>
      <c r="R25" s="30" t="str">
        <f>IF($C25="","",VLOOKUP($C25,AMABat!$A$10:$BV$146,R$4,FALSE))</f>
        <v/>
      </c>
      <c r="S25" s="30" t="str">
        <f>IF($C25="","",VLOOKUP($C25,AMABat!$A$10:$BV$146,S$4,FALSE))</f>
        <v/>
      </c>
      <c r="T25" s="31" t="str">
        <f>IF($C25="","",VLOOKUP($C25,AMABat!$A$10:$BV$146,T$4,FALSE))</f>
        <v/>
      </c>
      <c r="U25" s="372" t="str">
        <f t="shared" ref="U25:U27" si="52">IF($C25="","",IF(OR(AD25+AG25&gt;14,AND(OR(AD25+AG25&gt;12,AND(AD25&gt;6,AG25&gt;6)),AI25&gt;6,OR(AJ25&gt;=AI25,AJ25&gt;6))),1,0))</f>
        <v/>
      </c>
      <c r="V25" s="372" t="str">
        <f t="shared" ref="V25:V27" si="53">IF($C25="","",IF(OR(AND(AD25&gt;6,AH25&gt;6),AD25+AG25&gt;12),1,0))</f>
        <v/>
      </c>
      <c r="W25" s="372" t="str">
        <f t="shared" ref="W25:W27" si="54">IF($C25="","",IF(AND(AD25&gt;6,AF25&gt;6,AG25&gt;6),1,0))</f>
        <v/>
      </c>
      <c r="X25" s="372" t="str">
        <f t="shared" ref="X25:X27" si="55">IF($C25="","",IF(AND(AF25&gt;7,OR(AD25&gt;6,AG25&gt;6)),1,0))</f>
        <v/>
      </c>
      <c r="Y25" s="372" t="str">
        <f t="shared" ref="Y25:Y27" si="56">IF($C25="","",IF(AND(AF25&gt;6,OR(AD25&gt;6,AG25&gt;6)),1,0))</f>
        <v/>
      </c>
      <c r="Z25" s="372" t="str">
        <f t="shared" ref="Z25:Z27" si="57">IF($C25="","",IF(AND(OR(AD25&gt;6,AF25&gt;6),OR(AD25&gt;6,AG25&gt;6)),1,0))</f>
        <v/>
      </c>
      <c r="AA25" s="372" t="str">
        <f t="shared" ref="AA25:AA27" si="58">IF($C25="","",IF(AND(AD25&gt;4,OR(AD25&gt;6,AF25&gt;6,AG25&gt;6)),1,0))</f>
        <v/>
      </c>
      <c r="AB25" s="372" t="str">
        <f t="shared" ref="AB25:AB27" si="59">IF($C25="","",IF(AND(AD25&gt;4,OR(AD25&gt;6,AE25&gt;6,AF25&gt;6,AG25&gt;6)),1,0))</f>
        <v/>
      </c>
      <c r="AC25" s="373" t="str">
        <f t="shared" ref="AC25:AC27" si="60">IF($C25="","",IF(AND(AD25&gt;4,MAX(AD25:AH25)&gt;6),1,0))</f>
        <v/>
      </c>
      <c r="AD25" s="30" t="str">
        <f>IF($C25="","",VLOOKUP($C25,AMABat!$A$10:$BV$146,AD$4,FALSE))</f>
        <v/>
      </c>
      <c r="AE25" s="30" t="str">
        <f>IF($C25="","",VLOOKUP($C25,AMABat!$A$10:$BV$146,AE$4,FALSE))</f>
        <v/>
      </c>
      <c r="AF25" s="30" t="str">
        <f>IF($C25="","",VLOOKUP($C25,AMABat!$A$10:$BV$146,AF$4,FALSE))</f>
        <v/>
      </c>
      <c r="AG25" s="30" t="str">
        <f>IF($C25="","",VLOOKUP($C25,AMABat!$A$10:$BV$146,AG$4,FALSE))</f>
        <v/>
      </c>
      <c r="AH25" s="30" t="str">
        <f>IF($C25="","",VLOOKUP($C25,AMABat!$A$10:$BV$146,AH$4,FALSE))</f>
        <v/>
      </c>
      <c r="AI25" s="30" t="str">
        <f>IF($C25="","",VLOOKUP($C25,AMABat!$A$10:$BV$146,AI$4,FALSE))</f>
        <v/>
      </c>
      <c r="AJ25" s="31" t="str">
        <f>IF($C25="","",VLOOKUP($C25,AMABat!$A$10:$BV$146,AJ$4,FALSE))</f>
        <v/>
      </c>
      <c r="AK25" s="60" t="str">
        <f t="shared" ref="AK25:AK27" si="61">IF($C25="","",(5*AD25+4*AF25+3*AG25+2*AE25+1*AH25+0.5*(AVERAGE(AD25:AE25))+0.5*AVERAGE(AD25,AH25)+1*(AVERAGE(AD25,AF25))+1*AVERAGE(AD25,AG25))/(5+4+3+2+1+0.5+0.5+1+1))</f>
        <v/>
      </c>
      <c r="AL25" s="372" t="str">
        <f t="shared" ref="AL25:AL27" si="62">IF($C25="","",IF(AND(OR(AU25+AX25&gt;12,AND(AU25&gt;6,AX25&gt;6)),AI25&gt;6,OR(AJ25&gt;=AI25,AJ25&gt;6)),1,0))</f>
        <v/>
      </c>
      <c r="AM25" s="372" t="str">
        <f t="shared" ref="AM25:AM27" si="63">IF($C25="","",IF(OR(AND(AU25&gt;6,AY25&gt;6),AU25+AX25&gt;12),1,0))</f>
        <v/>
      </c>
      <c r="AN25" s="372" t="str">
        <f t="shared" ref="AN25:AN27" si="64">IF($C25="","",IF(AND(AU25&gt;6,AW25&gt;6,AX25&gt;6),1,0))</f>
        <v/>
      </c>
      <c r="AO25" s="372" t="str">
        <f t="shared" ref="AO25:AO27" si="65">IF($C25="","",IF(AND(AW25&gt;7,OR(AU25&gt;6,AX25&gt;6)),1,0))</f>
        <v/>
      </c>
      <c r="AP25" s="372" t="str">
        <f t="shared" ref="AP25:AP27" si="66">IF($C25="","",IF(AND(AW25&gt;6,OR(AU25&gt;6,AX25&gt;6)),1,0))</f>
        <v/>
      </c>
      <c r="AQ25" s="372" t="str">
        <f t="shared" ref="AQ25:AQ27" si="67">IF($C25="","",IF(AND(OR(AU25&gt;6,AW25&gt;6),OR(AU25&gt;6,AX25&gt;6)),1,0))</f>
        <v/>
      </c>
      <c r="AR25" s="372" t="str">
        <f t="shared" ref="AR25:AR27" si="68">IF($C25="","",IF(AND(AU25&gt;4,OR(AU25&gt;6,AW25&gt;6,AX25&gt;6)),1,0))</f>
        <v/>
      </c>
      <c r="AS25" s="372" t="str">
        <f t="shared" ref="AS25:AS27" si="69">IF($C25="","",IF(AND(AU25&gt;4,OR(AU25&gt;6,AV25&gt;6,AW25&gt;6,AX25&gt;6)),1,0))</f>
        <v/>
      </c>
      <c r="AT25" s="373" t="str">
        <f t="shared" ref="AT25:AT27" si="70">IF($C25="","",IF(AND(AU25&gt;4,MAX(AU25:AY25)&gt;6),1,0))</f>
        <v/>
      </c>
      <c r="AU25" s="51" t="str">
        <f>IF($C25="","",VLOOKUP($C25,AMABat!$A$10:$BV$146,AU$4,FALSE))</f>
        <v/>
      </c>
      <c r="AV25" s="30" t="str">
        <f>IF($C25="","",VLOOKUP($C25,AMABat!$A$10:$BV$146,AV$4,FALSE))</f>
        <v/>
      </c>
      <c r="AW25" s="30" t="str">
        <f>IF($C25="","",VLOOKUP($C25,AMABat!$A$10:$BV$146,AW$4,FALSE))</f>
        <v/>
      </c>
      <c r="AX25" s="30" t="str">
        <f>IF($C25="","",VLOOKUP($C25,AMABat!$A$10:$BV$146,AX$4,FALSE))</f>
        <v/>
      </c>
      <c r="AY25" s="31" t="str">
        <f>IF($C25="","",VLOOKUP($C25,AMABat!$A$10:$BV$146,AY$4,FALSE))</f>
        <v/>
      </c>
      <c r="AZ25" s="60" t="str">
        <f t="shared" ref="AZ25:AZ27" si="71">IF($C25="","",(5*AU25+4*AW25+3*AX25+2*AV25+1*AY25+0.5*(AVERAGE(AU25:AV25))+0.5*AVERAGE(AU25,AY25)+1*(AVERAGE(AU25,AW25))+1*AVERAGE(AU25,AX25))/(5+4+3+2+1+0.5+0.5+1+1))</f>
        <v/>
      </c>
    </row>
    <row r="26" spans="1:52" x14ac:dyDescent="0.25">
      <c r="A26" s="305">
        <v>2</v>
      </c>
      <c r="B26" s="29" t="s">
        <v>80</v>
      </c>
      <c r="C26" s="30"/>
      <c r="D26" s="30" t="str">
        <f>IF($C26="","",VLOOKUP($C26,AMABat!$A$10:$BV$146,D$4,FALSE))</f>
        <v/>
      </c>
      <c r="E26" s="30" t="str">
        <f>IF($C26="","",VLOOKUP($C26,AMABat!$A$10:$BV$146,E$4,FALSE))</f>
        <v/>
      </c>
      <c r="F26" s="378" t="str">
        <f t="shared" si="48"/>
        <v/>
      </c>
      <c r="G26" s="372" t="str">
        <f t="shared" si="49"/>
        <v/>
      </c>
      <c r="H26" s="372" t="str">
        <f t="shared" si="50"/>
        <v/>
      </c>
      <c r="I26" s="372" t="str">
        <f t="shared" si="51"/>
        <v/>
      </c>
      <c r="J26" s="51" t="str">
        <f>IF($C26="","",VLOOKUP($C26,AMABat!$A$10:$BV$146,J$4,FALSE))</f>
        <v/>
      </c>
      <c r="K26" s="30" t="str">
        <f>IF($C26="","",VLOOKUP($C26,AMABat!$A$10:$BV$146,K$4,FALSE))</f>
        <v/>
      </c>
      <c r="L26" s="31" t="str">
        <f>IF($C26="","",VLOOKUP($C26,AMABat!$A$10:$BV$146,L$4,FALSE))</f>
        <v/>
      </c>
      <c r="M26" s="30" t="str">
        <f>IF($C26="","",VLOOKUP($C26,AMABat!$A$10:$BV$146,M$4,FALSE))</f>
        <v/>
      </c>
      <c r="N26" s="30" t="str">
        <f>IF($C26="","",VLOOKUP($C26,AMABat!$A$10:$BV$146,N$4,FALSE))</f>
        <v/>
      </c>
      <c r="O26" s="30" t="str">
        <f>IF($C26="","",VLOOKUP($C26,AMABat!$A$10:$BV$146,O$4,FALSE))</f>
        <v/>
      </c>
      <c r="P26" s="30" t="str">
        <f>IF($C26="","",VLOOKUP($C26,AMABat!$A$10:$BV$146,P$4,FALSE))</f>
        <v/>
      </c>
      <c r="Q26" s="30" t="str">
        <f>IF($C26="","",VLOOKUP($C26,AMABat!$A$10:$BV$146,Q$4,FALSE))</f>
        <v/>
      </c>
      <c r="R26" s="30" t="str">
        <f>IF($C26="","",VLOOKUP($C26,AMABat!$A$10:$BV$146,R$4,FALSE))</f>
        <v/>
      </c>
      <c r="S26" s="30" t="str">
        <f>IF($C26="","",VLOOKUP($C26,AMABat!$A$10:$BV$146,S$4,FALSE))</f>
        <v/>
      </c>
      <c r="T26" s="31" t="str">
        <f>IF($C26="","",VLOOKUP($C26,AMABat!$A$10:$BV$146,T$4,FALSE))</f>
        <v/>
      </c>
      <c r="U26" s="372" t="str">
        <f t="shared" si="52"/>
        <v/>
      </c>
      <c r="V26" s="372" t="str">
        <f t="shared" si="53"/>
        <v/>
      </c>
      <c r="W26" s="372" t="str">
        <f t="shared" si="54"/>
        <v/>
      </c>
      <c r="X26" s="372" t="str">
        <f t="shared" si="55"/>
        <v/>
      </c>
      <c r="Y26" s="372" t="str">
        <f t="shared" si="56"/>
        <v/>
      </c>
      <c r="Z26" s="372" t="str">
        <f t="shared" si="57"/>
        <v/>
      </c>
      <c r="AA26" s="372" t="str">
        <f t="shared" si="58"/>
        <v/>
      </c>
      <c r="AB26" s="372" t="str">
        <f t="shared" si="59"/>
        <v/>
      </c>
      <c r="AC26" s="373" t="str">
        <f t="shared" si="60"/>
        <v/>
      </c>
      <c r="AD26" s="30" t="str">
        <f>IF($C26="","",VLOOKUP($C26,AMABat!$A$10:$BV$146,AD$4,FALSE))</f>
        <v/>
      </c>
      <c r="AE26" s="30" t="str">
        <f>IF($C26="","",VLOOKUP($C26,AMABat!$A$10:$BV$146,AE$4,FALSE))</f>
        <v/>
      </c>
      <c r="AF26" s="30" t="str">
        <f>IF($C26="","",VLOOKUP($C26,AMABat!$A$10:$BV$146,AF$4,FALSE))</f>
        <v/>
      </c>
      <c r="AG26" s="30" t="str">
        <f>IF($C26="","",VLOOKUP($C26,AMABat!$A$10:$BV$146,AG$4,FALSE))</f>
        <v/>
      </c>
      <c r="AH26" s="30" t="str">
        <f>IF($C26="","",VLOOKUP($C26,AMABat!$A$10:$BV$146,AH$4,FALSE))</f>
        <v/>
      </c>
      <c r="AI26" s="30" t="str">
        <f>IF($C26="","",VLOOKUP($C26,AMABat!$A$10:$BV$146,AI$4,FALSE))</f>
        <v/>
      </c>
      <c r="AJ26" s="31" t="str">
        <f>IF($C26="","",VLOOKUP($C26,AMABat!$A$10:$BV$146,AJ$4,FALSE))</f>
        <v/>
      </c>
      <c r="AK26" s="60" t="str">
        <f t="shared" si="61"/>
        <v/>
      </c>
      <c r="AL26" s="372" t="str">
        <f t="shared" si="62"/>
        <v/>
      </c>
      <c r="AM26" s="372" t="str">
        <f t="shared" si="63"/>
        <v/>
      </c>
      <c r="AN26" s="372" t="str">
        <f t="shared" si="64"/>
        <v/>
      </c>
      <c r="AO26" s="372" t="str">
        <f t="shared" si="65"/>
        <v/>
      </c>
      <c r="AP26" s="372" t="str">
        <f t="shared" si="66"/>
        <v/>
      </c>
      <c r="AQ26" s="372" t="str">
        <f t="shared" si="67"/>
        <v/>
      </c>
      <c r="AR26" s="372" t="str">
        <f t="shared" si="68"/>
        <v/>
      </c>
      <c r="AS26" s="372" t="str">
        <f t="shared" si="69"/>
        <v/>
      </c>
      <c r="AT26" s="373" t="str">
        <f t="shared" si="70"/>
        <v/>
      </c>
      <c r="AU26" s="51" t="str">
        <f>IF($C26="","",VLOOKUP($C26,AMABat!$A$10:$BV$146,AU$4,FALSE))</f>
        <v/>
      </c>
      <c r="AV26" s="30" t="str">
        <f>IF($C26="","",VLOOKUP($C26,AMABat!$A$10:$BV$146,AV$4,FALSE))</f>
        <v/>
      </c>
      <c r="AW26" s="30" t="str">
        <f>IF($C26="","",VLOOKUP($C26,AMABat!$A$10:$BV$146,AW$4,FALSE))</f>
        <v/>
      </c>
      <c r="AX26" s="30" t="str">
        <f>IF($C26="","",VLOOKUP($C26,AMABat!$A$10:$BV$146,AX$4,FALSE))</f>
        <v/>
      </c>
      <c r="AY26" s="31" t="str">
        <f>IF($C26="","",VLOOKUP($C26,AMABat!$A$10:$BV$146,AY$4,FALSE))</f>
        <v/>
      </c>
      <c r="AZ26" s="60" t="str">
        <f t="shared" si="71"/>
        <v/>
      </c>
    </row>
    <row r="27" spans="1:52" x14ac:dyDescent="0.25">
      <c r="A27" s="305">
        <v>3</v>
      </c>
      <c r="B27" s="32" t="s">
        <v>80</v>
      </c>
      <c r="C27" s="33"/>
      <c r="D27" s="33" t="str">
        <f>IF($C27="","",VLOOKUP($C27,AMABat!$A$10:$BV$146,D$4,FALSE))</f>
        <v/>
      </c>
      <c r="E27" s="33" t="str">
        <f>IF($C27="","",VLOOKUP($C27,AMABat!$A$10:$BV$146,E$4,FALSE))</f>
        <v/>
      </c>
      <c r="F27" s="47" t="str">
        <f t="shared" si="48"/>
        <v/>
      </c>
      <c r="G27" s="370" t="str">
        <f t="shared" si="49"/>
        <v/>
      </c>
      <c r="H27" s="370" t="str">
        <f t="shared" si="50"/>
        <v/>
      </c>
      <c r="I27" s="370" t="str">
        <f t="shared" si="51"/>
        <v/>
      </c>
      <c r="J27" s="52" t="str">
        <f>IF($C27="","",VLOOKUP($C27,AMABat!$A$10:$BV$146,J$4,FALSE))</f>
        <v/>
      </c>
      <c r="K27" s="33" t="str">
        <f>IF($C27="","",VLOOKUP($C27,AMABat!$A$10:$BV$146,K$4,FALSE))</f>
        <v/>
      </c>
      <c r="L27" s="35" t="str">
        <f>IF($C27="","",VLOOKUP($C27,AMABat!$A$10:$BV$146,L$4,FALSE))</f>
        <v/>
      </c>
      <c r="M27" s="33" t="str">
        <f>IF($C27="","",VLOOKUP($C27,AMABat!$A$10:$BV$146,M$4,FALSE))</f>
        <v/>
      </c>
      <c r="N27" s="33" t="str">
        <f>IF($C27="","",VLOOKUP($C27,AMABat!$A$10:$BV$146,N$4,FALSE))</f>
        <v/>
      </c>
      <c r="O27" s="33" t="str">
        <f>IF($C27="","",VLOOKUP($C27,AMABat!$A$10:$BV$146,O$4,FALSE))</f>
        <v/>
      </c>
      <c r="P27" s="33" t="str">
        <f>IF($C27="","",VLOOKUP($C27,AMABat!$A$10:$BV$146,P$4,FALSE))</f>
        <v/>
      </c>
      <c r="Q27" s="33" t="str">
        <f>IF($C27="","",VLOOKUP($C27,AMABat!$A$10:$BV$146,Q$4,FALSE))</f>
        <v/>
      </c>
      <c r="R27" s="33" t="str">
        <f>IF($C27="","",VLOOKUP($C27,AMABat!$A$10:$BV$146,R$4,FALSE))</f>
        <v/>
      </c>
      <c r="S27" s="33" t="str">
        <f>IF($C27="","",VLOOKUP($C27,AMABat!$A$10:$BV$146,S$4,FALSE))</f>
        <v/>
      </c>
      <c r="T27" s="35" t="str">
        <f>IF($C27="","",VLOOKUP($C27,AMABat!$A$10:$BV$146,T$4,FALSE))</f>
        <v/>
      </c>
      <c r="U27" s="370" t="str">
        <f t="shared" si="52"/>
        <v/>
      </c>
      <c r="V27" s="370" t="str">
        <f t="shared" si="53"/>
        <v/>
      </c>
      <c r="W27" s="370" t="str">
        <f t="shared" si="54"/>
        <v/>
      </c>
      <c r="X27" s="370" t="str">
        <f t="shared" si="55"/>
        <v/>
      </c>
      <c r="Y27" s="370" t="str">
        <f t="shared" si="56"/>
        <v/>
      </c>
      <c r="Z27" s="370" t="str">
        <f t="shared" si="57"/>
        <v/>
      </c>
      <c r="AA27" s="370" t="str">
        <f t="shared" si="58"/>
        <v/>
      </c>
      <c r="AB27" s="370" t="str">
        <f t="shared" si="59"/>
        <v/>
      </c>
      <c r="AC27" s="371" t="str">
        <f t="shared" si="60"/>
        <v/>
      </c>
      <c r="AD27" s="33" t="str">
        <f>IF($C27="","",VLOOKUP($C27,AMABat!$A$10:$BV$146,AD$4,FALSE))</f>
        <v/>
      </c>
      <c r="AE27" s="33" t="str">
        <f>IF($C27="","",VLOOKUP($C27,AMABat!$A$10:$BV$146,AE$4,FALSE))</f>
        <v/>
      </c>
      <c r="AF27" s="33" t="str">
        <f>IF($C27="","",VLOOKUP($C27,AMABat!$A$10:$BV$146,AF$4,FALSE))</f>
        <v/>
      </c>
      <c r="AG27" s="33" t="str">
        <f>IF($C27="","",VLOOKUP($C27,AMABat!$A$10:$BV$146,AG$4,FALSE))</f>
        <v/>
      </c>
      <c r="AH27" s="33" t="str">
        <f>IF($C27="","",VLOOKUP($C27,AMABat!$A$10:$BV$146,AH$4,FALSE))</f>
        <v/>
      </c>
      <c r="AI27" s="33" t="str">
        <f>IF($C27="","",VLOOKUP($C27,AMABat!$A$10:$BV$146,AI$4,FALSE))</f>
        <v/>
      </c>
      <c r="AJ27" s="35" t="str">
        <f>IF($C27="","",VLOOKUP($C27,AMABat!$A$10:$BV$146,AJ$4,FALSE))</f>
        <v/>
      </c>
      <c r="AK27" s="61" t="str">
        <f t="shared" si="61"/>
        <v/>
      </c>
      <c r="AL27" s="370" t="str">
        <f t="shared" si="62"/>
        <v/>
      </c>
      <c r="AM27" s="370" t="str">
        <f t="shared" si="63"/>
        <v/>
      </c>
      <c r="AN27" s="370" t="str">
        <f t="shared" si="64"/>
        <v/>
      </c>
      <c r="AO27" s="370" t="str">
        <f t="shared" si="65"/>
        <v/>
      </c>
      <c r="AP27" s="370" t="str">
        <f t="shared" si="66"/>
        <v/>
      </c>
      <c r="AQ27" s="370" t="str">
        <f t="shared" si="67"/>
        <v/>
      </c>
      <c r="AR27" s="370" t="str">
        <f t="shared" si="68"/>
        <v/>
      </c>
      <c r="AS27" s="370" t="str">
        <f t="shared" si="69"/>
        <v/>
      </c>
      <c r="AT27" s="371" t="str">
        <f t="shared" si="70"/>
        <v/>
      </c>
      <c r="AU27" s="52" t="str">
        <f>IF($C27="","",VLOOKUP($C27,AMABat!$A$10:$BV$146,AU$4,FALSE))</f>
        <v/>
      </c>
      <c r="AV27" s="33" t="str">
        <f>IF($C27="","",VLOOKUP($C27,AMABat!$A$10:$BV$146,AV$4,FALSE))</f>
        <v/>
      </c>
      <c r="AW27" s="33" t="str">
        <f>IF($C27="","",VLOOKUP($C27,AMABat!$A$10:$BV$146,AW$4,FALSE))</f>
        <v/>
      </c>
      <c r="AX27" s="33" t="str">
        <f>IF($C27="","",VLOOKUP($C27,AMABat!$A$10:$BV$146,AX$4,FALSE))</f>
        <v/>
      </c>
      <c r="AY27" s="35" t="str">
        <f>IF($C27="","",VLOOKUP($C27,AMABat!$A$10:$BV$146,AY$4,FALSE))</f>
        <v/>
      </c>
      <c r="AZ27" s="61" t="str">
        <f t="shared" si="71"/>
        <v/>
      </c>
    </row>
    <row r="29" spans="1:52" ht="196.5" customHeight="1" x14ac:dyDescent="0.25">
      <c r="A29" s="1"/>
      <c r="B29" s="374" t="s">
        <v>347</v>
      </c>
      <c r="C29" s="37" t="s">
        <v>96</v>
      </c>
      <c r="D29" s="37" t="s">
        <v>97</v>
      </c>
      <c r="E29" s="43" t="s">
        <v>80</v>
      </c>
      <c r="F29" s="375" t="s">
        <v>133</v>
      </c>
      <c r="G29" s="375" t="s">
        <v>137</v>
      </c>
      <c r="H29" s="376" t="s">
        <v>135</v>
      </c>
      <c r="I29" s="81" t="s">
        <v>159</v>
      </c>
      <c r="J29" s="374" t="s">
        <v>71</v>
      </c>
      <c r="K29" s="375" t="s">
        <v>123</v>
      </c>
      <c r="L29" s="375" t="s">
        <v>124</v>
      </c>
      <c r="M29" s="375" t="s">
        <v>180</v>
      </c>
      <c r="N29" s="375" t="s">
        <v>72</v>
      </c>
      <c r="O29" s="374" t="s">
        <v>181</v>
      </c>
      <c r="P29" s="376" t="s">
        <v>182</v>
      </c>
      <c r="Q29" s="374" t="s">
        <v>190</v>
      </c>
      <c r="R29" s="80" t="s">
        <v>203</v>
      </c>
      <c r="S29" s="1"/>
      <c r="T29" s="374" t="s">
        <v>97</v>
      </c>
      <c r="U29" s="374" t="s">
        <v>191</v>
      </c>
      <c r="V29" s="376" t="s">
        <v>204</v>
      </c>
      <c r="W29" s="375" t="s">
        <v>190</v>
      </c>
      <c r="X29" s="376" t="s">
        <v>203</v>
      </c>
      <c r="Y29" s="1"/>
      <c r="Z29" s="1" t="s">
        <v>336</v>
      </c>
      <c r="AA29" s="1"/>
      <c r="AB29" s="1"/>
      <c r="AC29" s="1"/>
      <c r="AD29" s="1"/>
      <c r="AE29" s="1"/>
      <c r="AF29" s="1"/>
      <c r="AG29" s="400" t="s">
        <v>346</v>
      </c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2"/>
      <c r="AU29" s="1"/>
      <c r="AV29" s="1"/>
      <c r="AW29" s="1"/>
      <c r="AX29" s="1"/>
      <c r="AY29" s="1"/>
      <c r="AZ29" s="1"/>
    </row>
    <row r="30" spans="1:52" x14ac:dyDescent="0.25">
      <c r="B30" s="29">
        <v>1</v>
      </c>
      <c r="C30" s="50"/>
      <c r="D30" s="26" t="s">
        <v>78</v>
      </c>
      <c r="E30" s="31" t="str">
        <f>IF($C30="","",VLOOKUP($C30,$C$3:$AK$24,3,FALSE))</f>
        <v/>
      </c>
      <c r="F30" s="372" t="str">
        <f t="shared" ref="F30:F38" si="72">IF($C30="","",VLOOKUP($C30,$C$3:$AK$24,18+$B30,FALSE))</f>
        <v/>
      </c>
      <c r="G30" s="372" t="str">
        <f>IF($C30="","",IF(VLOOKUP($C30,$C$3:$AK$24,18+3,FALSE)=1,3,IF(VLOOKUP($C30,$C$3:$AK$24,18+4,FALSE)=1,4,IF(VLOOKUP($C30,$C$3:$AK$24,18+1,FALSE)=1,1,IF(VLOOKUP($C30,$C$3:$AK$24,18+5,FALSE)=1,5,IF(VLOOKUP($C30,$C$3:$AK$24,18+2,FALSE)=1,2,IF(VLOOKUP($C30,$C$3:$AK$24,18+6,FALSE)=1,6,IF(VLOOKUP($C30,$C$3:$AK$24,18+7,FALSE)=1,7,IF(VLOOKUP($C30,$C$3:$AK$24,18+8,FALSE)=1,8,9)))))))))</f>
        <v/>
      </c>
      <c r="H30" s="8" t="str">
        <f>IF($C30="","",VLOOKUP($C30,$C$3:$AK$24,35,FALSE))</f>
        <v/>
      </c>
      <c r="I30" s="82">
        <v>3</v>
      </c>
      <c r="J30" s="378" t="str">
        <f>IF($C30="","",VLOOKUP($C30,AMABat!$A$10:$BV$146,AD$1,FALSE))</f>
        <v/>
      </c>
      <c r="K30" s="372" t="str">
        <f>IF($C30="","",VLOOKUP($C30,AMABat!$A$10:$BV$146,AE$1,FALSE))</f>
        <v/>
      </c>
      <c r="L30" s="372" t="str">
        <f>IF($C30="","",VLOOKUP($C30,AMABat!$A$10:$BV$146,AF$1,FALSE))</f>
        <v/>
      </c>
      <c r="M30" s="372" t="str">
        <f>IF($C30="","",VLOOKUP($C30,AMABat!$A$10:$BV$146,AG$1,FALSE))</f>
        <v/>
      </c>
      <c r="N30" s="372" t="str">
        <f>IF($C30="","",VLOOKUP($C30,AMABat!$A$10:$BV$146,AH$1,FALSE))</f>
        <v/>
      </c>
      <c r="O30" s="378" t="str">
        <f>IF($C30="","",VLOOKUP($C30,AMABat!$A$10:$BV$146,AI$1,FALSE))</f>
        <v/>
      </c>
      <c r="P30" s="373" t="str">
        <f>IF($C30="","",VLOOKUP($C30,AMABat!$A$10:$BV$146,AJ$1,FALSE))</f>
        <v/>
      </c>
      <c r="Q30" s="107" t="str">
        <f t="shared" ref="Q30:Q38" si="73">IF($C30="","",IF($D30="DH","-",VLOOKUP($C30,$C$2:$AZ$24,9+VLOOKUP($D30,$T$26:$U$34,2,FALSE),FALSE)))</f>
        <v/>
      </c>
      <c r="R30" s="94" t="str">
        <f t="shared" ref="R30:R38" si="74">IF($C30="","",IF($D30="DH","-",VLOOKUP($C30,$C$2:$AZ$24,VLOOKUP($D30,$T$26:$V$34,3,FALSE),FALSE)))</f>
        <v/>
      </c>
      <c r="T30" s="378" t="s">
        <v>71</v>
      </c>
      <c r="U30" s="378">
        <v>2</v>
      </c>
      <c r="V30" s="373">
        <v>8</v>
      </c>
      <c r="W30" s="372" t="str">
        <f>VLOOKUP($T30,$D$26:$R$35,14,FALSE)</f>
        <v/>
      </c>
      <c r="X30" s="373" t="str">
        <f>VLOOKUP($T30,$D$26:$R$35,15,FALSE)</f>
        <v/>
      </c>
      <c r="Z30" s="305" t="s">
        <v>337</v>
      </c>
      <c r="AA30" s="305">
        <v>1</v>
      </c>
      <c r="AG30" s="192">
        <v>1</v>
      </c>
      <c r="AH30" s="406" t="s">
        <v>362</v>
      </c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7"/>
      <c r="AU30" s="305" t="s">
        <v>366</v>
      </c>
    </row>
    <row r="31" spans="1:52" x14ac:dyDescent="0.25">
      <c r="B31" s="29">
        <v>2</v>
      </c>
      <c r="C31" s="51"/>
      <c r="D31" s="30" t="s">
        <v>76</v>
      </c>
      <c r="E31" s="31" t="str">
        <f t="shared" ref="E31:E38" si="75">IF($C31="","",VLOOKUP($C31,$C$3:$AK$24,3,FALSE))</f>
        <v/>
      </c>
      <c r="F31" s="372" t="str">
        <f t="shared" si="72"/>
        <v/>
      </c>
      <c r="G31" s="372" t="str">
        <f t="shared" ref="G31:G38" si="76">IF($C31="","",IF(VLOOKUP($C31,$C$3:$AK$24,18+3,FALSE)=1,3,IF(VLOOKUP($C31,$C$3:$AK$24,18+4,FALSE)=1,4,IF(VLOOKUP($C31,$C$3:$AK$24,18+1,FALSE)=1,1,IF(VLOOKUP($C31,$C$3:$AK$24,18+5,FALSE)=1,5,IF(VLOOKUP($C31,$C$3:$AK$24,18+2,FALSE)=1,2,IF(VLOOKUP($C31,$C$3:$AK$24,18+6,FALSE)=1,6,IF(VLOOKUP($C31,$C$3:$AK$24,18+7,FALSE)=1,7,IF(VLOOKUP($C31,$C$3:$AK$24,18+8,FALSE)=1,8,9)))))))))</f>
        <v/>
      </c>
      <c r="H31" s="8" t="str">
        <f t="shared" ref="H31:H38" si="77">IF($C31="","",VLOOKUP($C31,$C$3:$AK$24,35,FALSE))</f>
        <v/>
      </c>
      <c r="I31" s="82">
        <v>5</v>
      </c>
      <c r="J31" s="378" t="str">
        <f>IF($C31="","",VLOOKUP($C31,AMABat!$A$10:$BV$146,AD$1,FALSE))</f>
        <v/>
      </c>
      <c r="K31" s="372" t="str">
        <f>IF($C31="","",VLOOKUP($C31,AMABat!$A$10:$BV$146,AE$1,FALSE))</f>
        <v/>
      </c>
      <c r="L31" s="372" t="str">
        <f>IF($C31="","",VLOOKUP($C31,AMABat!$A$10:$BV$146,AF$1,FALSE))</f>
        <v/>
      </c>
      <c r="M31" s="372" t="str">
        <f>IF($C31="","",VLOOKUP($C31,AMABat!$A$10:$BV$146,AG$1,FALSE))</f>
        <v/>
      </c>
      <c r="N31" s="372" t="str">
        <f>IF($C31="","",VLOOKUP($C31,AMABat!$A$10:$BV$146,AH$1,FALSE))</f>
        <v/>
      </c>
      <c r="O31" s="378" t="str">
        <f>IF($C31="","",VLOOKUP($C31,AMABat!$A$10:$BV$146,AI$1,FALSE))</f>
        <v/>
      </c>
      <c r="P31" s="373" t="str">
        <f>IF($C31="","",VLOOKUP($C31,AMABat!$A$10:$BV$146,AJ$1,FALSE))</f>
        <v/>
      </c>
      <c r="Q31" s="108" t="str">
        <f t="shared" si="73"/>
        <v/>
      </c>
      <c r="R31" s="94" t="str">
        <f t="shared" si="74"/>
        <v/>
      </c>
      <c r="T31" s="378" t="s">
        <v>73</v>
      </c>
      <c r="U31" s="378">
        <v>3</v>
      </c>
      <c r="V31" s="373">
        <v>9</v>
      </c>
      <c r="W31" s="372" t="e">
        <f t="shared" ref="W31:W37" si="78">VLOOKUP($T31,$D$26:$R$35,14,FALSE)</f>
        <v>#N/A</v>
      </c>
      <c r="X31" s="373" t="e">
        <f t="shared" ref="X31:X37" si="79">VLOOKUP($T31,$D$26:$R$35,15,FALSE)</f>
        <v>#N/A</v>
      </c>
      <c r="Z31" s="305" t="s">
        <v>338</v>
      </c>
      <c r="AA31" s="305">
        <v>3</v>
      </c>
      <c r="AG31" s="70">
        <v>2</v>
      </c>
      <c r="AH31" s="396" t="s">
        <v>363</v>
      </c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7"/>
      <c r="AU31" s="305" t="s">
        <v>370</v>
      </c>
    </row>
    <row r="32" spans="1:52" x14ac:dyDescent="0.25">
      <c r="B32" s="29">
        <v>3</v>
      </c>
      <c r="C32" s="51"/>
      <c r="D32" s="58" t="s">
        <v>71</v>
      </c>
      <c r="E32" s="31" t="str">
        <f t="shared" si="75"/>
        <v/>
      </c>
      <c r="F32" s="372" t="str">
        <f t="shared" si="72"/>
        <v/>
      </c>
      <c r="G32" s="372" t="str">
        <f t="shared" si="76"/>
        <v/>
      </c>
      <c r="H32" s="8" t="str">
        <f t="shared" si="77"/>
        <v/>
      </c>
      <c r="I32" s="82">
        <v>1</v>
      </c>
      <c r="J32" s="378" t="str">
        <f>IF($C32="","",VLOOKUP($C32,AMABat!$A$10:$BV$146,AD$1,FALSE))</f>
        <v/>
      </c>
      <c r="K32" s="372" t="str">
        <f>IF($C32="","",VLOOKUP($C32,AMABat!$A$10:$BV$146,AE$1,FALSE))</f>
        <v/>
      </c>
      <c r="L32" s="372" t="str">
        <f>IF($C32="","",VLOOKUP($C32,AMABat!$A$10:$BV$146,AF$1,FALSE))</f>
        <v/>
      </c>
      <c r="M32" s="372" t="str">
        <f>IF($C32="","",VLOOKUP($C32,AMABat!$A$10:$BV$146,AG$1,FALSE))</f>
        <v/>
      </c>
      <c r="N32" s="372" t="str">
        <f>IF($C32="","",VLOOKUP($C32,AMABat!$A$10:$BV$146,AH$1,FALSE))</f>
        <v/>
      </c>
      <c r="O32" s="378" t="str">
        <f>IF($C32="","",VLOOKUP($C32,AMABat!$A$10:$BV$146,AI$1,FALSE))</f>
        <v/>
      </c>
      <c r="P32" s="373" t="str">
        <f>IF($C32="","",VLOOKUP($C32,AMABat!$A$10:$BV$146,AJ$1,FALSE))</f>
        <v/>
      </c>
      <c r="Q32" s="108" t="str">
        <f t="shared" si="73"/>
        <v/>
      </c>
      <c r="R32" s="94" t="str">
        <f t="shared" si="74"/>
        <v/>
      </c>
      <c r="T32" s="378" t="s">
        <v>74</v>
      </c>
      <c r="U32" s="378">
        <v>4</v>
      </c>
      <c r="V32" s="373">
        <v>9</v>
      </c>
      <c r="W32" s="372" t="e">
        <f t="shared" si="78"/>
        <v>#N/A</v>
      </c>
      <c r="X32" s="373" t="e">
        <f t="shared" si="79"/>
        <v>#N/A</v>
      </c>
      <c r="Z32" s="305" t="s">
        <v>341</v>
      </c>
      <c r="AA32" s="305">
        <v>5</v>
      </c>
      <c r="AG32" s="70">
        <v>3</v>
      </c>
      <c r="AH32" s="406" t="s">
        <v>369</v>
      </c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7"/>
      <c r="AU32" s="305" t="s">
        <v>383</v>
      </c>
    </row>
    <row r="33" spans="1:52" x14ac:dyDescent="0.25">
      <c r="B33" s="29">
        <v>4</v>
      </c>
      <c r="C33" s="51"/>
      <c r="D33" s="58" t="s">
        <v>75</v>
      </c>
      <c r="E33" s="31" t="str">
        <f t="shared" si="75"/>
        <v/>
      </c>
      <c r="F33" s="372" t="str">
        <f t="shared" si="72"/>
        <v/>
      </c>
      <c r="G33" s="372" t="str">
        <f t="shared" si="76"/>
        <v/>
      </c>
      <c r="H33" s="8" t="str">
        <f t="shared" si="77"/>
        <v/>
      </c>
      <c r="I33" s="82">
        <v>2</v>
      </c>
      <c r="J33" s="378" t="str">
        <f>IF($C33="","",VLOOKUP($C33,AMABat!$A$10:$BV$146,AD$1,FALSE))</f>
        <v/>
      </c>
      <c r="K33" s="372" t="str">
        <f>IF($C33="","",VLOOKUP($C33,AMABat!$A$10:$BV$146,AE$1,FALSE))</f>
        <v/>
      </c>
      <c r="L33" s="372" t="str">
        <f>IF($C33="","",VLOOKUP($C33,AMABat!$A$10:$BV$146,AF$1,FALSE))</f>
        <v/>
      </c>
      <c r="M33" s="372" t="str">
        <f>IF($C33="","",VLOOKUP($C33,AMABat!$A$10:$BV$146,AG$1,FALSE))</f>
        <v/>
      </c>
      <c r="N33" s="372" t="str">
        <f>IF($C33="","",VLOOKUP($C33,AMABat!$A$10:$BV$146,AH$1,FALSE))</f>
        <v/>
      </c>
      <c r="O33" s="378" t="str">
        <f>IF($C33="","",VLOOKUP($C33,AMABat!$A$10:$BV$146,AI$1,FALSE))</f>
        <v/>
      </c>
      <c r="P33" s="373" t="str">
        <f>IF($C33="","",VLOOKUP($C33,AMABat!$A$10:$BV$146,AJ$1,FALSE))</f>
        <v/>
      </c>
      <c r="Q33" s="108" t="str">
        <f t="shared" si="73"/>
        <v/>
      </c>
      <c r="R33" s="94" t="str">
        <f t="shared" si="74"/>
        <v/>
      </c>
      <c r="T33" s="378" t="s">
        <v>75</v>
      </c>
      <c r="U33" s="378">
        <v>5</v>
      </c>
      <c r="V33" s="373">
        <v>9</v>
      </c>
      <c r="W33" s="372" t="str">
        <f t="shared" si="78"/>
        <v/>
      </c>
      <c r="X33" s="373" t="str">
        <f t="shared" si="79"/>
        <v/>
      </c>
      <c r="Z33" s="305" t="s">
        <v>340</v>
      </c>
      <c r="AA33" s="305">
        <v>2</v>
      </c>
      <c r="AG33" s="70">
        <v>4</v>
      </c>
      <c r="AH33" s="406" t="s">
        <v>368</v>
      </c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7"/>
      <c r="AU33" s="305" t="s">
        <v>373</v>
      </c>
    </row>
    <row r="34" spans="1:52" x14ac:dyDescent="0.25">
      <c r="B34" s="29">
        <v>5</v>
      </c>
      <c r="C34" s="51"/>
      <c r="D34" s="58"/>
      <c r="E34" s="31" t="str">
        <f t="shared" si="75"/>
        <v/>
      </c>
      <c r="F34" s="372" t="str">
        <f t="shared" si="72"/>
        <v/>
      </c>
      <c r="G34" s="372" t="str">
        <f t="shared" si="76"/>
        <v/>
      </c>
      <c r="H34" s="8" t="str">
        <f t="shared" si="77"/>
        <v/>
      </c>
      <c r="I34" s="82">
        <v>4</v>
      </c>
      <c r="J34" s="378" t="str">
        <f>IF($C34="","",VLOOKUP($C34,AMABat!$A$10:$BV$146,AD$1,FALSE))</f>
        <v/>
      </c>
      <c r="K34" s="372" t="str">
        <f>IF($C34="","",VLOOKUP($C34,AMABat!$A$10:$BV$146,AE$1,FALSE))</f>
        <v/>
      </c>
      <c r="L34" s="372" t="str">
        <f>IF($C34="","",VLOOKUP($C34,AMABat!$A$10:$BV$146,AF$1,FALSE))</f>
        <v/>
      </c>
      <c r="M34" s="372" t="str">
        <f>IF($C34="","",VLOOKUP($C34,AMABat!$A$10:$BV$146,AG$1,FALSE))</f>
        <v/>
      </c>
      <c r="N34" s="372" t="str">
        <f>IF($C34="","",VLOOKUP($C34,AMABat!$A$10:$BV$146,AH$1,FALSE))</f>
        <v/>
      </c>
      <c r="O34" s="378" t="str">
        <f>IF($C34="","",VLOOKUP($C34,AMABat!$A$10:$BV$146,AI$1,FALSE))</f>
        <v/>
      </c>
      <c r="P34" s="373" t="str">
        <f>IF($C34="","",VLOOKUP($C34,AMABat!$A$10:$BV$146,AJ$1,FALSE))</f>
        <v/>
      </c>
      <c r="Q34" s="108" t="str">
        <f t="shared" si="73"/>
        <v/>
      </c>
      <c r="R34" s="94" t="str">
        <f t="shared" si="74"/>
        <v/>
      </c>
      <c r="T34" s="378" t="s">
        <v>76</v>
      </c>
      <c r="U34" s="378">
        <v>6</v>
      </c>
      <c r="V34" s="373">
        <v>9</v>
      </c>
      <c r="W34" s="372" t="str">
        <f t="shared" si="78"/>
        <v/>
      </c>
      <c r="X34" s="373" t="str">
        <f t="shared" si="79"/>
        <v/>
      </c>
      <c r="Z34" s="305" t="s">
        <v>339</v>
      </c>
      <c r="AA34" s="305">
        <v>4</v>
      </c>
      <c r="AG34" s="70">
        <v>5</v>
      </c>
      <c r="AH34" s="408" t="s">
        <v>361</v>
      </c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10"/>
    </row>
    <row r="35" spans="1:52" s="1" customFormat="1" x14ac:dyDescent="0.25">
      <c r="A35" s="305"/>
      <c r="B35" s="29">
        <v>6</v>
      </c>
      <c r="C35" s="51"/>
      <c r="D35" s="58"/>
      <c r="E35" s="31" t="str">
        <f t="shared" si="75"/>
        <v/>
      </c>
      <c r="F35" s="372" t="str">
        <f t="shared" si="72"/>
        <v/>
      </c>
      <c r="G35" s="372" t="str">
        <f t="shared" si="76"/>
        <v/>
      </c>
      <c r="H35" s="8" t="str">
        <f t="shared" si="77"/>
        <v/>
      </c>
      <c r="I35" s="82">
        <v>6</v>
      </c>
      <c r="J35" s="378" t="str">
        <f>IF($C35="","",VLOOKUP($C35,AMABat!$A$10:$BV$146,AD$1,FALSE))</f>
        <v/>
      </c>
      <c r="K35" s="372" t="str">
        <f>IF($C35="","",VLOOKUP($C35,AMABat!$A$10:$BV$146,AE$1,FALSE))</f>
        <v/>
      </c>
      <c r="L35" s="372" t="str">
        <f>IF($C35="","",VLOOKUP($C35,AMABat!$A$10:$BV$146,AF$1,FALSE))</f>
        <v/>
      </c>
      <c r="M35" s="372" t="str">
        <f>IF($C35="","",VLOOKUP($C35,AMABat!$A$10:$BV$146,AG$1,FALSE))</f>
        <v/>
      </c>
      <c r="N35" s="372" t="str">
        <f>IF($C35="","",VLOOKUP($C35,AMABat!$A$10:$BV$146,AH$1,FALSE))</f>
        <v/>
      </c>
      <c r="O35" s="378" t="str">
        <f>IF($C35="","",VLOOKUP($C35,AMABat!$A$10:$BV$146,AI$1,FALSE))</f>
        <v/>
      </c>
      <c r="P35" s="373" t="str">
        <f>IF($C35="","",VLOOKUP($C35,AMABat!$A$10:$BV$146,AJ$1,FALSE))</f>
        <v/>
      </c>
      <c r="Q35" s="108" t="str">
        <f t="shared" si="73"/>
        <v/>
      </c>
      <c r="R35" s="94" t="str">
        <f t="shared" si="74"/>
        <v/>
      </c>
      <c r="S35" s="305"/>
      <c r="T35" s="378" t="s">
        <v>77</v>
      </c>
      <c r="U35" s="378">
        <v>7</v>
      </c>
      <c r="V35" s="373">
        <v>10</v>
      </c>
      <c r="W35" s="372" t="e">
        <f t="shared" si="78"/>
        <v>#N/A</v>
      </c>
      <c r="X35" s="373" t="e">
        <f t="shared" si="79"/>
        <v>#N/A</v>
      </c>
      <c r="Y35" s="305"/>
      <c r="Z35" s="305" t="s">
        <v>343</v>
      </c>
      <c r="AA35" s="305">
        <v>6</v>
      </c>
      <c r="AB35" s="305"/>
      <c r="AC35" s="305"/>
      <c r="AD35" s="305"/>
      <c r="AE35" s="305"/>
      <c r="AF35" s="305"/>
      <c r="AG35" s="70">
        <v>6</v>
      </c>
      <c r="AH35" s="411" t="s">
        <v>364</v>
      </c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7"/>
      <c r="AU35" s="305" t="s">
        <v>376</v>
      </c>
      <c r="AV35" s="305"/>
      <c r="AW35" s="305"/>
      <c r="AX35" s="305"/>
      <c r="AY35" s="305"/>
      <c r="AZ35" s="305"/>
    </row>
    <row r="36" spans="1:52" x14ac:dyDescent="0.25">
      <c r="B36" s="29">
        <v>7</v>
      </c>
      <c r="C36" s="51"/>
      <c r="D36" s="58"/>
      <c r="E36" s="31" t="str">
        <f t="shared" si="75"/>
        <v/>
      </c>
      <c r="F36" s="372" t="str">
        <f t="shared" si="72"/>
        <v/>
      </c>
      <c r="G36" s="372" t="str">
        <f t="shared" si="76"/>
        <v/>
      </c>
      <c r="H36" s="8" t="str">
        <f t="shared" si="77"/>
        <v/>
      </c>
      <c r="I36" s="82">
        <v>7</v>
      </c>
      <c r="J36" s="378" t="str">
        <f>IF($C36="","",VLOOKUP($C36,AMABat!$A$10:$BV$146,AD$1,FALSE))</f>
        <v/>
      </c>
      <c r="K36" s="372" t="str">
        <f>IF($C36="","",VLOOKUP($C36,AMABat!$A$10:$BV$146,AE$1,FALSE))</f>
        <v/>
      </c>
      <c r="L36" s="372" t="str">
        <f>IF($C36="","",VLOOKUP($C36,AMABat!$A$10:$BV$146,AF$1,FALSE))</f>
        <v/>
      </c>
      <c r="M36" s="372" t="str">
        <f>IF($C36="","",VLOOKUP($C36,AMABat!$A$10:$BV$146,AG$1,FALSE))</f>
        <v/>
      </c>
      <c r="N36" s="372" t="str">
        <f>IF($C36="","",VLOOKUP($C36,AMABat!$A$10:$BV$146,AH$1,FALSE))</f>
        <v/>
      </c>
      <c r="O36" s="378" t="str">
        <f>IF($C36="","",VLOOKUP($C36,AMABat!$A$10:$BV$146,AI$1,FALSE))</f>
        <v/>
      </c>
      <c r="P36" s="373" t="str">
        <f>IF($C36="","",VLOOKUP($C36,AMABat!$A$10:$BV$146,AJ$1,FALSE))</f>
        <v/>
      </c>
      <c r="Q36" s="108" t="str">
        <f t="shared" si="73"/>
        <v/>
      </c>
      <c r="R36" s="94" t="str">
        <f t="shared" si="74"/>
        <v/>
      </c>
      <c r="T36" s="378" t="s">
        <v>78</v>
      </c>
      <c r="U36" s="378">
        <v>8</v>
      </c>
      <c r="V36" s="373">
        <v>10</v>
      </c>
      <c r="W36" s="372" t="str">
        <f t="shared" si="78"/>
        <v/>
      </c>
      <c r="X36" s="373" t="str">
        <f t="shared" si="79"/>
        <v/>
      </c>
      <c r="Z36" s="305" t="s">
        <v>344</v>
      </c>
      <c r="AA36" s="305">
        <v>7</v>
      </c>
      <c r="AG36" s="70">
        <v>7</v>
      </c>
      <c r="AH36" s="411" t="s">
        <v>365</v>
      </c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7"/>
      <c r="AU36" s="305" t="s">
        <v>367</v>
      </c>
    </row>
    <row r="37" spans="1:52" x14ac:dyDescent="0.25">
      <c r="B37" s="29">
        <v>8</v>
      </c>
      <c r="C37" s="51"/>
      <c r="D37" s="58"/>
      <c r="E37" s="31" t="str">
        <f t="shared" si="75"/>
        <v/>
      </c>
      <c r="F37" s="372" t="str">
        <f t="shared" si="72"/>
        <v/>
      </c>
      <c r="G37" s="372" t="str">
        <f t="shared" si="76"/>
        <v/>
      </c>
      <c r="H37" s="8" t="str">
        <f t="shared" si="77"/>
        <v/>
      </c>
      <c r="I37" s="82">
        <v>8</v>
      </c>
      <c r="J37" s="378" t="str">
        <f>IF($C37="","",VLOOKUP($C37,AMABat!$A$10:$BV$146,AD$1,FALSE))</f>
        <v/>
      </c>
      <c r="K37" s="372" t="str">
        <f>IF($C37="","",VLOOKUP($C37,AMABat!$A$10:$BV$146,AE$1,FALSE))</f>
        <v/>
      </c>
      <c r="L37" s="372" t="str">
        <f>IF($C37="","",VLOOKUP($C37,AMABat!$A$10:$BV$146,AF$1,FALSE))</f>
        <v/>
      </c>
      <c r="M37" s="372" t="str">
        <f>IF($C37="","",VLOOKUP($C37,AMABat!$A$10:$BV$146,AG$1,FALSE))</f>
        <v/>
      </c>
      <c r="N37" s="372" t="str">
        <f>IF($C37="","",VLOOKUP($C37,AMABat!$A$10:$BV$146,AH$1,FALSE))</f>
        <v/>
      </c>
      <c r="O37" s="378" t="str">
        <f>IF($C37="","",VLOOKUP($C37,AMABat!$A$10:$BV$146,AI$1,FALSE))</f>
        <v/>
      </c>
      <c r="P37" s="373" t="str">
        <f>IF($C37="","",VLOOKUP($C37,AMABat!$A$10:$BV$146,AJ$1,FALSE))</f>
        <v/>
      </c>
      <c r="Q37" s="108" t="str">
        <f t="shared" si="73"/>
        <v/>
      </c>
      <c r="R37" s="94" t="str">
        <f t="shared" si="74"/>
        <v/>
      </c>
      <c r="T37" s="47" t="s">
        <v>79</v>
      </c>
      <c r="U37" s="47">
        <v>9</v>
      </c>
      <c r="V37" s="371">
        <v>10</v>
      </c>
      <c r="W37" s="370" t="e">
        <f t="shared" si="78"/>
        <v>#N/A</v>
      </c>
      <c r="X37" s="371" t="e">
        <f t="shared" si="79"/>
        <v>#N/A</v>
      </c>
      <c r="Z37" s="305" t="s">
        <v>345</v>
      </c>
      <c r="AA37" s="305">
        <v>8</v>
      </c>
      <c r="AG37" s="70">
        <v>8</v>
      </c>
      <c r="AH37" s="412" t="s">
        <v>374</v>
      </c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305" t="s">
        <v>375</v>
      </c>
    </row>
    <row r="38" spans="1:52" x14ac:dyDescent="0.25">
      <c r="B38" s="32">
        <v>9</v>
      </c>
      <c r="C38" s="52"/>
      <c r="D38" s="33"/>
      <c r="E38" s="35" t="str">
        <f t="shared" si="75"/>
        <v/>
      </c>
      <c r="F38" s="370" t="str">
        <f t="shared" si="72"/>
        <v/>
      </c>
      <c r="G38" s="370" t="str">
        <f t="shared" si="76"/>
        <v/>
      </c>
      <c r="H38" s="62" t="str">
        <f t="shared" si="77"/>
        <v/>
      </c>
      <c r="I38" s="83">
        <v>9</v>
      </c>
      <c r="J38" s="47" t="str">
        <f>IF($C38="","",VLOOKUP($C38,AMABat!$A$10:$BV$146,AD$1,FALSE))</f>
        <v/>
      </c>
      <c r="K38" s="370" t="str">
        <f>IF($C38="","",VLOOKUP($C38,AMABat!$A$10:$BV$146,AE$1,FALSE))</f>
        <v/>
      </c>
      <c r="L38" s="370" t="str">
        <f>IF($C38="","",VLOOKUP($C38,AMABat!$A$10:$BV$146,AF$1,FALSE))</f>
        <v/>
      </c>
      <c r="M38" s="370" t="str">
        <f>IF($C38="","",VLOOKUP($C38,AMABat!$A$10:$BV$146,AG$1,FALSE))</f>
        <v/>
      </c>
      <c r="N38" s="370" t="str">
        <f>IF($C38="","",VLOOKUP($C38,AMABat!$A$10:$BV$146,AH$1,FALSE))</f>
        <v/>
      </c>
      <c r="O38" s="47" t="str">
        <f>IF($C38="","",VLOOKUP($C38,AMABat!$A$10:$BV$146,AI$1,FALSE))</f>
        <v/>
      </c>
      <c r="P38" s="371" t="str">
        <f>IF($C38="","",VLOOKUP($C38,AMABat!$A$10:$BV$146,AJ$1,FALSE))</f>
        <v/>
      </c>
      <c r="Q38" s="109" t="str">
        <f t="shared" si="73"/>
        <v/>
      </c>
      <c r="R38" s="95" t="str">
        <f t="shared" si="74"/>
        <v/>
      </c>
      <c r="Z38" s="305" t="s">
        <v>342</v>
      </c>
      <c r="AA38" s="305">
        <v>9</v>
      </c>
      <c r="AG38" s="70">
        <v>9</v>
      </c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7"/>
    </row>
    <row r="39" spans="1:52" x14ac:dyDescent="0.25">
      <c r="B39" s="4"/>
      <c r="C39" s="30"/>
      <c r="D39" s="30"/>
      <c r="E39" s="30"/>
      <c r="F39" s="372"/>
      <c r="G39" s="372"/>
      <c r="H39" s="9"/>
      <c r="AG39" s="71">
        <v>10</v>
      </c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9"/>
    </row>
    <row r="40" spans="1:52" x14ac:dyDescent="0.25">
      <c r="A40" s="1"/>
      <c r="B40" s="374" t="s">
        <v>348</v>
      </c>
      <c r="C40" s="37" t="s">
        <v>96</v>
      </c>
      <c r="D40" s="37" t="s">
        <v>97</v>
      </c>
      <c r="E40" s="43" t="s">
        <v>80</v>
      </c>
      <c r="F40" s="375" t="s">
        <v>133</v>
      </c>
      <c r="G40" s="375" t="s">
        <v>137</v>
      </c>
      <c r="H40" s="376" t="s">
        <v>135</v>
      </c>
      <c r="I40" s="81" t="s">
        <v>159</v>
      </c>
      <c r="J40" s="374" t="s">
        <v>71</v>
      </c>
      <c r="K40" s="375" t="s">
        <v>123</v>
      </c>
      <c r="L40" s="375" t="s">
        <v>124</v>
      </c>
      <c r="M40" s="375" t="s">
        <v>180</v>
      </c>
      <c r="N40" s="375" t="s">
        <v>72</v>
      </c>
      <c r="O40" s="374" t="s">
        <v>181</v>
      </c>
      <c r="P40" s="376" t="s">
        <v>182</v>
      </c>
      <c r="Q40" s="374" t="s">
        <v>190</v>
      </c>
      <c r="R40" s="80" t="s">
        <v>203</v>
      </c>
      <c r="S40" s="1"/>
      <c r="T40" s="374" t="s">
        <v>97</v>
      </c>
      <c r="U40" s="374" t="s">
        <v>191</v>
      </c>
      <c r="V40" s="376" t="s">
        <v>204</v>
      </c>
      <c r="W40" s="375" t="s">
        <v>190</v>
      </c>
      <c r="X40" s="376" t="s">
        <v>203</v>
      </c>
      <c r="Y40" s="1"/>
      <c r="Z40" s="1" t="s">
        <v>336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5">
      <c r="B41" s="29">
        <v>1</v>
      </c>
      <c r="C41" s="50"/>
      <c r="D41" s="26" t="s">
        <v>79</v>
      </c>
      <c r="E41" s="31" t="str">
        <f t="shared" ref="E41" si="80">IF($C41="","",VLOOKUP($C41,$C$3:$AK$24,$E$1-2,FALSE))</f>
        <v/>
      </c>
      <c r="F41" s="372" t="str">
        <f t="shared" ref="F41:F49" si="81">IF($C41="","",VLOOKUP($C41,$C$3:$AK$24,18+$B41,FALSE))</f>
        <v/>
      </c>
      <c r="G41" s="372" t="str">
        <f>IF($C41="","",IF(VLOOKUP($C41,$C$3:$AK$24,18+3,FALSE)=1,3,IF(VLOOKUP($C41,$C$3:$AK$24,18+4,FALSE)=1,4,IF(VLOOKUP($C41,$C$3:$AK$24,18+1,FALSE)=1,1,IF(VLOOKUP($C41,$C$3:$AK$24,18+5,FALSE)=1,5,IF(VLOOKUP($C41,$C$3:$AK$24,18+2,FALSE)=1,2,IF(VLOOKUP($C41,$C$3:$AK$24,18+6,FALSE)=1,6,IF(VLOOKUP($C41,$C$3:$AK$24,18+7,FALSE)=1,7,IF(VLOOKUP($C41,$C$3:$AK$24,18+8,FALSE)=1,8,9)))))))))</f>
        <v/>
      </c>
      <c r="H41" s="8" t="str">
        <f>IF($C41="","",VLOOKUP($C41,$C$3:$AK$24,35,FALSE))</f>
        <v/>
      </c>
      <c r="I41" s="82">
        <v>3</v>
      </c>
      <c r="J41" s="378" t="str">
        <f>IF($C41="","",VLOOKUP($C41,$C$3:$AZ$24,17+AD$1,FALSE))</f>
        <v/>
      </c>
      <c r="K41" s="372" t="str">
        <f t="shared" ref="K41:N49" si="82">IF($C41="","",VLOOKUP($C41,$C$3:$AZ$24,17+AE$1,FALSE))</f>
        <v/>
      </c>
      <c r="L41" s="372" t="str">
        <f t="shared" si="82"/>
        <v/>
      </c>
      <c r="M41" s="372" t="str">
        <f t="shared" si="82"/>
        <v/>
      </c>
      <c r="N41" s="372" t="str">
        <f t="shared" si="82"/>
        <v/>
      </c>
      <c r="O41" s="378" t="str">
        <f t="shared" ref="O41:P49" si="83">IF($C41="","",VLOOKUP($C41,$C$3:$AZ$24,1+AI$1,FALSE))</f>
        <v/>
      </c>
      <c r="P41" s="373" t="str">
        <f t="shared" si="83"/>
        <v/>
      </c>
      <c r="Q41" s="107" t="str">
        <f t="shared" ref="Q41:Q49" si="84">IF($C41="","",IF($D41="DH","-",VLOOKUP($C41,$C$2:$AZ$24,9+VLOOKUP($D41,$T$26:$U$34,2,FALSE),FALSE)))</f>
        <v/>
      </c>
      <c r="R41" s="94" t="str">
        <f t="shared" ref="R41:R49" si="85">IF($C41="","",IF($D41="DH","-",VLOOKUP($C41,$C$2:$AZ$24,VLOOKUP($D41,$T$26:$V$34,3,FALSE),FALSE)))</f>
        <v/>
      </c>
      <c r="T41" s="378" t="s">
        <v>71</v>
      </c>
      <c r="U41" s="378">
        <v>2</v>
      </c>
      <c r="V41" s="373">
        <v>8</v>
      </c>
      <c r="W41" s="372" t="str">
        <f>VLOOKUP($T41,$D$37:$R$46,14,FALSE)</f>
        <v/>
      </c>
      <c r="X41" s="373" t="str">
        <f>VLOOKUP($T41,$D$37:$R$46,15,FALSE)</f>
        <v/>
      </c>
      <c r="Z41" s="305" t="s">
        <v>337</v>
      </c>
      <c r="AA41" s="305">
        <v>1</v>
      </c>
      <c r="AG41" s="400" t="s">
        <v>384</v>
      </c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2"/>
    </row>
    <row r="42" spans="1:52" x14ac:dyDescent="0.25">
      <c r="B42" s="29">
        <v>2</v>
      </c>
      <c r="C42" s="51"/>
      <c r="D42" s="30" t="s">
        <v>78</v>
      </c>
      <c r="E42" s="31" t="str">
        <f>IF($C42="","",VLOOKUP($C42,$C$3:$AK$24,$E$1-2,FALSE))</f>
        <v/>
      </c>
      <c r="F42" s="372" t="str">
        <f t="shared" si="81"/>
        <v/>
      </c>
      <c r="G42" s="372" t="str">
        <f t="shared" ref="G42:G49" si="86">IF($C42="","",IF(VLOOKUP($C42,$C$3:$AK$24,18+3,FALSE)=1,3,IF(VLOOKUP($C42,$C$3:$AK$24,18+4,FALSE)=1,4,IF(VLOOKUP($C42,$C$3:$AK$24,18+1,FALSE)=1,1,IF(VLOOKUP($C42,$C$3:$AK$24,18+5,FALSE)=1,5,IF(VLOOKUP($C42,$C$3:$AK$24,18+2,FALSE)=1,2,IF(VLOOKUP($C42,$C$3:$AK$24,18+6,FALSE)=1,6,IF(VLOOKUP($C42,$C$3:$AK$24,18+7,FALSE)=1,7,IF(VLOOKUP($C42,$C$3:$AK$24,18+8,FALSE)=1,8,9)))))))))</f>
        <v/>
      </c>
      <c r="H42" s="8" t="str">
        <f t="shared" ref="H42:H49" si="87">IF($C42="","",VLOOKUP($C42,$C$3:$AK$24,35,FALSE))</f>
        <v/>
      </c>
      <c r="I42" s="82">
        <v>5</v>
      </c>
      <c r="J42" s="378" t="str">
        <f t="shared" ref="J42:J49" si="88">IF($C42="","",VLOOKUP($C42,$C$3:$AZ$24,17+AD$1,FALSE))</f>
        <v/>
      </c>
      <c r="K42" s="372" t="str">
        <f t="shared" si="82"/>
        <v/>
      </c>
      <c r="L42" s="372" t="str">
        <f t="shared" si="82"/>
        <v/>
      </c>
      <c r="M42" s="372" t="str">
        <f t="shared" si="82"/>
        <v/>
      </c>
      <c r="N42" s="372" t="str">
        <f t="shared" si="82"/>
        <v/>
      </c>
      <c r="O42" s="378" t="str">
        <f t="shared" si="83"/>
        <v/>
      </c>
      <c r="P42" s="373" t="str">
        <f t="shared" si="83"/>
        <v/>
      </c>
      <c r="Q42" s="108" t="str">
        <f t="shared" si="84"/>
        <v/>
      </c>
      <c r="R42" s="94" t="str">
        <f t="shared" si="85"/>
        <v/>
      </c>
      <c r="T42" s="378" t="s">
        <v>73</v>
      </c>
      <c r="U42" s="378">
        <v>3</v>
      </c>
      <c r="V42" s="373">
        <v>9</v>
      </c>
      <c r="W42" s="372" t="str">
        <f t="shared" ref="W42:W48" si="89">VLOOKUP($T42,$D$37:$R$46,14,FALSE)</f>
        <v/>
      </c>
      <c r="X42" s="373" t="str">
        <f t="shared" ref="X42:X48" si="90">VLOOKUP($T42,$D$37:$R$46,15,FALSE)</f>
        <v/>
      </c>
      <c r="Z42" s="305" t="s">
        <v>338</v>
      </c>
      <c r="AA42" s="305">
        <v>3</v>
      </c>
      <c r="AG42" s="192">
        <v>1</v>
      </c>
      <c r="AH42" s="396" t="s">
        <v>368</v>
      </c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4"/>
    </row>
    <row r="43" spans="1:52" x14ac:dyDescent="0.25">
      <c r="B43" s="29">
        <v>3</v>
      </c>
      <c r="C43" s="51"/>
      <c r="D43" s="58" t="s">
        <v>73</v>
      </c>
      <c r="E43" s="31" t="str">
        <f t="shared" ref="E43:E49" si="91">IF($C43="","",VLOOKUP($C43,$C$3:$AK$24,$E$1-2,FALSE))</f>
        <v/>
      </c>
      <c r="F43" s="372" t="str">
        <f t="shared" si="81"/>
        <v/>
      </c>
      <c r="G43" s="372" t="str">
        <f t="shared" si="86"/>
        <v/>
      </c>
      <c r="H43" s="8" t="str">
        <f t="shared" si="87"/>
        <v/>
      </c>
      <c r="I43" s="82">
        <v>1</v>
      </c>
      <c r="J43" s="378" t="str">
        <f t="shared" si="88"/>
        <v/>
      </c>
      <c r="K43" s="372" t="str">
        <f t="shared" si="82"/>
        <v/>
      </c>
      <c r="L43" s="372" t="str">
        <f t="shared" si="82"/>
        <v/>
      </c>
      <c r="M43" s="372" t="str">
        <f t="shared" si="82"/>
        <v/>
      </c>
      <c r="N43" s="372" t="str">
        <f t="shared" si="82"/>
        <v/>
      </c>
      <c r="O43" s="378" t="str">
        <f t="shared" si="83"/>
        <v/>
      </c>
      <c r="P43" s="373" t="str">
        <f t="shared" si="83"/>
        <v/>
      </c>
      <c r="Q43" s="108" t="str">
        <f t="shared" si="84"/>
        <v/>
      </c>
      <c r="R43" s="94" t="str">
        <f t="shared" si="85"/>
        <v/>
      </c>
      <c r="T43" s="378" t="s">
        <v>74</v>
      </c>
      <c r="U43" s="378">
        <v>4</v>
      </c>
      <c r="V43" s="373">
        <v>9</v>
      </c>
      <c r="W43" s="372" t="e">
        <f t="shared" si="89"/>
        <v>#N/A</v>
      </c>
      <c r="X43" s="373" t="e">
        <f t="shared" si="90"/>
        <v>#N/A</v>
      </c>
      <c r="Z43" s="305" t="s">
        <v>341</v>
      </c>
      <c r="AA43" s="305">
        <v>5</v>
      </c>
      <c r="AG43" s="70">
        <v>2</v>
      </c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4"/>
    </row>
    <row r="44" spans="1:52" x14ac:dyDescent="0.25">
      <c r="B44" s="29">
        <v>4</v>
      </c>
      <c r="C44" s="51"/>
      <c r="D44" s="58" t="s">
        <v>76</v>
      </c>
      <c r="E44" s="31" t="str">
        <f t="shared" si="91"/>
        <v/>
      </c>
      <c r="F44" s="372" t="str">
        <f t="shared" si="81"/>
        <v/>
      </c>
      <c r="G44" s="372" t="str">
        <f t="shared" si="86"/>
        <v/>
      </c>
      <c r="H44" s="8" t="str">
        <f t="shared" si="87"/>
        <v/>
      </c>
      <c r="I44" s="82">
        <v>2</v>
      </c>
      <c r="J44" s="378" t="str">
        <f t="shared" si="88"/>
        <v/>
      </c>
      <c r="K44" s="372" t="str">
        <f t="shared" si="82"/>
        <v/>
      </c>
      <c r="L44" s="372" t="str">
        <f t="shared" si="82"/>
        <v/>
      </c>
      <c r="M44" s="372" t="str">
        <f t="shared" si="82"/>
        <v/>
      </c>
      <c r="N44" s="372" t="str">
        <f t="shared" si="82"/>
        <v/>
      </c>
      <c r="O44" s="378" t="str">
        <f t="shared" si="83"/>
        <v/>
      </c>
      <c r="P44" s="373" t="str">
        <f t="shared" si="83"/>
        <v/>
      </c>
      <c r="Q44" s="108" t="str">
        <f t="shared" si="84"/>
        <v/>
      </c>
      <c r="R44" s="94" t="str">
        <f t="shared" si="85"/>
        <v/>
      </c>
      <c r="T44" s="378" t="s">
        <v>75</v>
      </c>
      <c r="U44" s="378">
        <v>5</v>
      </c>
      <c r="V44" s="373">
        <v>9</v>
      </c>
      <c r="W44" s="372" t="e">
        <f t="shared" si="89"/>
        <v>#N/A</v>
      </c>
      <c r="X44" s="373" t="e">
        <f t="shared" si="90"/>
        <v>#N/A</v>
      </c>
      <c r="Z44" s="305" t="s">
        <v>340</v>
      </c>
      <c r="AA44" s="305">
        <v>2</v>
      </c>
      <c r="AG44" s="70">
        <v>3</v>
      </c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4"/>
    </row>
    <row r="45" spans="1:52" x14ac:dyDescent="0.25">
      <c r="B45" s="29">
        <v>5</v>
      </c>
      <c r="C45" s="51"/>
      <c r="D45" s="58" t="s">
        <v>71</v>
      </c>
      <c r="E45" s="31" t="str">
        <f t="shared" si="91"/>
        <v/>
      </c>
      <c r="F45" s="372" t="str">
        <f t="shared" si="81"/>
        <v/>
      </c>
      <c r="G45" s="372" t="str">
        <f t="shared" si="86"/>
        <v/>
      </c>
      <c r="H45" s="8" t="str">
        <f t="shared" si="87"/>
        <v/>
      </c>
      <c r="I45" s="82">
        <v>4</v>
      </c>
      <c r="J45" s="378" t="str">
        <f t="shared" si="88"/>
        <v/>
      </c>
      <c r="K45" s="372" t="str">
        <f t="shared" si="82"/>
        <v/>
      </c>
      <c r="L45" s="372" t="str">
        <f t="shared" si="82"/>
        <v/>
      </c>
      <c r="M45" s="372" t="str">
        <f t="shared" si="82"/>
        <v/>
      </c>
      <c r="N45" s="372" t="str">
        <f t="shared" si="82"/>
        <v/>
      </c>
      <c r="O45" s="378" t="str">
        <f t="shared" si="83"/>
        <v/>
      </c>
      <c r="P45" s="373" t="str">
        <f t="shared" si="83"/>
        <v/>
      </c>
      <c r="Q45" s="108" t="str">
        <f t="shared" si="84"/>
        <v/>
      </c>
      <c r="R45" s="94" t="str">
        <f t="shared" si="85"/>
        <v/>
      </c>
      <c r="T45" s="378" t="s">
        <v>76</v>
      </c>
      <c r="U45" s="378">
        <v>6</v>
      </c>
      <c r="V45" s="373">
        <v>9</v>
      </c>
      <c r="W45" s="372" t="str">
        <f t="shared" si="89"/>
        <v/>
      </c>
      <c r="X45" s="373" t="str">
        <f t="shared" si="90"/>
        <v/>
      </c>
      <c r="Z45" s="305" t="s">
        <v>339</v>
      </c>
      <c r="AA45" s="305">
        <v>4</v>
      </c>
      <c r="AG45" s="70">
        <v>4</v>
      </c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4"/>
    </row>
    <row r="46" spans="1:52" x14ac:dyDescent="0.25">
      <c r="B46" s="29">
        <v>6</v>
      </c>
      <c r="C46" s="51"/>
      <c r="D46" s="58" t="s">
        <v>77</v>
      </c>
      <c r="E46" s="31" t="str">
        <f t="shared" si="91"/>
        <v/>
      </c>
      <c r="F46" s="372" t="str">
        <f t="shared" si="81"/>
        <v/>
      </c>
      <c r="G46" s="372" t="str">
        <f t="shared" si="86"/>
        <v/>
      </c>
      <c r="H46" s="8" t="str">
        <f t="shared" si="87"/>
        <v/>
      </c>
      <c r="I46" s="82">
        <v>6</v>
      </c>
      <c r="J46" s="378" t="str">
        <f t="shared" si="88"/>
        <v/>
      </c>
      <c r="K46" s="372" t="str">
        <f t="shared" si="82"/>
        <v/>
      </c>
      <c r="L46" s="372" t="str">
        <f t="shared" si="82"/>
        <v/>
      </c>
      <c r="M46" s="372" t="str">
        <f t="shared" si="82"/>
        <v/>
      </c>
      <c r="N46" s="372" t="str">
        <f t="shared" si="82"/>
        <v/>
      </c>
      <c r="O46" s="378" t="str">
        <f t="shared" si="83"/>
        <v/>
      </c>
      <c r="P46" s="373" t="str">
        <f t="shared" si="83"/>
        <v/>
      </c>
      <c r="Q46" s="108" t="str">
        <f t="shared" si="84"/>
        <v/>
      </c>
      <c r="R46" s="94" t="str">
        <f t="shared" si="85"/>
        <v/>
      </c>
      <c r="T46" s="378" t="s">
        <v>77</v>
      </c>
      <c r="U46" s="378">
        <v>7</v>
      </c>
      <c r="V46" s="373">
        <v>10</v>
      </c>
      <c r="W46" s="372" t="str">
        <f t="shared" si="89"/>
        <v/>
      </c>
      <c r="X46" s="373" t="str">
        <f t="shared" si="90"/>
        <v/>
      </c>
      <c r="Z46" s="305" t="s">
        <v>343</v>
      </c>
      <c r="AA46" s="305">
        <v>6</v>
      </c>
      <c r="AG46" s="70">
        <v>5</v>
      </c>
      <c r="AH46" s="403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5"/>
    </row>
    <row r="47" spans="1:52" x14ac:dyDescent="0.25">
      <c r="B47" s="29">
        <v>7</v>
      </c>
      <c r="C47" s="51"/>
      <c r="D47" s="58" t="s">
        <v>10</v>
      </c>
      <c r="E47" s="31" t="str">
        <f t="shared" si="91"/>
        <v/>
      </c>
      <c r="F47" s="372" t="str">
        <f t="shared" si="81"/>
        <v/>
      </c>
      <c r="G47" s="372" t="str">
        <f t="shared" si="86"/>
        <v/>
      </c>
      <c r="H47" s="8" t="str">
        <f t="shared" si="87"/>
        <v/>
      </c>
      <c r="I47" s="82">
        <v>7</v>
      </c>
      <c r="J47" s="378" t="str">
        <f t="shared" si="88"/>
        <v/>
      </c>
      <c r="K47" s="372" t="str">
        <f t="shared" si="82"/>
        <v/>
      </c>
      <c r="L47" s="372" t="str">
        <f t="shared" si="82"/>
        <v/>
      </c>
      <c r="M47" s="372" t="str">
        <f t="shared" si="82"/>
        <v/>
      </c>
      <c r="N47" s="372" t="str">
        <f t="shared" si="82"/>
        <v/>
      </c>
      <c r="O47" s="378" t="str">
        <f t="shared" si="83"/>
        <v/>
      </c>
      <c r="P47" s="373" t="str">
        <f t="shared" si="83"/>
        <v/>
      </c>
      <c r="Q47" s="108" t="str">
        <f t="shared" si="84"/>
        <v/>
      </c>
      <c r="R47" s="94" t="str">
        <f t="shared" si="85"/>
        <v/>
      </c>
      <c r="T47" s="378" t="s">
        <v>78</v>
      </c>
      <c r="U47" s="378">
        <v>8</v>
      </c>
      <c r="V47" s="373">
        <v>10</v>
      </c>
      <c r="W47" s="372" t="str">
        <f t="shared" si="89"/>
        <v/>
      </c>
      <c r="X47" s="373" t="str">
        <f t="shared" si="90"/>
        <v/>
      </c>
      <c r="Z47" s="305" t="s">
        <v>344</v>
      </c>
      <c r="AA47" s="305">
        <v>7</v>
      </c>
      <c r="AG47" s="70">
        <v>6</v>
      </c>
      <c r="AH47" s="392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4"/>
    </row>
    <row r="48" spans="1:52" x14ac:dyDescent="0.25">
      <c r="B48" s="29">
        <v>8</v>
      </c>
      <c r="C48" s="51"/>
      <c r="D48" s="58" t="s">
        <v>74</v>
      </c>
      <c r="E48" s="31" t="str">
        <f t="shared" si="91"/>
        <v/>
      </c>
      <c r="F48" s="372" t="str">
        <f t="shared" si="81"/>
        <v/>
      </c>
      <c r="G48" s="372" t="str">
        <f t="shared" si="86"/>
        <v/>
      </c>
      <c r="H48" s="8" t="str">
        <f t="shared" si="87"/>
        <v/>
      </c>
      <c r="I48" s="82">
        <v>8</v>
      </c>
      <c r="J48" s="378" t="str">
        <f t="shared" si="88"/>
        <v/>
      </c>
      <c r="K48" s="372" t="str">
        <f t="shared" si="82"/>
        <v/>
      </c>
      <c r="L48" s="372" t="str">
        <f t="shared" si="82"/>
        <v/>
      </c>
      <c r="M48" s="372" t="str">
        <f t="shared" si="82"/>
        <v/>
      </c>
      <c r="N48" s="372" t="str">
        <f t="shared" si="82"/>
        <v/>
      </c>
      <c r="O48" s="378" t="str">
        <f t="shared" si="83"/>
        <v/>
      </c>
      <c r="P48" s="373" t="str">
        <f t="shared" si="83"/>
        <v/>
      </c>
      <c r="Q48" s="108" t="str">
        <f t="shared" si="84"/>
        <v/>
      </c>
      <c r="R48" s="94" t="str">
        <f t="shared" si="85"/>
        <v/>
      </c>
      <c r="T48" s="47" t="s">
        <v>79</v>
      </c>
      <c r="U48" s="47">
        <v>9</v>
      </c>
      <c r="V48" s="371">
        <v>10</v>
      </c>
      <c r="W48" s="370" t="str">
        <f t="shared" si="89"/>
        <v/>
      </c>
      <c r="X48" s="371" t="str">
        <f t="shared" si="90"/>
        <v/>
      </c>
      <c r="Z48" s="305" t="s">
        <v>345</v>
      </c>
      <c r="AA48" s="305">
        <v>8</v>
      </c>
      <c r="AG48" s="70">
        <v>7</v>
      </c>
      <c r="AH48" s="392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4"/>
    </row>
    <row r="49" spans="1:52" x14ac:dyDescent="0.25">
      <c r="B49" s="32">
        <v>9</v>
      </c>
      <c r="C49" s="52"/>
      <c r="D49" s="33" t="s">
        <v>75</v>
      </c>
      <c r="E49" s="35" t="str">
        <f t="shared" si="91"/>
        <v/>
      </c>
      <c r="F49" s="370" t="str">
        <f t="shared" si="81"/>
        <v/>
      </c>
      <c r="G49" s="370" t="str">
        <f t="shared" si="86"/>
        <v/>
      </c>
      <c r="H49" s="62" t="str">
        <f t="shared" si="87"/>
        <v/>
      </c>
      <c r="I49" s="83">
        <v>9</v>
      </c>
      <c r="J49" s="47" t="str">
        <f t="shared" si="88"/>
        <v/>
      </c>
      <c r="K49" s="370" t="str">
        <f t="shared" si="82"/>
        <v/>
      </c>
      <c r="L49" s="370" t="str">
        <f t="shared" si="82"/>
        <v/>
      </c>
      <c r="M49" s="370" t="str">
        <f t="shared" si="82"/>
        <v/>
      </c>
      <c r="N49" s="370" t="str">
        <f t="shared" si="82"/>
        <v/>
      </c>
      <c r="O49" s="47" t="str">
        <f t="shared" si="83"/>
        <v/>
      </c>
      <c r="P49" s="371" t="str">
        <f t="shared" si="83"/>
        <v/>
      </c>
      <c r="Q49" s="109" t="str">
        <f t="shared" si="84"/>
        <v/>
      </c>
      <c r="R49" s="95" t="str">
        <f t="shared" si="85"/>
        <v/>
      </c>
      <c r="Z49" s="305" t="s">
        <v>342</v>
      </c>
      <c r="AA49" s="305">
        <v>9</v>
      </c>
      <c r="AG49" s="70">
        <v>8</v>
      </c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</row>
    <row r="50" spans="1:52" s="372" customFormat="1" x14ac:dyDescent="0.25">
      <c r="A50" s="305"/>
      <c r="B50" s="4"/>
      <c r="C50" s="30"/>
      <c r="D50" s="30"/>
      <c r="E50" s="30"/>
      <c r="H50" s="9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70">
        <v>9</v>
      </c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7"/>
      <c r="AU50" s="305"/>
      <c r="AV50" s="305"/>
      <c r="AW50" s="305"/>
      <c r="AX50" s="305"/>
      <c r="AY50" s="305"/>
      <c r="AZ50" s="305"/>
    </row>
    <row r="51" spans="1:52" x14ac:dyDescent="0.25">
      <c r="B51" s="25" t="s">
        <v>171</v>
      </c>
      <c r="C51" s="28">
        <f>COUNTA(C6:C14,C17:C22,C25:C27)</f>
        <v>0</v>
      </c>
      <c r="D51" s="250" t="e">
        <f>C51/$C$50</f>
        <v>#DIV/0!</v>
      </c>
      <c r="E51" s="30"/>
      <c r="F51" s="372"/>
      <c r="G51" s="372"/>
      <c r="H51" s="9"/>
      <c r="AG51" s="71">
        <v>10</v>
      </c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9"/>
    </row>
    <row r="52" spans="1:52" x14ac:dyDescent="0.25">
      <c r="B52" s="29" t="s">
        <v>172</v>
      </c>
      <c r="C52" s="31">
        <f>COUNTA(C56:C61,C64:C65,C68:C77)</f>
        <v>2</v>
      </c>
      <c r="D52" s="250" t="e">
        <f>C52/$C$50</f>
        <v>#DIV/0!</v>
      </c>
      <c r="E52" s="30"/>
      <c r="F52" s="372"/>
      <c r="G52" s="372"/>
      <c r="H52" s="9"/>
    </row>
    <row r="53" spans="1:52" x14ac:dyDescent="0.25">
      <c r="B53" s="32" t="s">
        <v>173</v>
      </c>
      <c r="C53" s="35">
        <f>C51+C52</f>
        <v>2</v>
      </c>
      <c r="D53" s="30"/>
      <c r="E53" s="30"/>
      <c r="F53" s="372"/>
      <c r="G53" s="372"/>
      <c r="H53" s="9"/>
    </row>
    <row r="54" spans="1:52" x14ac:dyDescent="0.25">
      <c r="I54" s="305">
        <v>12</v>
      </c>
      <c r="K54" s="305">
        <v>17</v>
      </c>
      <c r="L54" s="305">
        <v>18</v>
      </c>
      <c r="M54" s="305">
        <v>19</v>
      </c>
      <c r="N54" s="305">
        <v>23</v>
      </c>
      <c r="O54" s="305">
        <v>25</v>
      </c>
      <c r="P54" s="305">
        <v>27</v>
      </c>
      <c r="Q54" s="305">
        <v>29</v>
      </c>
      <c r="R54" s="305">
        <v>31</v>
      </c>
      <c r="S54" s="305">
        <v>33</v>
      </c>
      <c r="T54" s="305">
        <v>35</v>
      </c>
      <c r="U54" s="305">
        <v>37</v>
      </c>
      <c r="V54" s="305">
        <v>39</v>
      </c>
      <c r="W54" s="305">
        <v>41</v>
      </c>
      <c r="X54" s="305">
        <v>43</v>
      </c>
      <c r="Y54" s="305">
        <v>45</v>
      </c>
      <c r="Z54" s="305">
        <v>47</v>
      </c>
      <c r="AA54" s="305">
        <v>48</v>
      </c>
      <c r="AB54" s="305">
        <v>49</v>
      </c>
      <c r="AC54" s="305">
        <v>52</v>
      </c>
      <c r="AD54" s="305">
        <v>20</v>
      </c>
      <c r="AE54" s="305">
        <v>21</v>
      </c>
      <c r="AF54" s="305">
        <v>22</v>
      </c>
      <c r="AG54" s="305">
        <v>54</v>
      </c>
    </row>
    <row r="55" spans="1:52" ht="74.25" x14ac:dyDescent="0.25">
      <c r="A55" s="66" t="s">
        <v>170</v>
      </c>
      <c r="B55" s="374" t="s">
        <v>104</v>
      </c>
      <c r="C55" s="37" t="s">
        <v>96</v>
      </c>
      <c r="D55" s="37" t="s">
        <v>70</v>
      </c>
      <c r="E55" s="43" t="s">
        <v>81</v>
      </c>
      <c r="F55" s="39" t="s">
        <v>160</v>
      </c>
      <c r="G55" s="39" t="s">
        <v>161</v>
      </c>
      <c r="H55" s="39" t="s">
        <v>162</v>
      </c>
      <c r="I55" s="69" t="s">
        <v>189</v>
      </c>
      <c r="J55" s="69" t="s">
        <v>166</v>
      </c>
      <c r="K55" s="67" t="s">
        <v>163</v>
      </c>
      <c r="L55" s="67" t="s">
        <v>164</v>
      </c>
      <c r="M55" s="68" t="s">
        <v>165</v>
      </c>
      <c r="N55" s="67" t="s">
        <v>40</v>
      </c>
      <c r="O55" s="67" t="s">
        <v>42</v>
      </c>
      <c r="P55" s="67" t="s">
        <v>44</v>
      </c>
      <c r="Q55" s="67" t="s">
        <v>46</v>
      </c>
      <c r="R55" s="67" t="s">
        <v>48</v>
      </c>
      <c r="S55" s="67" t="s">
        <v>87</v>
      </c>
      <c r="T55" s="67" t="s">
        <v>51</v>
      </c>
      <c r="U55" s="67" t="s">
        <v>53</v>
      </c>
      <c r="V55" s="67" t="s">
        <v>55</v>
      </c>
      <c r="W55" s="67" t="s">
        <v>57</v>
      </c>
      <c r="X55" s="67" t="s">
        <v>59</v>
      </c>
      <c r="Y55" s="68" t="s">
        <v>61</v>
      </c>
      <c r="Z55" s="72" t="s">
        <v>176</v>
      </c>
      <c r="AA55" s="67" t="s">
        <v>175</v>
      </c>
      <c r="AB55" s="68" t="s">
        <v>177</v>
      </c>
      <c r="AC55" s="251" t="s">
        <v>354</v>
      </c>
      <c r="AD55" s="67" t="s">
        <v>163</v>
      </c>
      <c r="AE55" s="67" t="s">
        <v>164</v>
      </c>
      <c r="AF55" s="68" t="s">
        <v>165</v>
      </c>
      <c r="AG55" s="251" t="s">
        <v>174</v>
      </c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2"/>
      <c r="AV55" s="372"/>
      <c r="AW55" s="372"/>
      <c r="AX55" s="372"/>
      <c r="AY55" s="372"/>
      <c r="AZ55" s="372"/>
    </row>
    <row r="56" spans="1:52" x14ac:dyDescent="0.25">
      <c r="A56" s="372">
        <v>1</v>
      </c>
      <c r="B56" s="29" t="s">
        <v>87</v>
      </c>
      <c r="C56" s="377" t="s">
        <v>531</v>
      </c>
      <c r="D56" s="30" t="e">
        <f>IF($C56="","",VLOOKUP($C56,AMAPit!$A$10:$BJ$125,D$4-2,FALSE))</f>
        <v>#N/A</v>
      </c>
      <c r="E56" s="31" t="e">
        <f>IF($C56="","",VLOOKUP($C56,AMAPit!$A$10:$BJ$125,E$4-2,FALSE))</f>
        <v>#N/A</v>
      </c>
      <c r="F56" s="372" t="e">
        <f t="shared" ref="F56:F61" si="92">IF($C56="","",IF(AVERAGE(K56:M56)&gt;7,1,0))</f>
        <v>#N/A</v>
      </c>
      <c r="G56" s="372" t="e">
        <f t="shared" ref="G56:G61" si="93">IF($C56="","",IF(AVERAGE(K56:M56)&gt;6.5,1,0))</f>
        <v>#N/A</v>
      </c>
      <c r="H56" s="372" t="e">
        <f t="shared" ref="H56:H61" si="94">IF($C56="","",IF(AVERAGE(K56:M56)&gt;6,1,0))</f>
        <v>#N/A</v>
      </c>
      <c r="I56" s="91" t="e">
        <f>IF($C56="","",VLOOKUP($C56,AMAPit!$A$10:$BJ$125,I$54,FALSE))</f>
        <v>#N/A</v>
      </c>
      <c r="J56" s="70">
        <f t="shared" ref="J56:J61" si="95">IF($C56="","",COUNT(N56:Y56))</f>
        <v>0</v>
      </c>
      <c r="K56" s="372" t="e">
        <f>IF($C56="","",VLOOKUP($C56,AMAPit!$A$10:$BJ$125,K$54,FALSE))</f>
        <v>#N/A</v>
      </c>
      <c r="L56" s="372" t="e">
        <f>IF($C56="","",VLOOKUP($C56,AMAPit!$A$10:$BJ$125,L$54,FALSE))</f>
        <v>#N/A</v>
      </c>
      <c r="M56" s="373" t="e">
        <f>IF($C56="","",VLOOKUP($C56,AMAPit!$A$10:$BJ$125,M$54,FALSE))</f>
        <v>#N/A</v>
      </c>
      <c r="N56" s="372" t="e">
        <f>IF($C56="","",VLOOKUP($C56,AMAPit!$A$10:$BJ$125,N$54,FALSE))</f>
        <v>#N/A</v>
      </c>
      <c r="O56" s="372" t="e">
        <f>IF($C56="","",VLOOKUP($C56,AMAPit!$A$10:$BJ$125,O$54,FALSE))</f>
        <v>#N/A</v>
      </c>
      <c r="P56" s="372" t="e">
        <f>IF($C56="","",VLOOKUP($C56,AMAPit!$A$10:$BJ$125,P$54,FALSE))</f>
        <v>#N/A</v>
      </c>
      <c r="Q56" s="372" t="e">
        <f>IF($C56="","",VLOOKUP($C56,AMAPit!$A$10:$BJ$125,Q$54,FALSE))</f>
        <v>#N/A</v>
      </c>
      <c r="R56" s="372" t="e">
        <f>IF($C56="","",VLOOKUP($C56,AMAPit!$A$10:$BJ$125,R$54,FALSE))</f>
        <v>#N/A</v>
      </c>
      <c r="S56" s="372" t="e">
        <f>IF($C56="","",VLOOKUP($C56,AMAPit!$A$10:$BJ$125,S$54,FALSE))</f>
        <v>#N/A</v>
      </c>
      <c r="T56" s="372" t="e">
        <f>IF($C56="","",VLOOKUP($C56,AMAPit!$A$10:$BJ$125,T$54,FALSE))</f>
        <v>#N/A</v>
      </c>
      <c r="U56" s="372" t="e">
        <f>IF($C56="","",VLOOKUP($C56,AMAPit!$A$10:$BJ$125,U$54,FALSE))</f>
        <v>#N/A</v>
      </c>
      <c r="V56" s="372" t="e">
        <f>IF($C56="","",VLOOKUP($C56,AMAPit!$A$10:$BJ$125,V$54,FALSE))</f>
        <v>#N/A</v>
      </c>
      <c r="W56" s="372" t="e">
        <f>IF($C56="","",VLOOKUP($C56,AMAPit!$A$10:$BJ$125,W$54,FALSE))</f>
        <v>#N/A</v>
      </c>
      <c r="X56" s="372" t="e">
        <f>IF($C56="","",VLOOKUP($C56,AMAPit!$A$10:$BJ$125,X$54,FALSE))</f>
        <v>#N/A</v>
      </c>
      <c r="Y56" s="373" t="e">
        <f>IF($C56="","",VLOOKUP($C56,AMAPit!$A$10:$BJ$125,Y$54,FALSE))</f>
        <v>#N/A</v>
      </c>
      <c r="Z56" s="378" t="e">
        <f>IF($C56="","",VLOOKUP($C56,AMAPit!$A$10:$BJ$125,Z$54,FALSE))</f>
        <v>#N/A</v>
      </c>
      <c r="AA56" s="372" t="e">
        <f>IF($C56="","",VLOOKUP($C56,AMAPit!$A$10:$BJ$125,AA$54,FALSE))</f>
        <v>#N/A</v>
      </c>
      <c r="AB56" s="73" t="e">
        <f>IF($C56="","",VLOOKUP($C56,AMAPit!$A$10:$BJ$125,AB$54,FALSE))</f>
        <v>#N/A</v>
      </c>
      <c r="AC56" s="252" t="e">
        <f>IF($C56="","",VLOOKUP($C56,AMAPit!$A$10:$BJ$125,AC$54,FALSE))</f>
        <v>#N/A</v>
      </c>
      <c r="AD56" s="372" t="e">
        <f>IF($C56="","",VLOOKUP($C56,AMAPit!$A$10:$BJ$125,AD$54,FALSE))</f>
        <v>#N/A</v>
      </c>
      <c r="AE56" s="372" t="e">
        <f>IF($C56="","",VLOOKUP($C56,AMAPit!$A$10:$BJ$125,AE$54,FALSE))</f>
        <v>#N/A</v>
      </c>
      <c r="AF56" s="373" t="e">
        <f>IF($C56="","",VLOOKUP($C56,AMAPit!$A$10:$BJ$125,AF$54,FALSE))</f>
        <v>#N/A</v>
      </c>
      <c r="AG56" s="252" t="e">
        <f>IF($C56="","",VLOOKUP($C56,AMAPit!$A$10:$BJ$125,AG$54,FALSE))</f>
        <v>#N/A</v>
      </c>
    </row>
    <row r="57" spans="1:52" x14ac:dyDescent="0.25">
      <c r="A57" s="372">
        <v>2</v>
      </c>
      <c r="B57" s="29" t="s">
        <v>87</v>
      </c>
      <c r="C57" s="377" t="s">
        <v>526</v>
      </c>
      <c r="D57" s="30" t="e">
        <f>IF($C57="","",VLOOKUP($C57,AMAPit!$A$10:$BJ$125,D$4-2,FALSE))</f>
        <v>#N/A</v>
      </c>
      <c r="E57" s="31" t="e">
        <f>IF($C57="","",VLOOKUP($C57,AMAPit!$A$10:$BJ$125,E$4-2,FALSE))</f>
        <v>#N/A</v>
      </c>
      <c r="F57" s="372" t="e">
        <f t="shared" si="92"/>
        <v>#N/A</v>
      </c>
      <c r="G57" s="372" t="e">
        <f t="shared" si="93"/>
        <v>#N/A</v>
      </c>
      <c r="H57" s="372" t="e">
        <f t="shared" si="94"/>
        <v>#N/A</v>
      </c>
      <c r="I57" s="92" t="e">
        <f>IF($C57="","",VLOOKUP($C57,AMAPit!$A$10:$BJ$125,I$54,FALSE))</f>
        <v>#N/A</v>
      </c>
      <c r="J57" s="70">
        <f t="shared" si="95"/>
        <v>0</v>
      </c>
      <c r="K57" s="372" t="e">
        <f>IF($C57="","",VLOOKUP($C57,AMAPit!$A$10:$BJ$125,K$54,FALSE))</f>
        <v>#N/A</v>
      </c>
      <c r="L57" s="372" t="e">
        <f>IF($C57="","",VLOOKUP($C57,AMAPit!$A$10:$BJ$125,L$54,FALSE))</f>
        <v>#N/A</v>
      </c>
      <c r="M57" s="373" t="e">
        <f>IF($C57="","",VLOOKUP($C57,AMAPit!$A$10:$BJ$125,M$54,FALSE))</f>
        <v>#N/A</v>
      </c>
      <c r="N57" s="372" t="e">
        <f>IF($C57="","",VLOOKUP($C57,AMAPit!$A$10:$BJ$125,N$54,FALSE))</f>
        <v>#N/A</v>
      </c>
      <c r="O57" s="372" t="e">
        <f>IF($C57="","",VLOOKUP($C57,AMAPit!$A$10:$BJ$125,O$54,FALSE))</f>
        <v>#N/A</v>
      </c>
      <c r="P57" s="372" t="e">
        <f>IF($C57="","",VLOOKUP($C57,AMAPit!$A$10:$BJ$125,P$54,FALSE))</f>
        <v>#N/A</v>
      </c>
      <c r="Q57" s="372" t="e">
        <f>IF($C57="","",VLOOKUP($C57,AMAPit!$A$10:$BJ$125,Q$54,FALSE))</f>
        <v>#N/A</v>
      </c>
      <c r="R57" s="372" t="e">
        <f>IF($C57="","",VLOOKUP($C57,AMAPit!$A$10:$BJ$125,R$54,FALSE))</f>
        <v>#N/A</v>
      </c>
      <c r="S57" s="372" t="e">
        <f>IF($C57="","",VLOOKUP($C57,AMAPit!$A$10:$BJ$125,S$54,FALSE))</f>
        <v>#N/A</v>
      </c>
      <c r="T57" s="372" t="e">
        <f>IF($C57="","",VLOOKUP($C57,AMAPit!$A$10:$BJ$125,T$54,FALSE))</f>
        <v>#N/A</v>
      </c>
      <c r="U57" s="372" t="e">
        <f>IF($C57="","",VLOOKUP($C57,AMAPit!$A$10:$BJ$125,U$54,FALSE))</f>
        <v>#N/A</v>
      </c>
      <c r="V57" s="372" t="e">
        <f>IF($C57="","",VLOOKUP($C57,AMAPit!$A$10:$BJ$125,V$54,FALSE))</f>
        <v>#N/A</v>
      </c>
      <c r="W57" s="372" t="e">
        <f>IF($C57="","",VLOOKUP($C57,AMAPit!$A$10:$BJ$125,W$54,FALSE))</f>
        <v>#N/A</v>
      </c>
      <c r="X57" s="372" t="e">
        <f>IF($C57="","",VLOOKUP($C57,AMAPit!$A$10:$BJ$125,X$54,FALSE))</f>
        <v>#N/A</v>
      </c>
      <c r="Y57" s="373" t="e">
        <f>IF($C57="","",VLOOKUP($C57,AMAPit!$A$10:$BJ$125,Y$54,FALSE))</f>
        <v>#N/A</v>
      </c>
      <c r="Z57" s="378" t="e">
        <f>IF($C57="","",VLOOKUP($C57,AMAPit!$A$10:$BJ$125,Z$54,FALSE))</f>
        <v>#N/A</v>
      </c>
      <c r="AA57" s="372" t="e">
        <f>IF($C57="","",VLOOKUP($C57,AMAPit!$A$10:$BJ$125,AA$54,FALSE))</f>
        <v>#N/A</v>
      </c>
      <c r="AB57" s="73" t="e">
        <f>IF($C57="","",VLOOKUP($C57,AMAPit!$A$10:$BJ$125,AB$54,FALSE))</f>
        <v>#N/A</v>
      </c>
      <c r="AC57" s="60" t="e">
        <f>IF($C57="","",VLOOKUP($C57,AMAPit!$A$10:$BJ$125,AC$54,FALSE))</f>
        <v>#N/A</v>
      </c>
      <c r="AD57" s="372" t="e">
        <f>IF($C57="","",VLOOKUP($C57,AMAPit!$A$10:$BJ$125,AD$54,FALSE))</f>
        <v>#N/A</v>
      </c>
      <c r="AE57" s="372" t="e">
        <f>IF($C57="","",VLOOKUP($C57,AMAPit!$A$10:$BJ$125,AE$54,FALSE))</f>
        <v>#N/A</v>
      </c>
      <c r="AF57" s="373" t="e">
        <f>IF($C57="","",VLOOKUP($C57,AMAPit!$A$10:$BJ$125,AF$54,FALSE))</f>
        <v>#N/A</v>
      </c>
      <c r="AG57" s="60" t="e">
        <f>IF($C57="","",VLOOKUP($C57,AMAPit!$A$10:$BJ$125,AG$54,FALSE))</f>
        <v>#N/A</v>
      </c>
    </row>
    <row r="58" spans="1:52" x14ac:dyDescent="0.25">
      <c r="A58" s="372">
        <v>3</v>
      </c>
      <c r="B58" s="29" t="s">
        <v>87</v>
      </c>
      <c r="C58" s="377"/>
      <c r="D58" s="30" t="str">
        <f>IF($C58="","",VLOOKUP($C58,AMAPit!$A$10:$BJ$125,D$4-2,FALSE))</f>
        <v/>
      </c>
      <c r="E58" s="31" t="str">
        <f>IF($C58="","",VLOOKUP($C58,AMAPit!$A$10:$BJ$125,E$4-2,FALSE))</f>
        <v/>
      </c>
      <c r="F58" s="372" t="str">
        <f t="shared" si="92"/>
        <v/>
      </c>
      <c r="G58" s="372" t="str">
        <f t="shared" si="93"/>
        <v/>
      </c>
      <c r="H58" s="372" t="str">
        <f t="shared" si="94"/>
        <v/>
      </c>
      <c r="I58" s="92" t="str">
        <f>IF($C58="","",VLOOKUP($C58,AMAPit!$A$10:$BJ$125,I$54,FALSE))</f>
        <v/>
      </c>
      <c r="J58" s="70" t="str">
        <f t="shared" si="95"/>
        <v/>
      </c>
      <c r="K58" s="372" t="str">
        <f>IF($C58="","",VLOOKUP($C58,AMAPit!$A$10:$BJ$125,K$54,FALSE))</f>
        <v/>
      </c>
      <c r="L58" s="372" t="str">
        <f>IF($C58="","",VLOOKUP($C58,AMAPit!$A$10:$BJ$125,L$54,FALSE))</f>
        <v/>
      </c>
      <c r="M58" s="373" t="str">
        <f>IF($C58="","",VLOOKUP($C58,AMAPit!$A$10:$BJ$125,M$54,FALSE))</f>
        <v/>
      </c>
      <c r="N58" s="372" t="str">
        <f>IF($C58="","",VLOOKUP($C58,AMAPit!$A$10:$BJ$125,N$54,FALSE))</f>
        <v/>
      </c>
      <c r="O58" s="372" t="str">
        <f>IF($C58="","",VLOOKUP($C58,AMAPit!$A$10:$BJ$125,O$54,FALSE))</f>
        <v/>
      </c>
      <c r="P58" s="372" t="str">
        <f>IF($C58="","",VLOOKUP($C58,AMAPit!$A$10:$BJ$125,P$54,FALSE))</f>
        <v/>
      </c>
      <c r="Q58" s="372" t="str">
        <f>IF($C58="","",VLOOKUP($C58,AMAPit!$A$10:$BJ$125,Q$54,FALSE))</f>
        <v/>
      </c>
      <c r="R58" s="372" t="str">
        <f>IF($C58="","",VLOOKUP($C58,AMAPit!$A$10:$BJ$125,R$54,FALSE))</f>
        <v/>
      </c>
      <c r="S58" s="372" t="str">
        <f>IF($C58="","",VLOOKUP($C58,AMAPit!$A$10:$BJ$125,S$54,FALSE))</f>
        <v/>
      </c>
      <c r="T58" s="372" t="str">
        <f>IF($C58="","",VLOOKUP($C58,AMAPit!$A$10:$BJ$125,T$54,FALSE))</f>
        <v/>
      </c>
      <c r="U58" s="372" t="str">
        <f>IF($C58="","",VLOOKUP($C58,AMAPit!$A$10:$BJ$125,U$54,FALSE))</f>
        <v/>
      </c>
      <c r="V58" s="372" t="str">
        <f>IF($C58="","",VLOOKUP($C58,AMAPit!$A$10:$BJ$125,V$54,FALSE))</f>
        <v/>
      </c>
      <c r="W58" s="372" t="str">
        <f>IF($C58="","",VLOOKUP($C58,AMAPit!$A$10:$BJ$125,W$54,FALSE))</f>
        <v/>
      </c>
      <c r="X58" s="372" t="str">
        <f>IF($C58="","",VLOOKUP($C58,AMAPit!$A$10:$BJ$125,X$54,FALSE))</f>
        <v/>
      </c>
      <c r="Y58" s="373" t="str">
        <f>IF($C58="","",VLOOKUP($C58,AMAPit!$A$10:$BJ$125,Y$54,FALSE))</f>
        <v/>
      </c>
      <c r="Z58" s="378" t="str">
        <f>IF($C58="","",VLOOKUP($C58,AMAPit!$A$10:$BJ$125,Z$54,FALSE))</f>
        <v/>
      </c>
      <c r="AA58" s="372" t="str">
        <f>IF($C58="","",VLOOKUP($C58,AMAPit!$A$10:$BJ$125,AA$54,FALSE))</f>
        <v/>
      </c>
      <c r="AB58" s="73" t="str">
        <f>IF($C58="","",VLOOKUP($C58,AMAPit!$A$10:$BJ$125,AB$54,FALSE))</f>
        <v/>
      </c>
      <c r="AC58" s="60" t="str">
        <f>IF($C58="","",VLOOKUP($C58,AMAPit!$A$10:$BJ$125,AC$54,FALSE))</f>
        <v/>
      </c>
      <c r="AD58" s="372" t="str">
        <f>IF($C58="","",VLOOKUP($C58,AMAPit!$A$10:$BJ$125,AD$54,FALSE))</f>
        <v/>
      </c>
      <c r="AE58" s="372" t="str">
        <f>IF($C58="","",VLOOKUP($C58,AMAPit!$A$10:$BJ$125,AE$54,FALSE))</f>
        <v/>
      </c>
      <c r="AF58" s="373" t="str">
        <f>IF($C58="","",VLOOKUP($C58,AMAPit!$A$10:$BJ$125,AF$54,FALSE))</f>
        <v/>
      </c>
      <c r="AG58" s="60" t="str">
        <f>IF($C58="","",VLOOKUP($C58,AMAPit!$A$10:$BJ$125,AG$54,FALSE))</f>
        <v/>
      </c>
    </row>
    <row r="59" spans="1:52" x14ac:dyDescent="0.25">
      <c r="A59" s="372">
        <v>4</v>
      </c>
      <c r="B59" s="29" t="s">
        <v>87</v>
      </c>
      <c r="C59" s="58"/>
      <c r="D59" s="30" t="str">
        <f>IF($C59="","",VLOOKUP($C59,AMAPit!$A$10:$BJ$125,D$4-2,FALSE))</f>
        <v/>
      </c>
      <c r="E59" s="31" t="str">
        <f>IF($C59="","",VLOOKUP($C59,AMAPit!$A$10:$BJ$125,E$4-2,FALSE))</f>
        <v/>
      </c>
      <c r="F59" s="372" t="str">
        <f t="shared" si="92"/>
        <v/>
      </c>
      <c r="G59" s="372" t="str">
        <f t="shared" si="93"/>
        <v/>
      </c>
      <c r="H59" s="372" t="str">
        <f t="shared" si="94"/>
        <v/>
      </c>
      <c r="I59" s="92" t="str">
        <f>IF($C59="","",VLOOKUP($C59,AMAPit!$A$10:$BJ$125,I$54,FALSE))</f>
        <v/>
      </c>
      <c r="J59" s="70" t="str">
        <f t="shared" si="95"/>
        <v/>
      </c>
      <c r="K59" s="372" t="str">
        <f>IF($C59="","",VLOOKUP($C59,AMAPit!$A$10:$BJ$125,K$54,FALSE))</f>
        <v/>
      </c>
      <c r="L59" s="372" t="str">
        <f>IF($C59="","",VLOOKUP($C59,AMAPit!$A$10:$BJ$125,L$54,FALSE))</f>
        <v/>
      </c>
      <c r="M59" s="373" t="str">
        <f>IF($C59="","",VLOOKUP($C59,AMAPit!$A$10:$BJ$125,M$54,FALSE))</f>
        <v/>
      </c>
      <c r="N59" s="372" t="str">
        <f>IF($C59="","",VLOOKUP($C59,AMAPit!$A$10:$BJ$125,N$54,FALSE))</f>
        <v/>
      </c>
      <c r="O59" s="372" t="str">
        <f>IF($C59="","",VLOOKUP($C59,AMAPit!$A$10:$BJ$125,O$54,FALSE))</f>
        <v/>
      </c>
      <c r="P59" s="372" t="str">
        <f>IF($C59="","",VLOOKUP($C59,AMAPit!$A$10:$BJ$125,P$54,FALSE))</f>
        <v/>
      </c>
      <c r="Q59" s="372" t="str">
        <f>IF($C59="","",VLOOKUP($C59,AMAPit!$A$10:$BJ$125,Q$54,FALSE))</f>
        <v/>
      </c>
      <c r="R59" s="372" t="str">
        <f>IF($C59="","",VLOOKUP($C59,AMAPit!$A$10:$BJ$125,R$54,FALSE))</f>
        <v/>
      </c>
      <c r="S59" s="372" t="str">
        <f>IF($C59="","",VLOOKUP($C59,AMAPit!$A$10:$BJ$125,S$54,FALSE))</f>
        <v/>
      </c>
      <c r="T59" s="372" t="str">
        <f>IF($C59="","",VLOOKUP($C59,AMAPit!$A$10:$BJ$125,T$54,FALSE))</f>
        <v/>
      </c>
      <c r="U59" s="372" t="str">
        <f>IF($C59="","",VLOOKUP($C59,AMAPit!$A$10:$BJ$125,U$54,FALSE))</f>
        <v/>
      </c>
      <c r="V59" s="372" t="str">
        <f>IF($C59="","",VLOOKUP($C59,AMAPit!$A$10:$BJ$125,V$54,FALSE))</f>
        <v/>
      </c>
      <c r="W59" s="372" t="str">
        <f>IF($C59="","",VLOOKUP($C59,AMAPit!$A$10:$BJ$125,W$54,FALSE))</f>
        <v/>
      </c>
      <c r="X59" s="372" t="str">
        <f>IF($C59="","",VLOOKUP($C59,AMAPit!$A$10:$BJ$125,X$54,FALSE))</f>
        <v/>
      </c>
      <c r="Y59" s="373" t="str">
        <f>IF($C59="","",VLOOKUP($C59,AMAPit!$A$10:$BJ$125,Y$54,FALSE))</f>
        <v/>
      </c>
      <c r="Z59" s="378" t="str">
        <f>IF($C59="","",VLOOKUP($C59,AMAPit!$A$10:$BJ$125,Z$54,FALSE))</f>
        <v/>
      </c>
      <c r="AA59" s="372" t="str">
        <f>IF($C59="","",VLOOKUP($C59,AMAPit!$A$10:$BJ$125,AA$54,FALSE))</f>
        <v/>
      </c>
      <c r="AB59" s="73" t="str">
        <f>IF($C59="","",VLOOKUP($C59,AMAPit!$A$10:$BJ$125,AB$54,FALSE))</f>
        <v/>
      </c>
      <c r="AC59" s="60" t="str">
        <f>IF($C59="","",VLOOKUP($C59,AMAPit!$A$10:$BJ$125,AC$54,FALSE))</f>
        <v/>
      </c>
      <c r="AD59" s="372" t="str">
        <f>IF($C59="","",VLOOKUP($C59,AMAPit!$A$10:$BJ$125,AD$54,FALSE))</f>
        <v/>
      </c>
      <c r="AE59" s="372" t="str">
        <f>IF($C59="","",VLOOKUP($C59,AMAPit!$A$10:$BJ$125,AE$54,FALSE))</f>
        <v/>
      </c>
      <c r="AF59" s="373" t="str">
        <f>IF($C59="","",VLOOKUP($C59,AMAPit!$A$10:$BJ$125,AF$54,FALSE))</f>
        <v/>
      </c>
      <c r="AG59" s="60" t="str">
        <f>IF($C59="","",VLOOKUP($C59,AMAPit!$A$10:$BJ$125,AG$54,FALSE))</f>
        <v/>
      </c>
    </row>
    <row r="60" spans="1:52" x14ac:dyDescent="0.25">
      <c r="A60" s="372">
        <v>5</v>
      </c>
      <c r="B60" s="29" t="s">
        <v>87</v>
      </c>
      <c r="C60" s="58"/>
      <c r="D60" s="30" t="str">
        <f>IF($C60="","",VLOOKUP($C60,AMAPit!$A$10:$BJ$125,D$4-2,FALSE))</f>
        <v/>
      </c>
      <c r="E60" s="31" t="str">
        <f>IF($C60="","",VLOOKUP($C60,AMAPit!$A$10:$BJ$125,E$4-2,FALSE))</f>
        <v/>
      </c>
      <c r="F60" s="372" t="str">
        <f t="shared" si="92"/>
        <v/>
      </c>
      <c r="G60" s="372" t="str">
        <f t="shared" si="93"/>
        <v/>
      </c>
      <c r="H60" s="372" t="str">
        <f t="shared" si="94"/>
        <v/>
      </c>
      <c r="I60" s="92" t="str">
        <f>IF($C60="","",VLOOKUP($C60,AMAPit!$A$10:$BJ$125,I$54,FALSE))</f>
        <v/>
      </c>
      <c r="J60" s="70" t="str">
        <f t="shared" si="95"/>
        <v/>
      </c>
      <c r="K60" s="372" t="str">
        <f>IF($C60="","",VLOOKUP($C60,AMAPit!$A$10:$BJ$125,K$54,FALSE))</f>
        <v/>
      </c>
      <c r="L60" s="372" t="str">
        <f>IF($C60="","",VLOOKUP($C60,AMAPit!$A$10:$BJ$125,L$54,FALSE))</f>
        <v/>
      </c>
      <c r="M60" s="373" t="str">
        <f>IF($C60="","",VLOOKUP($C60,AMAPit!$A$10:$BJ$125,M$54,FALSE))</f>
        <v/>
      </c>
      <c r="N60" s="372" t="str">
        <f>IF($C60="","",VLOOKUP($C60,AMAPit!$A$10:$BJ$125,N$54,FALSE))</f>
        <v/>
      </c>
      <c r="O60" s="372" t="str">
        <f>IF($C60="","",VLOOKUP($C60,AMAPit!$A$10:$BJ$125,O$54,FALSE))</f>
        <v/>
      </c>
      <c r="P60" s="372" t="str">
        <f>IF($C60="","",VLOOKUP($C60,AMAPit!$A$10:$BJ$125,P$54,FALSE))</f>
        <v/>
      </c>
      <c r="Q60" s="372" t="str">
        <f>IF($C60="","",VLOOKUP($C60,AMAPit!$A$10:$BJ$125,Q$54,FALSE))</f>
        <v/>
      </c>
      <c r="R60" s="372" t="str">
        <f>IF($C60="","",VLOOKUP($C60,AMAPit!$A$10:$BJ$125,R$54,FALSE))</f>
        <v/>
      </c>
      <c r="S60" s="372" t="str">
        <f>IF($C60="","",VLOOKUP($C60,AMAPit!$A$10:$BJ$125,S$54,FALSE))</f>
        <v/>
      </c>
      <c r="T60" s="372" t="str">
        <f>IF($C60="","",VLOOKUP($C60,AMAPit!$A$10:$BJ$125,T$54,FALSE))</f>
        <v/>
      </c>
      <c r="U60" s="372" t="str">
        <f>IF($C60="","",VLOOKUP($C60,AMAPit!$A$10:$BJ$125,U$54,FALSE))</f>
        <v/>
      </c>
      <c r="V60" s="372" t="str">
        <f>IF($C60="","",VLOOKUP($C60,AMAPit!$A$10:$BJ$125,V$54,FALSE))</f>
        <v/>
      </c>
      <c r="W60" s="372" t="str">
        <f>IF($C60="","",VLOOKUP($C60,AMAPit!$A$10:$BJ$125,W$54,FALSE))</f>
        <v/>
      </c>
      <c r="X60" s="372" t="str">
        <f>IF($C60="","",VLOOKUP($C60,AMAPit!$A$10:$BJ$125,X$54,FALSE))</f>
        <v/>
      </c>
      <c r="Y60" s="373" t="str">
        <f>IF($C60="","",VLOOKUP($C60,AMAPit!$A$10:$BJ$125,Y$54,FALSE))</f>
        <v/>
      </c>
      <c r="Z60" s="378" t="str">
        <f>IF($C60="","",VLOOKUP($C60,AMAPit!$A$10:$BJ$125,Z$54,FALSE))</f>
        <v/>
      </c>
      <c r="AA60" s="372" t="str">
        <f>IF($C60="","",VLOOKUP($C60,AMAPit!$A$10:$BJ$125,AA$54,FALSE))</f>
        <v/>
      </c>
      <c r="AB60" s="73" t="str">
        <f>IF($C60="","",VLOOKUP($C60,AMAPit!$A$10:$BJ$125,AB$54,FALSE))</f>
        <v/>
      </c>
      <c r="AC60" s="60" t="str">
        <f>IF($C60="","",VLOOKUP($C60,AMAPit!$A$10:$BJ$125,AC$54,FALSE))</f>
        <v/>
      </c>
      <c r="AD60" s="372" t="str">
        <f>IF($C60="","",VLOOKUP($C60,AMAPit!$A$10:$BJ$125,AD$54,FALSE))</f>
        <v/>
      </c>
      <c r="AE60" s="372" t="str">
        <f>IF($C60="","",VLOOKUP($C60,AMAPit!$A$10:$BJ$125,AE$54,FALSE))</f>
        <v/>
      </c>
      <c r="AF60" s="373" t="str">
        <f>IF($C60="","",VLOOKUP($C60,AMAPit!$A$10:$BJ$125,AF$54,FALSE))</f>
        <v/>
      </c>
      <c r="AG60" s="60" t="str">
        <f>IF($C60="","",VLOOKUP($C60,AMAPit!$A$10:$BJ$125,AG$54,FALSE))</f>
        <v/>
      </c>
    </row>
    <row r="61" spans="1:52" x14ac:dyDescent="0.25">
      <c r="A61" s="372">
        <v>6</v>
      </c>
      <c r="B61" s="32" t="s">
        <v>105</v>
      </c>
      <c r="C61" s="279"/>
      <c r="D61" s="33" t="str">
        <f>IF($C61="","",VLOOKUP($C61,AMAPit!$A$10:$BJ$125,D$4-2,FALSE))</f>
        <v/>
      </c>
      <c r="E61" s="35" t="str">
        <f>IF($C61="","",VLOOKUP($C61,AMAPit!$A$10:$BJ$125,E$4-2,FALSE))</f>
        <v/>
      </c>
      <c r="F61" s="370" t="str">
        <f t="shared" si="92"/>
        <v/>
      </c>
      <c r="G61" s="370" t="str">
        <f t="shared" si="93"/>
        <v/>
      </c>
      <c r="H61" s="370" t="str">
        <f t="shared" si="94"/>
        <v/>
      </c>
      <c r="I61" s="93" t="str">
        <f>IF($C61="","",VLOOKUP($C61,AMAPit!$A$10:$BJ$125,I$54,FALSE))</f>
        <v/>
      </c>
      <c r="J61" s="71" t="str">
        <f t="shared" si="95"/>
        <v/>
      </c>
      <c r="K61" s="370" t="str">
        <f>IF($C61="","",VLOOKUP($C61,AMAPit!$A$10:$BJ$125,K$54,FALSE))</f>
        <v/>
      </c>
      <c r="L61" s="370" t="str">
        <f>IF($C61="","",VLOOKUP($C61,AMAPit!$A$10:$BJ$125,L$54,FALSE))</f>
        <v/>
      </c>
      <c r="M61" s="371" t="str">
        <f>IF($C61="","",VLOOKUP($C61,AMAPit!$A$10:$BJ$125,M$54,FALSE))</f>
        <v/>
      </c>
      <c r="N61" s="370" t="str">
        <f>IF($C61="","",VLOOKUP($C61,AMAPit!$A$10:$BJ$125,N$54,FALSE))</f>
        <v/>
      </c>
      <c r="O61" s="370" t="str">
        <f>IF($C61="","",VLOOKUP($C61,AMAPit!$A$10:$BJ$125,O$54,FALSE))</f>
        <v/>
      </c>
      <c r="P61" s="370" t="str">
        <f>IF($C61="","",VLOOKUP($C61,AMAPit!$A$10:$BJ$125,P$54,FALSE))</f>
        <v/>
      </c>
      <c r="Q61" s="370" t="str">
        <f>IF($C61="","",VLOOKUP($C61,AMAPit!$A$10:$BJ$125,Q$54,FALSE))</f>
        <v/>
      </c>
      <c r="R61" s="370" t="str">
        <f>IF($C61="","",VLOOKUP($C61,AMAPit!$A$10:$BJ$125,R$54,FALSE))</f>
        <v/>
      </c>
      <c r="S61" s="370" t="str">
        <f>IF($C61="","",VLOOKUP($C61,AMAPit!$A$10:$BJ$125,S$54,FALSE))</f>
        <v/>
      </c>
      <c r="T61" s="370" t="str">
        <f>IF($C61="","",VLOOKUP($C61,AMAPit!$A$10:$BJ$125,T$54,FALSE))</f>
        <v/>
      </c>
      <c r="U61" s="370" t="str">
        <f>IF($C61="","",VLOOKUP($C61,AMAPit!$A$10:$BJ$125,U$54,FALSE))</f>
        <v/>
      </c>
      <c r="V61" s="370" t="str">
        <f>IF($C61="","",VLOOKUP($C61,AMAPit!$A$10:$BJ$125,V$54,FALSE))</f>
        <v/>
      </c>
      <c r="W61" s="370" t="str">
        <f>IF($C61="","",VLOOKUP($C61,AMAPit!$A$10:$BJ$125,W$54,FALSE))</f>
        <v/>
      </c>
      <c r="X61" s="370" t="str">
        <f>IF($C61="","",VLOOKUP($C61,AMAPit!$A$10:$BJ$125,X$54,FALSE))</f>
        <v/>
      </c>
      <c r="Y61" s="371" t="str">
        <f>IF($C61="","",VLOOKUP($C61,AMAPit!$A$10:$BJ$125,Y$54,FALSE))</f>
        <v/>
      </c>
      <c r="Z61" s="47" t="str">
        <f>IF($C61="","",VLOOKUP($C61,AMAPit!$A$10:$BJ$125,Z$54,FALSE))</f>
        <v/>
      </c>
      <c r="AA61" s="370" t="str">
        <f>IF($C61="","",VLOOKUP($C61,AMAPit!$A$10:$BJ$125,AA$54,FALSE))</f>
        <v/>
      </c>
      <c r="AB61" s="74" t="str">
        <f>IF($C61="","",VLOOKUP($C61,AMAPit!$A$10:$BJ$125,AB$54,FALSE))</f>
        <v/>
      </c>
      <c r="AC61" s="61" t="str">
        <f>IF($C61="","",VLOOKUP($C61,AMAPit!$A$10:$BJ$125,AC$54,FALSE))</f>
        <v/>
      </c>
      <c r="AD61" s="370" t="str">
        <f>IF($C61="","",VLOOKUP($C61,AMAPit!$A$10:$BJ$125,AD$54,FALSE))</f>
        <v/>
      </c>
      <c r="AE61" s="370" t="str">
        <f>IF($C61="","",VLOOKUP($C61,AMAPit!$A$10:$BJ$125,AE$54,FALSE))</f>
        <v/>
      </c>
      <c r="AF61" s="371" t="str">
        <f>IF($C61="","",VLOOKUP($C61,AMAPit!$A$10:$BJ$125,AF$54,FALSE))</f>
        <v/>
      </c>
      <c r="AG61" s="61" t="str">
        <f>IF($C61="","",VLOOKUP($C61,AMAPit!$A$10:$BJ$125,AG$54,FALSE))</f>
        <v/>
      </c>
    </row>
    <row r="62" spans="1:52" x14ac:dyDescent="0.25">
      <c r="C62" s="280"/>
      <c r="Z62" s="372"/>
      <c r="AA62" s="372"/>
      <c r="AB62" s="372"/>
    </row>
    <row r="63" spans="1:52" ht="57" x14ac:dyDescent="0.25">
      <c r="A63" s="18" t="s">
        <v>170</v>
      </c>
      <c r="B63" s="374" t="s">
        <v>106</v>
      </c>
      <c r="C63" s="281" t="s">
        <v>96</v>
      </c>
      <c r="D63" s="37" t="s">
        <v>70</v>
      </c>
      <c r="E63" s="37" t="s">
        <v>81</v>
      </c>
      <c r="F63" s="48" t="s">
        <v>167</v>
      </c>
      <c r="G63" s="40" t="s">
        <v>168</v>
      </c>
      <c r="H63" s="49" t="s">
        <v>169</v>
      </c>
      <c r="I63" s="69" t="s">
        <v>189</v>
      </c>
      <c r="J63" s="40" t="s">
        <v>166</v>
      </c>
      <c r="K63" s="72" t="s">
        <v>163</v>
      </c>
      <c r="L63" s="67" t="s">
        <v>164</v>
      </c>
      <c r="M63" s="68" t="s">
        <v>165</v>
      </c>
      <c r="N63" s="67" t="s">
        <v>40</v>
      </c>
      <c r="O63" s="67" t="s">
        <v>42</v>
      </c>
      <c r="P63" s="67" t="s">
        <v>44</v>
      </c>
      <c r="Q63" s="67" t="s">
        <v>46</v>
      </c>
      <c r="R63" s="67" t="s">
        <v>48</v>
      </c>
      <c r="S63" s="67" t="s">
        <v>87</v>
      </c>
      <c r="T63" s="67" t="s">
        <v>51</v>
      </c>
      <c r="U63" s="67" t="s">
        <v>53</v>
      </c>
      <c r="V63" s="67" t="s">
        <v>55</v>
      </c>
      <c r="W63" s="67" t="s">
        <v>57</v>
      </c>
      <c r="X63" s="67" t="s">
        <v>59</v>
      </c>
      <c r="Y63" s="68" t="s">
        <v>61</v>
      </c>
      <c r="Z63" s="72" t="s">
        <v>176</v>
      </c>
      <c r="AA63" s="67" t="s">
        <v>175</v>
      </c>
      <c r="AB63" s="68" t="s">
        <v>177</v>
      </c>
      <c r="AC63" s="251" t="s">
        <v>354</v>
      </c>
      <c r="AD63" s="67" t="s">
        <v>163</v>
      </c>
      <c r="AE63" s="67" t="s">
        <v>164</v>
      </c>
      <c r="AF63" s="68" t="s">
        <v>165</v>
      </c>
      <c r="AG63" s="251" t="s">
        <v>174</v>
      </c>
    </row>
    <row r="64" spans="1:52" x14ac:dyDescent="0.25">
      <c r="A64" s="305">
        <v>1</v>
      </c>
      <c r="B64" s="29" t="s">
        <v>88</v>
      </c>
      <c r="C64" s="58"/>
      <c r="D64" s="30" t="str">
        <f>IF($C64="","",VLOOKUP($C64,AMAPit!$A$10:$BJ$125,D$4-2,FALSE))</f>
        <v/>
      </c>
      <c r="E64" s="30" t="str">
        <f>IF($C64="","",VLOOKUP($C64,AMAPit!$A$10:$BJ$125,E$4-2,FALSE))</f>
        <v/>
      </c>
      <c r="F64" s="378" t="str">
        <f t="shared" ref="F64:F65" si="96">IF($C64="","",IF(AVERAGE(K64:M64)&gt;7,1,0))</f>
        <v/>
      </c>
      <c r="G64" s="372" t="str">
        <f t="shared" ref="G64:G65" si="97">IF($C64="","",IF(AVERAGE(K64:M64)&gt;6.5,1,0))</f>
        <v/>
      </c>
      <c r="H64" s="373" t="str">
        <f t="shared" ref="H64:H65" si="98">IF($C64="","",IF(AVERAGE(K64:M64)&gt;6,1,0))</f>
        <v/>
      </c>
      <c r="I64" s="91" t="str">
        <f>IF($C64="","",VLOOKUP($C64,AMAPit!$A$10:$BJ$125,I$54,FALSE))</f>
        <v/>
      </c>
      <c r="J64" s="372" t="str">
        <f t="shared" ref="J64:J65" si="99">IF($C64="","",COUNT(N64:Y64))</f>
        <v/>
      </c>
      <c r="K64" s="378" t="str">
        <f>IF($C64="","",VLOOKUP($C64,AMAPit!$A$10:$BJ$125,K$54,FALSE))</f>
        <v/>
      </c>
      <c r="L64" s="372" t="str">
        <f>IF($C64="","",VLOOKUP($C64,AMAPit!$A$10:$BJ$125,L$54,FALSE))</f>
        <v/>
      </c>
      <c r="M64" s="373" t="str">
        <f>IF($C64="","",VLOOKUP($C64,AMAPit!$A$10:$BJ$125,M$54,FALSE))</f>
        <v/>
      </c>
      <c r="N64" s="372" t="str">
        <f>IF($C64="","",VLOOKUP($C64,AMAPit!$A$10:$BJ$125,N$54,FALSE))</f>
        <v/>
      </c>
      <c r="O64" s="372" t="str">
        <f>IF($C64="","",VLOOKUP($C64,AMAPit!$A$10:$BJ$125,O$54,FALSE))</f>
        <v/>
      </c>
      <c r="P64" s="372" t="str">
        <f>IF($C64="","",VLOOKUP($C64,AMAPit!$A$10:$BJ$125,P$54,FALSE))</f>
        <v/>
      </c>
      <c r="Q64" s="372" t="str">
        <f>IF($C64="","",VLOOKUP($C64,AMAPit!$A$10:$BJ$125,Q$54,FALSE))</f>
        <v/>
      </c>
      <c r="R64" s="372" t="str">
        <f>IF($C64="","",VLOOKUP($C64,AMAPit!$A$10:$BJ$125,R$54,FALSE))</f>
        <v/>
      </c>
      <c r="S64" s="372" t="str">
        <f>IF($C64="","",VLOOKUP($C64,AMAPit!$A$10:$BJ$125,S$54,FALSE))</f>
        <v/>
      </c>
      <c r="T64" s="372" t="str">
        <f>IF($C64="","",VLOOKUP($C64,AMAPit!$A$10:$BJ$125,T$54,FALSE))</f>
        <v/>
      </c>
      <c r="U64" s="372" t="str">
        <f>IF($C64="","",VLOOKUP($C64,AMAPit!$A$10:$BJ$125,U$54,FALSE))</f>
        <v/>
      </c>
      <c r="V64" s="372" t="str">
        <f>IF($C64="","",VLOOKUP($C64,AMAPit!$A$10:$BJ$125,V$54,FALSE))</f>
        <v/>
      </c>
      <c r="W64" s="372" t="str">
        <f>IF($C64="","",VLOOKUP($C64,AMAPit!$A$10:$BJ$125,W$54,FALSE))</f>
        <v/>
      </c>
      <c r="X64" s="372" t="str">
        <f>IF($C64="","",VLOOKUP($C64,AMAPit!$A$10:$BJ$125,X$54,FALSE))</f>
        <v/>
      </c>
      <c r="Y64" s="373" t="str">
        <f>IF($C64="","",VLOOKUP($C64,AMAPit!$A$10:$BJ$125,Y$54,FALSE))</f>
        <v/>
      </c>
      <c r="Z64" s="378" t="str">
        <f>IF($C64="","",VLOOKUP($C64,AMAPit!$A$10:$BJ$125,Z$54,FALSE))</f>
        <v/>
      </c>
      <c r="AA64" s="372" t="str">
        <f>IF($C64="","",VLOOKUP($C64,AMAPit!$A$10:$BJ$125,AA$54,FALSE))</f>
        <v/>
      </c>
      <c r="AB64" s="73" t="str">
        <f>IF($C64="","",VLOOKUP($C64,AMAPit!$A$10:$BJ$125,AB$54,FALSE))</f>
        <v/>
      </c>
      <c r="AC64" s="252" t="str">
        <f>IF($C64="","",VLOOKUP($C64,AMAPit!$A$10:$BJ$125,AC$54,FALSE))</f>
        <v/>
      </c>
      <c r="AD64" s="372" t="str">
        <f>IF($C64="","",VLOOKUP($C64,AMAPit!$A$10:$BJ$125,AD$54,FALSE))</f>
        <v/>
      </c>
      <c r="AE64" s="372" t="str">
        <f>IF($C64="","",VLOOKUP($C64,AMAPit!$A$10:$BJ$125,AE$54,FALSE))</f>
        <v/>
      </c>
      <c r="AF64" s="373" t="str">
        <f>IF($C64="","",VLOOKUP($C64,AMAPit!$A$10:$BJ$125,AF$54,FALSE))</f>
        <v/>
      </c>
      <c r="AG64" s="252" t="str">
        <f>IF($C64="","",VLOOKUP($C64,AMAPit!$A$10:$BJ$125,AG$54,FALSE))</f>
        <v/>
      </c>
    </row>
    <row r="65" spans="1:33" x14ac:dyDescent="0.25">
      <c r="A65" s="305">
        <v>2</v>
      </c>
      <c r="B65" s="32" t="s">
        <v>107</v>
      </c>
      <c r="C65" s="282"/>
      <c r="D65" s="33" t="str">
        <f>IF($C65="","",VLOOKUP($C65,AMAPit!$A$10:$BJ$125,D$4-2,FALSE))</f>
        <v/>
      </c>
      <c r="E65" s="33" t="str">
        <f>IF($C65="","",VLOOKUP($C65,AMAPit!$A$10:$BJ$125,E$4-2,FALSE))</f>
        <v/>
      </c>
      <c r="F65" s="47" t="str">
        <f t="shared" si="96"/>
        <v/>
      </c>
      <c r="G65" s="370" t="str">
        <f t="shared" si="97"/>
        <v/>
      </c>
      <c r="H65" s="371" t="str">
        <f t="shared" si="98"/>
        <v/>
      </c>
      <c r="I65" s="93" t="str">
        <f>IF($C65="","",VLOOKUP($C65,AMAPit!$A$10:$BJ$125,I$54,FALSE))</f>
        <v/>
      </c>
      <c r="J65" s="370" t="str">
        <f t="shared" si="99"/>
        <v/>
      </c>
      <c r="K65" s="47" t="str">
        <f>IF($C65="","",VLOOKUP($C65,AMAPit!$A$10:$BJ$125,K$54,FALSE))</f>
        <v/>
      </c>
      <c r="L65" s="370" t="str">
        <f>IF($C65="","",VLOOKUP($C65,AMAPit!$A$10:$BJ$125,L$54,FALSE))</f>
        <v/>
      </c>
      <c r="M65" s="371" t="str">
        <f>IF($C65="","",VLOOKUP($C65,AMAPit!$A$10:$BJ$125,M$54,FALSE))</f>
        <v/>
      </c>
      <c r="N65" s="370" t="str">
        <f>IF($C65="","",VLOOKUP($C65,AMAPit!$A$10:$BJ$125,N$54,FALSE))</f>
        <v/>
      </c>
      <c r="O65" s="370" t="str">
        <f>IF($C65="","",VLOOKUP($C65,AMAPit!$A$10:$BJ$125,O$54,FALSE))</f>
        <v/>
      </c>
      <c r="P65" s="370" t="str">
        <f>IF($C65="","",VLOOKUP($C65,AMAPit!$A$10:$BJ$125,P$54,FALSE))</f>
        <v/>
      </c>
      <c r="Q65" s="370" t="str">
        <f>IF($C65="","",VLOOKUP($C65,AMAPit!$A$10:$BJ$125,Q$54,FALSE))</f>
        <v/>
      </c>
      <c r="R65" s="370" t="str">
        <f>IF($C65="","",VLOOKUP($C65,AMAPit!$A$10:$BJ$125,R$54,FALSE))</f>
        <v/>
      </c>
      <c r="S65" s="370" t="str">
        <f>IF($C65="","",VLOOKUP($C65,AMAPit!$A$10:$BJ$125,S$54,FALSE))</f>
        <v/>
      </c>
      <c r="T65" s="370" t="str">
        <f>IF($C65="","",VLOOKUP($C65,AMAPit!$A$10:$BJ$125,T$54,FALSE))</f>
        <v/>
      </c>
      <c r="U65" s="370" t="str">
        <f>IF($C65="","",VLOOKUP($C65,AMAPit!$A$10:$BJ$125,U$54,FALSE))</f>
        <v/>
      </c>
      <c r="V65" s="370" t="str">
        <f>IF($C65="","",VLOOKUP($C65,AMAPit!$A$10:$BJ$125,V$54,FALSE))</f>
        <v/>
      </c>
      <c r="W65" s="370" t="str">
        <f>IF($C65="","",VLOOKUP($C65,AMAPit!$A$10:$BJ$125,W$54,FALSE))</f>
        <v/>
      </c>
      <c r="X65" s="370" t="str">
        <f>IF($C65="","",VLOOKUP($C65,AMAPit!$A$10:$BJ$125,X$54,FALSE))</f>
        <v/>
      </c>
      <c r="Y65" s="371" t="str">
        <f>IF($C65="","",VLOOKUP($C65,AMAPit!$A$10:$BJ$125,Y$54,FALSE))</f>
        <v/>
      </c>
      <c r="Z65" s="47" t="str">
        <f>IF($C65="","",VLOOKUP($C65,AMAPit!$A$10:$BJ$125,Z$54,FALSE))</f>
        <v/>
      </c>
      <c r="AA65" s="370" t="str">
        <f>IF($C65="","",VLOOKUP($C65,AMAPit!$A$10:$BJ$125,AA$54,FALSE))</f>
        <v/>
      </c>
      <c r="AB65" s="74" t="str">
        <f>IF($C65="","",VLOOKUP($C65,AMAPit!$A$10:$BJ$125,AB$54,FALSE))</f>
        <v/>
      </c>
      <c r="AC65" s="61" t="str">
        <f>IF($C65="","",VLOOKUP($C65,AMAPit!$A$10:$BJ$125,AC$54,FALSE))</f>
        <v/>
      </c>
      <c r="AD65" s="370" t="str">
        <f>IF($C65="","",VLOOKUP($C65,AMAPit!$A$10:$BJ$125,AD$54,FALSE))</f>
        <v/>
      </c>
      <c r="AE65" s="370" t="str">
        <f>IF($C65="","",VLOOKUP($C65,AMAPit!$A$10:$BJ$125,AE$54,FALSE))</f>
        <v/>
      </c>
      <c r="AF65" s="371" t="str">
        <f>IF($C65="","",VLOOKUP($C65,AMAPit!$A$10:$BJ$125,AF$54,FALSE))</f>
        <v/>
      </c>
      <c r="AG65" s="61" t="str">
        <f>IF($C65="","",VLOOKUP($C65,AMAPit!$A$10:$BJ$125,AG$54,FALSE))</f>
        <v/>
      </c>
    </row>
    <row r="66" spans="1:33" x14ac:dyDescent="0.25">
      <c r="C66" s="280"/>
      <c r="Z66" s="372"/>
      <c r="AA66" s="372"/>
      <c r="AB66" s="372"/>
    </row>
    <row r="67" spans="1:33" ht="57" x14ac:dyDescent="0.25">
      <c r="A67" s="18" t="s">
        <v>170</v>
      </c>
      <c r="B67" s="374" t="s">
        <v>108</v>
      </c>
      <c r="C67" s="281" t="s">
        <v>96</v>
      </c>
      <c r="D67" s="37" t="s">
        <v>70</v>
      </c>
      <c r="E67" s="37" t="s">
        <v>81</v>
      </c>
      <c r="F67" s="48" t="s">
        <v>167</v>
      </c>
      <c r="G67" s="40" t="s">
        <v>168</v>
      </c>
      <c r="H67" s="49" t="s">
        <v>169</v>
      </c>
      <c r="I67" s="69" t="s">
        <v>189</v>
      </c>
      <c r="J67" s="40" t="s">
        <v>166</v>
      </c>
      <c r="K67" s="72" t="s">
        <v>163</v>
      </c>
      <c r="L67" s="67" t="s">
        <v>164</v>
      </c>
      <c r="M67" s="68" t="s">
        <v>165</v>
      </c>
      <c r="N67" s="67" t="s">
        <v>40</v>
      </c>
      <c r="O67" s="67" t="s">
        <v>42</v>
      </c>
      <c r="P67" s="67" t="s">
        <v>44</v>
      </c>
      <c r="Q67" s="67" t="s">
        <v>46</v>
      </c>
      <c r="R67" s="67" t="s">
        <v>48</v>
      </c>
      <c r="S67" s="67" t="s">
        <v>87</v>
      </c>
      <c r="T67" s="67" t="s">
        <v>51</v>
      </c>
      <c r="U67" s="67" t="s">
        <v>53</v>
      </c>
      <c r="V67" s="67" t="s">
        <v>55</v>
      </c>
      <c r="W67" s="67" t="s">
        <v>57</v>
      </c>
      <c r="X67" s="67" t="s">
        <v>59</v>
      </c>
      <c r="Y67" s="68" t="s">
        <v>61</v>
      </c>
      <c r="Z67" s="72" t="s">
        <v>176</v>
      </c>
      <c r="AA67" s="67" t="s">
        <v>175</v>
      </c>
      <c r="AB67" s="68" t="s">
        <v>177</v>
      </c>
      <c r="AC67" s="251" t="s">
        <v>354</v>
      </c>
      <c r="AD67" s="67" t="s">
        <v>163</v>
      </c>
      <c r="AE67" s="67" t="s">
        <v>164</v>
      </c>
      <c r="AF67" s="68" t="s">
        <v>165</v>
      </c>
      <c r="AG67" s="251" t="s">
        <v>174</v>
      </c>
    </row>
    <row r="68" spans="1:33" x14ac:dyDescent="0.25">
      <c r="A68" s="305">
        <v>1</v>
      </c>
      <c r="B68" s="29" t="s">
        <v>109</v>
      </c>
      <c r="C68" s="58"/>
      <c r="D68" s="30" t="str">
        <f>IF($C68="","",VLOOKUP($C68,AMAPit!$A$10:$BJ$125,D$4-2,FALSE))</f>
        <v/>
      </c>
      <c r="E68" s="30" t="str">
        <f>IF($C68="","",VLOOKUP($C68,AMAPit!$A$10:$BJ$125,E$4-2,FALSE))</f>
        <v/>
      </c>
      <c r="F68" s="378" t="str">
        <f t="shared" ref="F68:F77" si="100">IF($C68="","",IF(AVERAGE(K68:M68)&gt;7,1,0))</f>
        <v/>
      </c>
      <c r="G68" s="372" t="str">
        <f t="shared" ref="G68:G77" si="101">IF($C68="","",IF(AVERAGE(K68:M68)&gt;6.5,1,0))</f>
        <v/>
      </c>
      <c r="H68" s="373" t="str">
        <f t="shared" ref="H68:H77" si="102">IF($C68="","",IF(AVERAGE(K68:M68)&gt;6,1,0))</f>
        <v/>
      </c>
      <c r="I68" s="92" t="str">
        <f>IF($C68="","",VLOOKUP($C68,AMAPit!$A$10:$BJ$125,I$54,FALSE))</f>
        <v/>
      </c>
      <c r="J68" s="372" t="str">
        <f t="shared" ref="J68:J77" si="103">IF($C68="","",COUNT(N68:Y68))</f>
        <v/>
      </c>
      <c r="K68" s="378" t="str">
        <f>IF($C68="","",VLOOKUP($C68,AMAPit!$A$10:$BJ$125,K$54,FALSE))</f>
        <v/>
      </c>
      <c r="L68" s="372" t="str">
        <f>IF($C68="","",VLOOKUP($C68,AMAPit!$A$10:$BJ$125,L$54,FALSE))</f>
        <v/>
      </c>
      <c r="M68" s="373" t="str">
        <f>IF($C68="","",VLOOKUP($C68,AMAPit!$A$10:$BJ$125,M$54,FALSE))</f>
        <v/>
      </c>
      <c r="N68" s="372" t="str">
        <f>IF($C68="","",VLOOKUP($C68,AMAPit!$A$10:$BJ$125,N$54,FALSE))</f>
        <v/>
      </c>
      <c r="O68" s="372" t="str">
        <f>IF($C68="","",VLOOKUP($C68,AMAPit!$A$10:$BJ$125,O$54,FALSE))</f>
        <v/>
      </c>
      <c r="P68" s="372" t="str">
        <f>IF($C68="","",VLOOKUP($C68,AMAPit!$A$10:$BJ$125,P$54,FALSE))</f>
        <v/>
      </c>
      <c r="Q68" s="372" t="str">
        <f>IF($C68="","",VLOOKUP($C68,AMAPit!$A$10:$BJ$125,Q$54,FALSE))</f>
        <v/>
      </c>
      <c r="R68" s="372" t="str">
        <f>IF($C68="","",VLOOKUP($C68,AMAPit!$A$10:$BJ$125,R$54,FALSE))</f>
        <v/>
      </c>
      <c r="S68" s="372" t="str">
        <f>IF($C68="","",VLOOKUP($C68,AMAPit!$A$10:$BJ$125,S$54,FALSE))</f>
        <v/>
      </c>
      <c r="T68" s="372" t="str">
        <f>IF($C68="","",VLOOKUP($C68,AMAPit!$A$10:$BJ$125,T$54,FALSE))</f>
        <v/>
      </c>
      <c r="U68" s="372" t="str">
        <f>IF($C68="","",VLOOKUP($C68,AMAPit!$A$10:$BJ$125,U$54,FALSE))</f>
        <v/>
      </c>
      <c r="V68" s="372" t="str">
        <f>IF($C68="","",VLOOKUP($C68,AMAPit!$A$10:$BJ$125,V$54,FALSE))</f>
        <v/>
      </c>
      <c r="W68" s="372" t="str">
        <f>IF($C68="","",VLOOKUP($C68,AMAPit!$A$10:$BJ$125,W$54,FALSE))</f>
        <v/>
      </c>
      <c r="X68" s="372" t="str">
        <f>IF($C68="","",VLOOKUP($C68,AMAPit!$A$10:$BJ$125,X$54,FALSE))</f>
        <v/>
      </c>
      <c r="Y68" s="373" t="str">
        <f>IF($C68="","",VLOOKUP($C68,AMAPit!$A$10:$BJ$125,Y$54,FALSE))</f>
        <v/>
      </c>
      <c r="Z68" s="378" t="str">
        <f>IF($C68="","",VLOOKUP($C68,AMAPit!$A$10:$BJ$125,Z$54,FALSE))</f>
        <v/>
      </c>
      <c r="AA68" s="372" t="str">
        <f>IF($C68="","",VLOOKUP($C68,AMAPit!$A$10:$BJ$125,AA$54,FALSE))</f>
        <v/>
      </c>
      <c r="AB68" s="73" t="str">
        <f>IF($C68="","",VLOOKUP($C68,AMAPit!$A$10:$BJ$125,AB$54,FALSE))</f>
        <v/>
      </c>
      <c r="AC68" s="252" t="str">
        <f>IF($C68="","",VLOOKUP($C68,AMAPit!$A$10:$BJ$125,AC$54,FALSE))</f>
        <v/>
      </c>
      <c r="AD68" s="372" t="str">
        <f>IF($C68="","",VLOOKUP($C68,AMAPit!$A$10:$BJ$125,AD$54,FALSE))</f>
        <v/>
      </c>
      <c r="AE68" s="372" t="str">
        <f>IF($C68="","",VLOOKUP($C68,AMAPit!$A$10:$BJ$125,AE$54,FALSE))</f>
        <v/>
      </c>
      <c r="AF68" s="373" t="str">
        <f>IF($C68="","",VLOOKUP($C68,AMAPit!$A$10:$BJ$125,AF$54,FALSE))</f>
        <v/>
      </c>
      <c r="AG68" s="252" t="str">
        <f>IF($C68="","",VLOOKUP($C68,AMAPit!$A$10:$BJ$125,AG$54,FALSE))</f>
        <v/>
      </c>
    </row>
    <row r="69" spans="1:33" x14ac:dyDescent="0.25">
      <c r="A69" s="305">
        <v>2</v>
      </c>
      <c r="B69" s="29" t="s">
        <v>110</v>
      </c>
      <c r="C69" s="58"/>
      <c r="D69" s="30" t="str">
        <f>IF($C69="","",VLOOKUP($C69,AMAPit!$A$10:$BJ$125,D$4-2,FALSE))</f>
        <v/>
      </c>
      <c r="E69" s="30" t="str">
        <f>IF($C69="","",VLOOKUP($C69,AMAPit!$A$10:$BJ$125,E$4-2,FALSE))</f>
        <v/>
      </c>
      <c r="F69" s="378" t="str">
        <f t="shared" si="100"/>
        <v/>
      </c>
      <c r="G69" s="372" t="str">
        <f t="shared" si="101"/>
        <v/>
      </c>
      <c r="H69" s="373" t="str">
        <f t="shared" si="102"/>
        <v/>
      </c>
      <c r="I69" s="92" t="str">
        <f>IF($C69="","",VLOOKUP($C69,AMAPit!$A$10:$BJ$125,I$54,FALSE))</f>
        <v/>
      </c>
      <c r="J69" s="372" t="str">
        <f t="shared" si="103"/>
        <v/>
      </c>
      <c r="K69" s="378" t="str">
        <f>IF($C69="","",VLOOKUP($C69,AMAPit!$A$10:$BJ$125,K$54,FALSE))</f>
        <v/>
      </c>
      <c r="L69" s="372" t="str">
        <f>IF($C69="","",VLOOKUP($C69,AMAPit!$A$10:$BJ$125,L$54,FALSE))</f>
        <v/>
      </c>
      <c r="M69" s="373" t="str">
        <f>IF($C69="","",VLOOKUP($C69,AMAPit!$A$10:$BJ$125,M$54,FALSE))</f>
        <v/>
      </c>
      <c r="N69" s="372" t="str">
        <f>IF($C69="","",VLOOKUP($C69,AMAPit!$A$10:$BJ$125,N$54,FALSE))</f>
        <v/>
      </c>
      <c r="O69" s="372" t="str">
        <f>IF($C69="","",VLOOKUP($C69,AMAPit!$A$10:$BJ$125,O$54,FALSE))</f>
        <v/>
      </c>
      <c r="P69" s="372" t="str">
        <f>IF($C69="","",VLOOKUP($C69,AMAPit!$A$10:$BJ$125,P$54,FALSE))</f>
        <v/>
      </c>
      <c r="Q69" s="372" t="str">
        <f>IF($C69="","",VLOOKUP($C69,AMAPit!$A$10:$BJ$125,Q$54,FALSE))</f>
        <v/>
      </c>
      <c r="R69" s="372" t="str">
        <f>IF($C69="","",VLOOKUP($C69,AMAPit!$A$10:$BJ$125,R$54,FALSE))</f>
        <v/>
      </c>
      <c r="S69" s="372" t="str">
        <f>IF($C69="","",VLOOKUP($C69,AMAPit!$A$10:$BJ$125,S$54,FALSE))</f>
        <v/>
      </c>
      <c r="T69" s="372" t="str">
        <f>IF($C69="","",VLOOKUP($C69,AMAPit!$A$10:$BJ$125,T$54,FALSE))</f>
        <v/>
      </c>
      <c r="U69" s="372" t="str">
        <f>IF($C69="","",VLOOKUP($C69,AMAPit!$A$10:$BJ$125,U$54,FALSE))</f>
        <v/>
      </c>
      <c r="V69" s="372" t="str">
        <f>IF($C69="","",VLOOKUP($C69,AMAPit!$A$10:$BJ$125,V$54,FALSE))</f>
        <v/>
      </c>
      <c r="W69" s="372" t="str">
        <f>IF($C69="","",VLOOKUP($C69,AMAPit!$A$10:$BJ$125,W$54,FALSE))</f>
        <v/>
      </c>
      <c r="X69" s="372" t="str">
        <f>IF($C69="","",VLOOKUP($C69,AMAPit!$A$10:$BJ$125,X$54,FALSE))</f>
        <v/>
      </c>
      <c r="Y69" s="373" t="str">
        <f>IF($C69="","",VLOOKUP($C69,AMAPit!$A$10:$BJ$125,Y$54,FALSE))</f>
        <v/>
      </c>
      <c r="Z69" s="378" t="str">
        <f>IF($C69="","",VLOOKUP($C69,AMAPit!$A$10:$BJ$125,Z$54,FALSE))</f>
        <v/>
      </c>
      <c r="AA69" s="372" t="str">
        <f>IF($C69="","",VLOOKUP($C69,AMAPit!$A$10:$BJ$125,AA$54,FALSE))</f>
        <v/>
      </c>
      <c r="AB69" s="73" t="str">
        <f>IF($C69="","",VLOOKUP($C69,AMAPit!$A$10:$BJ$125,AB$54,FALSE))</f>
        <v/>
      </c>
      <c r="AC69" s="60" t="str">
        <f>IF($C69="","",VLOOKUP($C69,AMAPit!$A$10:$BJ$125,AC$54,FALSE))</f>
        <v/>
      </c>
      <c r="AD69" s="372" t="str">
        <f>IF($C69="","",VLOOKUP($C69,AMAPit!$A$10:$BJ$125,AD$54,FALSE))</f>
        <v/>
      </c>
      <c r="AE69" s="372" t="str">
        <f>IF($C69="","",VLOOKUP($C69,AMAPit!$A$10:$BJ$125,AE$54,FALSE))</f>
        <v/>
      </c>
      <c r="AF69" s="373" t="str">
        <f>IF($C69="","",VLOOKUP($C69,AMAPit!$A$10:$BJ$125,AF$54,FALSE))</f>
        <v/>
      </c>
      <c r="AG69" s="60" t="str">
        <f>IF($C69="","",VLOOKUP($C69,AMAPit!$A$10:$BJ$125,AG$54,FALSE))</f>
        <v/>
      </c>
    </row>
    <row r="70" spans="1:33" x14ac:dyDescent="0.25">
      <c r="A70" s="305">
        <v>3</v>
      </c>
      <c r="B70" s="29" t="s">
        <v>11</v>
      </c>
      <c r="C70" s="58"/>
      <c r="D70" s="30" t="str">
        <f>IF($C70="","",VLOOKUP($C70,AMAPit!$A$10:$BJ$125,D$4-2,FALSE))</f>
        <v/>
      </c>
      <c r="E70" s="30" t="str">
        <f>IF($C70="","",VLOOKUP($C70,AMAPit!$A$10:$BJ$125,E$4-2,FALSE))</f>
        <v/>
      </c>
      <c r="F70" s="378" t="str">
        <f t="shared" si="100"/>
        <v/>
      </c>
      <c r="G70" s="372" t="str">
        <f t="shared" si="101"/>
        <v/>
      </c>
      <c r="H70" s="373" t="str">
        <f t="shared" si="102"/>
        <v/>
      </c>
      <c r="I70" s="92" t="str">
        <f>IF($C70="","",VLOOKUP($C70,AMAPit!$A$10:$BJ$125,I$54,FALSE))</f>
        <v/>
      </c>
      <c r="J70" s="372" t="str">
        <f t="shared" si="103"/>
        <v/>
      </c>
      <c r="K70" s="378" t="str">
        <f>IF($C70="","",VLOOKUP($C70,AMAPit!$A$10:$BJ$125,K$54,FALSE))</f>
        <v/>
      </c>
      <c r="L70" s="372" t="str">
        <f>IF($C70="","",VLOOKUP($C70,AMAPit!$A$10:$BJ$125,L$54,FALSE))</f>
        <v/>
      </c>
      <c r="M70" s="373" t="str">
        <f>IF($C70="","",VLOOKUP($C70,AMAPit!$A$10:$BJ$125,M$54,FALSE))</f>
        <v/>
      </c>
      <c r="N70" s="372" t="str">
        <f>IF($C70="","",VLOOKUP($C70,AMAPit!$A$10:$BJ$125,N$54,FALSE))</f>
        <v/>
      </c>
      <c r="O70" s="372" t="str">
        <f>IF($C70="","",VLOOKUP($C70,AMAPit!$A$10:$BJ$125,O$54,FALSE))</f>
        <v/>
      </c>
      <c r="P70" s="372" t="str">
        <f>IF($C70="","",VLOOKUP($C70,AMAPit!$A$10:$BJ$125,P$54,FALSE))</f>
        <v/>
      </c>
      <c r="Q70" s="372" t="str">
        <f>IF($C70="","",VLOOKUP($C70,AMAPit!$A$10:$BJ$125,Q$54,FALSE))</f>
        <v/>
      </c>
      <c r="R70" s="372" t="str">
        <f>IF($C70="","",VLOOKUP($C70,AMAPit!$A$10:$BJ$125,R$54,FALSE))</f>
        <v/>
      </c>
      <c r="S70" s="372" t="str">
        <f>IF($C70="","",VLOOKUP($C70,AMAPit!$A$10:$BJ$125,S$54,FALSE))</f>
        <v/>
      </c>
      <c r="T70" s="372" t="str">
        <f>IF($C70="","",VLOOKUP($C70,AMAPit!$A$10:$BJ$125,T$54,FALSE))</f>
        <v/>
      </c>
      <c r="U70" s="372" t="str">
        <f>IF($C70="","",VLOOKUP($C70,AMAPit!$A$10:$BJ$125,U$54,FALSE))</f>
        <v/>
      </c>
      <c r="V70" s="372" t="str">
        <f>IF($C70="","",VLOOKUP($C70,AMAPit!$A$10:$BJ$125,V$54,FALSE))</f>
        <v/>
      </c>
      <c r="W70" s="372" t="str">
        <f>IF($C70="","",VLOOKUP($C70,AMAPit!$A$10:$BJ$125,W$54,FALSE))</f>
        <v/>
      </c>
      <c r="X70" s="372" t="str">
        <f>IF($C70="","",VLOOKUP($C70,AMAPit!$A$10:$BJ$125,X$54,FALSE))</f>
        <v/>
      </c>
      <c r="Y70" s="373" t="str">
        <f>IF($C70="","",VLOOKUP($C70,AMAPit!$A$10:$BJ$125,Y$54,FALSE))</f>
        <v/>
      </c>
      <c r="Z70" s="378" t="str">
        <f>IF($C70="","",VLOOKUP($C70,AMAPit!$A$10:$BJ$125,Z$54,FALSE))</f>
        <v/>
      </c>
      <c r="AA70" s="372" t="str">
        <f>IF($C70="","",VLOOKUP($C70,AMAPit!$A$10:$BJ$125,AA$54,FALSE))</f>
        <v/>
      </c>
      <c r="AB70" s="73" t="str">
        <f>IF($C70="","",VLOOKUP($C70,AMAPit!$A$10:$BJ$125,AB$54,FALSE))</f>
        <v/>
      </c>
      <c r="AC70" s="60" t="str">
        <f>IF($C70="","",VLOOKUP($C70,AMAPit!$A$10:$BJ$125,AC$54,FALSE))</f>
        <v/>
      </c>
      <c r="AD70" s="372" t="str">
        <f>IF($C70="","",VLOOKUP($C70,AMAPit!$A$10:$BJ$125,AD$54,FALSE))</f>
        <v/>
      </c>
      <c r="AE70" s="372" t="str">
        <f>IF($C70="","",VLOOKUP($C70,AMAPit!$A$10:$BJ$125,AE$54,FALSE))</f>
        <v/>
      </c>
      <c r="AF70" s="373" t="str">
        <f>IF($C70="","",VLOOKUP($C70,AMAPit!$A$10:$BJ$125,AF$54,FALSE))</f>
        <v/>
      </c>
      <c r="AG70" s="60" t="str">
        <f>IF($C70="","",VLOOKUP($C70,AMAPit!$A$10:$BJ$125,AG$54,FALSE))</f>
        <v/>
      </c>
    </row>
    <row r="71" spans="1:33" x14ac:dyDescent="0.25">
      <c r="A71" s="305">
        <v>4</v>
      </c>
      <c r="B71" s="29" t="s">
        <v>11</v>
      </c>
      <c r="C71" s="58"/>
      <c r="D71" s="30" t="str">
        <f>IF($C71="","",VLOOKUP($C71,AMAPit!$A$10:$BJ$125,D$4-2,FALSE))</f>
        <v/>
      </c>
      <c r="E71" s="30" t="str">
        <f>IF($C71="","",VLOOKUP($C71,AMAPit!$A$10:$BJ$125,E$4-2,FALSE))</f>
        <v/>
      </c>
      <c r="F71" s="378" t="str">
        <f t="shared" si="100"/>
        <v/>
      </c>
      <c r="G71" s="372" t="str">
        <f t="shared" si="101"/>
        <v/>
      </c>
      <c r="H71" s="373" t="str">
        <f t="shared" si="102"/>
        <v/>
      </c>
      <c r="I71" s="92" t="str">
        <f>IF($C71="","",VLOOKUP($C71,AMAPit!$A$10:$BJ$125,I$54,FALSE))</f>
        <v/>
      </c>
      <c r="J71" s="372" t="str">
        <f t="shared" si="103"/>
        <v/>
      </c>
      <c r="K71" s="378" t="str">
        <f>IF($C71="","",VLOOKUP($C71,AMAPit!$A$10:$BJ$125,K$54,FALSE))</f>
        <v/>
      </c>
      <c r="L71" s="372" t="str">
        <f>IF($C71="","",VLOOKUP($C71,AMAPit!$A$10:$BJ$125,L$54,FALSE))</f>
        <v/>
      </c>
      <c r="M71" s="373" t="str">
        <f>IF($C71="","",VLOOKUP($C71,AMAPit!$A$10:$BJ$125,M$54,FALSE))</f>
        <v/>
      </c>
      <c r="N71" s="372" t="str">
        <f>IF($C71="","",VLOOKUP($C71,AMAPit!$A$10:$BJ$125,N$54,FALSE))</f>
        <v/>
      </c>
      <c r="O71" s="372" t="str">
        <f>IF($C71="","",VLOOKUP($C71,AMAPit!$A$10:$BJ$125,O$54,FALSE))</f>
        <v/>
      </c>
      <c r="P71" s="372" t="str">
        <f>IF($C71="","",VLOOKUP($C71,AMAPit!$A$10:$BJ$125,P$54,FALSE))</f>
        <v/>
      </c>
      <c r="Q71" s="372" t="str">
        <f>IF($C71="","",VLOOKUP($C71,AMAPit!$A$10:$BJ$125,Q$54,FALSE))</f>
        <v/>
      </c>
      <c r="R71" s="372" t="str">
        <f>IF($C71="","",VLOOKUP($C71,AMAPit!$A$10:$BJ$125,R$54,FALSE))</f>
        <v/>
      </c>
      <c r="S71" s="372" t="str">
        <f>IF($C71="","",VLOOKUP($C71,AMAPit!$A$10:$BJ$125,S$54,FALSE))</f>
        <v/>
      </c>
      <c r="T71" s="372" t="str">
        <f>IF($C71="","",VLOOKUP($C71,AMAPit!$A$10:$BJ$125,T$54,FALSE))</f>
        <v/>
      </c>
      <c r="U71" s="372" t="str">
        <f>IF($C71="","",VLOOKUP($C71,AMAPit!$A$10:$BJ$125,U$54,FALSE))</f>
        <v/>
      </c>
      <c r="V71" s="372" t="str">
        <f>IF($C71="","",VLOOKUP($C71,AMAPit!$A$10:$BJ$125,V$54,FALSE))</f>
        <v/>
      </c>
      <c r="W71" s="372" t="str">
        <f>IF($C71="","",VLOOKUP($C71,AMAPit!$A$10:$BJ$125,W$54,FALSE))</f>
        <v/>
      </c>
      <c r="X71" s="372" t="str">
        <f>IF($C71="","",VLOOKUP($C71,AMAPit!$A$10:$BJ$125,X$54,FALSE))</f>
        <v/>
      </c>
      <c r="Y71" s="373" t="str">
        <f>IF($C71="","",VLOOKUP($C71,AMAPit!$A$10:$BJ$125,Y$54,FALSE))</f>
        <v/>
      </c>
      <c r="Z71" s="378" t="str">
        <f>IF($C71="","",VLOOKUP($C71,AMAPit!$A$10:$BJ$125,Z$54,FALSE))</f>
        <v/>
      </c>
      <c r="AA71" s="372" t="str">
        <f>IF($C71="","",VLOOKUP($C71,AMAPit!$A$10:$BJ$125,AA$54,FALSE))</f>
        <v/>
      </c>
      <c r="AB71" s="73" t="str">
        <f>IF($C71="","",VLOOKUP($C71,AMAPit!$A$10:$BJ$125,AB$54,FALSE))</f>
        <v/>
      </c>
      <c r="AC71" s="60" t="str">
        <f>IF($C71="","",VLOOKUP($C71,AMAPit!$A$10:$BJ$125,AC$54,FALSE))</f>
        <v/>
      </c>
      <c r="AD71" s="372" t="str">
        <f>IF($C71="","",VLOOKUP($C71,AMAPit!$A$10:$BJ$125,AD$54,FALSE))</f>
        <v/>
      </c>
      <c r="AE71" s="372" t="str">
        <f>IF($C71="","",VLOOKUP($C71,AMAPit!$A$10:$BJ$125,AE$54,FALSE))</f>
        <v/>
      </c>
      <c r="AF71" s="373" t="str">
        <f>IF($C71="","",VLOOKUP($C71,AMAPit!$A$10:$BJ$125,AF$54,FALSE))</f>
        <v/>
      </c>
      <c r="AG71" s="60" t="str">
        <f>IF($C71="","",VLOOKUP($C71,AMAPit!$A$10:$BJ$125,AG$54,FALSE))</f>
        <v/>
      </c>
    </row>
    <row r="72" spans="1:33" x14ac:dyDescent="0.25">
      <c r="A72" s="305">
        <v>5</v>
      </c>
      <c r="B72" s="29" t="s">
        <v>11</v>
      </c>
      <c r="C72" s="58"/>
      <c r="D72" s="30" t="str">
        <f>IF($C72="","",VLOOKUP($C72,AMAPit!$A$10:$BJ$125,D$4-2,FALSE))</f>
        <v/>
      </c>
      <c r="E72" s="30" t="str">
        <f>IF($C72="","",VLOOKUP($C72,AMAPit!$A$10:$BJ$125,E$4-2,FALSE))</f>
        <v/>
      </c>
      <c r="F72" s="378" t="str">
        <f t="shared" si="100"/>
        <v/>
      </c>
      <c r="G72" s="372" t="str">
        <f t="shared" si="101"/>
        <v/>
      </c>
      <c r="H72" s="373" t="str">
        <f t="shared" si="102"/>
        <v/>
      </c>
      <c r="I72" s="92" t="str">
        <f>IF($C72="","",VLOOKUP($C72,AMAPit!$A$10:$BJ$125,I$54,FALSE))</f>
        <v/>
      </c>
      <c r="J72" s="372" t="str">
        <f t="shared" si="103"/>
        <v/>
      </c>
      <c r="K72" s="378" t="str">
        <f>IF($C72="","",VLOOKUP($C72,AMAPit!$A$10:$BJ$125,K$54,FALSE))</f>
        <v/>
      </c>
      <c r="L72" s="372" t="str">
        <f>IF($C72="","",VLOOKUP($C72,AMAPit!$A$10:$BJ$125,L$54,FALSE))</f>
        <v/>
      </c>
      <c r="M72" s="373" t="str">
        <f>IF($C72="","",VLOOKUP($C72,AMAPit!$A$10:$BJ$125,M$54,FALSE))</f>
        <v/>
      </c>
      <c r="N72" s="372" t="str">
        <f>IF($C72="","",VLOOKUP($C72,AMAPit!$A$10:$BJ$125,N$54,FALSE))</f>
        <v/>
      </c>
      <c r="O72" s="372" t="str">
        <f>IF($C72="","",VLOOKUP($C72,AMAPit!$A$10:$BJ$125,O$54,FALSE))</f>
        <v/>
      </c>
      <c r="P72" s="372" t="str">
        <f>IF($C72="","",VLOOKUP($C72,AMAPit!$A$10:$BJ$125,P$54,FALSE))</f>
        <v/>
      </c>
      <c r="Q72" s="372" t="str">
        <f>IF($C72="","",VLOOKUP($C72,AMAPit!$A$10:$BJ$125,Q$54,FALSE))</f>
        <v/>
      </c>
      <c r="R72" s="372" t="str">
        <f>IF($C72="","",VLOOKUP($C72,AMAPit!$A$10:$BJ$125,R$54,FALSE))</f>
        <v/>
      </c>
      <c r="S72" s="372" t="str">
        <f>IF($C72="","",VLOOKUP($C72,AMAPit!$A$10:$BJ$125,S$54,FALSE))</f>
        <v/>
      </c>
      <c r="T72" s="372" t="str">
        <f>IF($C72="","",VLOOKUP($C72,AMAPit!$A$10:$BJ$125,T$54,FALSE))</f>
        <v/>
      </c>
      <c r="U72" s="372" t="str">
        <f>IF($C72="","",VLOOKUP($C72,AMAPit!$A$10:$BJ$125,U$54,FALSE))</f>
        <v/>
      </c>
      <c r="V72" s="372" t="str">
        <f>IF($C72="","",VLOOKUP($C72,AMAPit!$A$10:$BJ$125,V$54,FALSE))</f>
        <v/>
      </c>
      <c r="W72" s="372" t="str">
        <f>IF($C72="","",VLOOKUP($C72,AMAPit!$A$10:$BJ$125,W$54,FALSE))</f>
        <v/>
      </c>
      <c r="X72" s="372" t="str">
        <f>IF($C72="","",VLOOKUP($C72,AMAPit!$A$10:$BJ$125,X$54,FALSE))</f>
        <v/>
      </c>
      <c r="Y72" s="373" t="str">
        <f>IF($C72="","",VLOOKUP($C72,AMAPit!$A$10:$BJ$125,Y$54,FALSE))</f>
        <v/>
      </c>
      <c r="Z72" s="378" t="str">
        <f>IF($C72="","",VLOOKUP($C72,AMAPit!$A$10:$BJ$125,Z$54,FALSE))</f>
        <v/>
      </c>
      <c r="AA72" s="372" t="str">
        <f>IF($C72="","",VLOOKUP($C72,AMAPit!$A$10:$BJ$125,AA$54,FALSE))</f>
        <v/>
      </c>
      <c r="AB72" s="73" t="str">
        <f>IF($C72="","",VLOOKUP($C72,AMAPit!$A$10:$BJ$125,AB$54,FALSE))</f>
        <v/>
      </c>
      <c r="AC72" s="60" t="str">
        <f>IF($C72="","",VLOOKUP($C72,AMAPit!$A$10:$BJ$125,AC$54,FALSE))</f>
        <v/>
      </c>
      <c r="AD72" s="372" t="str">
        <f>IF($C72="","",VLOOKUP($C72,AMAPit!$A$10:$BJ$125,AD$54,FALSE))</f>
        <v/>
      </c>
      <c r="AE72" s="372" t="str">
        <f>IF($C72="","",VLOOKUP($C72,AMAPit!$A$10:$BJ$125,AE$54,FALSE))</f>
        <v/>
      </c>
      <c r="AF72" s="373" t="str">
        <f>IF($C72="","",VLOOKUP($C72,AMAPit!$A$10:$BJ$125,AF$54,FALSE))</f>
        <v/>
      </c>
      <c r="AG72" s="60" t="str">
        <f>IF($C72="","",VLOOKUP($C72,AMAPit!$A$10:$BJ$125,AG$54,FALSE))</f>
        <v/>
      </c>
    </row>
    <row r="73" spans="1:33" x14ac:dyDescent="0.25">
      <c r="A73" s="305">
        <v>6</v>
      </c>
      <c r="B73" s="29" t="s">
        <v>11</v>
      </c>
      <c r="C73" s="58"/>
      <c r="D73" s="30" t="str">
        <f>IF($C73="","",VLOOKUP($C73,AMAPit!$A$10:$BJ$125,D$4-2,FALSE))</f>
        <v/>
      </c>
      <c r="E73" s="30" t="str">
        <f>IF($C73="","",VLOOKUP($C73,AMAPit!$A$10:$BJ$125,E$4-2,FALSE))</f>
        <v/>
      </c>
      <c r="F73" s="378" t="str">
        <f t="shared" si="100"/>
        <v/>
      </c>
      <c r="G73" s="372" t="str">
        <f t="shared" si="101"/>
        <v/>
      </c>
      <c r="H73" s="373" t="str">
        <f t="shared" si="102"/>
        <v/>
      </c>
      <c r="I73" s="92" t="str">
        <f>IF($C73="","",VLOOKUP($C73,AMAPit!$A$10:$BJ$125,I$54,FALSE))</f>
        <v/>
      </c>
      <c r="J73" s="372" t="str">
        <f t="shared" si="103"/>
        <v/>
      </c>
      <c r="K73" s="378" t="str">
        <f>IF($C73="","",VLOOKUP($C73,AMAPit!$A$10:$BJ$125,K$54,FALSE))</f>
        <v/>
      </c>
      <c r="L73" s="372" t="str">
        <f>IF($C73="","",VLOOKUP($C73,AMAPit!$A$10:$BJ$125,L$54,FALSE))</f>
        <v/>
      </c>
      <c r="M73" s="373" t="str">
        <f>IF($C73="","",VLOOKUP($C73,AMAPit!$A$10:$BJ$125,M$54,FALSE))</f>
        <v/>
      </c>
      <c r="N73" s="372" t="str">
        <f>IF($C73="","",VLOOKUP($C73,AMAPit!$A$10:$BJ$125,N$54,FALSE))</f>
        <v/>
      </c>
      <c r="O73" s="372" t="str">
        <f>IF($C73="","",VLOOKUP($C73,AMAPit!$A$10:$BJ$125,O$54,FALSE))</f>
        <v/>
      </c>
      <c r="P73" s="372" t="str">
        <f>IF($C73="","",VLOOKUP($C73,AMAPit!$A$10:$BJ$125,P$54,FALSE))</f>
        <v/>
      </c>
      <c r="Q73" s="372" t="str">
        <f>IF($C73="","",VLOOKUP($C73,AMAPit!$A$10:$BJ$125,Q$54,FALSE))</f>
        <v/>
      </c>
      <c r="R73" s="372" t="str">
        <f>IF($C73="","",VLOOKUP($C73,AMAPit!$A$10:$BJ$125,R$54,FALSE))</f>
        <v/>
      </c>
      <c r="S73" s="372" t="str">
        <f>IF($C73="","",VLOOKUP($C73,AMAPit!$A$10:$BJ$125,S$54,FALSE))</f>
        <v/>
      </c>
      <c r="T73" s="372" t="str">
        <f>IF($C73="","",VLOOKUP($C73,AMAPit!$A$10:$BJ$125,T$54,FALSE))</f>
        <v/>
      </c>
      <c r="U73" s="372" t="str">
        <f>IF($C73="","",VLOOKUP($C73,AMAPit!$A$10:$BJ$125,U$54,FALSE))</f>
        <v/>
      </c>
      <c r="V73" s="372" t="str">
        <f>IF($C73="","",VLOOKUP($C73,AMAPit!$A$10:$BJ$125,V$54,FALSE))</f>
        <v/>
      </c>
      <c r="W73" s="372" t="str">
        <f>IF($C73="","",VLOOKUP($C73,AMAPit!$A$10:$BJ$125,W$54,FALSE))</f>
        <v/>
      </c>
      <c r="X73" s="372" t="str">
        <f>IF($C73="","",VLOOKUP($C73,AMAPit!$A$10:$BJ$125,X$54,FALSE))</f>
        <v/>
      </c>
      <c r="Y73" s="373" t="str">
        <f>IF($C73="","",VLOOKUP($C73,AMAPit!$A$10:$BJ$125,Y$54,FALSE))</f>
        <v/>
      </c>
      <c r="Z73" s="378" t="str">
        <f>IF($C73="","",VLOOKUP($C73,AMAPit!$A$10:$BJ$125,Z$54,FALSE))</f>
        <v/>
      </c>
      <c r="AA73" s="372" t="str">
        <f>IF($C73="","",VLOOKUP($C73,AMAPit!$A$10:$BJ$125,AA$54,FALSE))</f>
        <v/>
      </c>
      <c r="AB73" s="73" t="str">
        <f>IF($C73="","",VLOOKUP($C73,AMAPit!$A$10:$BJ$125,AB$54,FALSE))</f>
        <v/>
      </c>
      <c r="AC73" s="60" t="str">
        <f>IF($C73="","",VLOOKUP($C73,AMAPit!$A$10:$BJ$125,AC$54,FALSE))</f>
        <v/>
      </c>
      <c r="AD73" s="372" t="str">
        <f>IF($C73="","",VLOOKUP($C73,AMAPit!$A$10:$BJ$125,AD$54,FALSE))</f>
        <v/>
      </c>
      <c r="AE73" s="372" t="str">
        <f>IF($C73="","",VLOOKUP($C73,AMAPit!$A$10:$BJ$125,AE$54,FALSE))</f>
        <v/>
      </c>
      <c r="AF73" s="373" t="str">
        <f>IF($C73="","",VLOOKUP($C73,AMAPit!$A$10:$BJ$125,AF$54,FALSE))</f>
        <v/>
      </c>
      <c r="AG73" s="60" t="str">
        <f>IF($C73="","",VLOOKUP($C73,AMAPit!$A$10:$BJ$125,AG$54,FALSE))</f>
        <v/>
      </c>
    </row>
    <row r="74" spans="1:33" x14ac:dyDescent="0.25">
      <c r="A74" s="305">
        <v>7</v>
      </c>
      <c r="B74" s="29" t="s">
        <v>11</v>
      </c>
      <c r="C74" s="58"/>
      <c r="D74" s="30" t="str">
        <f>IF($C74="","",VLOOKUP($C74,AMAPit!$A$10:$BJ$125,D$4-2,FALSE))</f>
        <v/>
      </c>
      <c r="E74" s="30" t="str">
        <f>IF($C74="","",VLOOKUP($C74,AMAPit!$A$10:$BJ$125,E$4-2,FALSE))</f>
        <v/>
      </c>
      <c r="F74" s="378" t="str">
        <f t="shared" si="100"/>
        <v/>
      </c>
      <c r="G74" s="372" t="str">
        <f t="shared" si="101"/>
        <v/>
      </c>
      <c r="H74" s="373" t="str">
        <f t="shared" si="102"/>
        <v/>
      </c>
      <c r="I74" s="92" t="str">
        <f>IF($C74="","",VLOOKUP($C74,AMAPit!$A$10:$BJ$125,I$54,FALSE))</f>
        <v/>
      </c>
      <c r="J74" s="372" t="str">
        <f t="shared" si="103"/>
        <v/>
      </c>
      <c r="K74" s="378" t="str">
        <f>IF($C74="","",VLOOKUP($C74,AMAPit!$A$10:$BJ$125,K$54,FALSE))</f>
        <v/>
      </c>
      <c r="L74" s="372" t="str">
        <f>IF($C74="","",VLOOKUP($C74,AMAPit!$A$10:$BJ$125,L$54,FALSE))</f>
        <v/>
      </c>
      <c r="M74" s="373" t="str">
        <f>IF($C74="","",VLOOKUP($C74,AMAPit!$A$10:$BJ$125,M$54,FALSE))</f>
        <v/>
      </c>
      <c r="N74" s="372" t="str">
        <f>IF($C74="","",VLOOKUP($C74,AMAPit!$A$10:$BJ$125,N$54,FALSE))</f>
        <v/>
      </c>
      <c r="O74" s="372" t="str">
        <f>IF($C74="","",VLOOKUP($C74,AMAPit!$A$10:$BJ$125,O$54,FALSE))</f>
        <v/>
      </c>
      <c r="P74" s="372" t="str">
        <f>IF($C74="","",VLOOKUP($C74,AMAPit!$A$10:$BJ$125,P$54,FALSE))</f>
        <v/>
      </c>
      <c r="Q74" s="372" t="str">
        <f>IF($C74="","",VLOOKUP($C74,AMAPit!$A$10:$BJ$125,Q$54,FALSE))</f>
        <v/>
      </c>
      <c r="R74" s="372" t="str">
        <f>IF($C74="","",VLOOKUP($C74,AMAPit!$A$10:$BJ$125,R$54,FALSE))</f>
        <v/>
      </c>
      <c r="S74" s="372" t="str">
        <f>IF($C74="","",VLOOKUP($C74,AMAPit!$A$10:$BJ$125,S$54,FALSE))</f>
        <v/>
      </c>
      <c r="T74" s="372" t="str">
        <f>IF($C74="","",VLOOKUP($C74,AMAPit!$A$10:$BJ$125,T$54,FALSE))</f>
        <v/>
      </c>
      <c r="U74" s="372" t="str">
        <f>IF($C74="","",VLOOKUP($C74,AMAPit!$A$10:$BJ$125,U$54,FALSE))</f>
        <v/>
      </c>
      <c r="V74" s="372" t="str">
        <f>IF($C74="","",VLOOKUP($C74,AMAPit!$A$10:$BJ$125,V$54,FALSE))</f>
        <v/>
      </c>
      <c r="W74" s="372" t="str">
        <f>IF($C74="","",VLOOKUP($C74,AMAPit!$A$10:$BJ$125,W$54,FALSE))</f>
        <v/>
      </c>
      <c r="X74" s="372" t="str">
        <f>IF($C74="","",VLOOKUP($C74,AMAPit!$A$10:$BJ$125,X$54,FALSE))</f>
        <v/>
      </c>
      <c r="Y74" s="373" t="str">
        <f>IF($C74="","",VLOOKUP($C74,AMAPit!$A$10:$BJ$125,Y$54,FALSE))</f>
        <v/>
      </c>
      <c r="Z74" s="378" t="str">
        <f>IF($C74="","",VLOOKUP($C74,AMAPit!$A$10:$BJ$125,Z$54,FALSE))</f>
        <v/>
      </c>
      <c r="AA74" s="372" t="str">
        <f>IF($C74="","",VLOOKUP($C74,AMAPit!$A$10:$BJ$125,AA$54,FALSE))</f>
        <v/>
      </c>
      <c r="AB74" s="73" t="str">
        <f>IF($C74="","",VLOOKUP($C74,AMAPit!$A$10:$BJ$125,AB$54,FALSE))</f>
        <v/>
      </c>
      <c r="AC74" s="60" t="str">
        <f>IF($C74="","",VLOOKUP($C74,AMAPit!$A$10:$BJ$125,AC$54,FALSE))</f>
        <v/>
      </c>
      <c r="AD74" s="372" t="str">
        <f>IF($C74="","",VLOOKUP($C74,AMAPit!$A$10:$BJ$125,AD$54,FALSE))</f>
        <v/>
      </c>
      <c r="AE74" s="372" t="str">
        <f>IF($C74="","",VLOOKUP($C74,AMAPit!$A$10:$BJ$125,AE$54,FALSE))</f>
        <v/>
      </c>
      <c r="AF74" s="373" t="str">
        <f>IF($C74="","",VLOOKUP($C74,AMAPit!$A$10:$BJ$125,AF$54,FALSE))</f>
        <v/>
      </c>
      <c r="AG74" s="60" t="str">
        <f>IF($C74="","",VLOOKUP($C74,AMAPit!$A$10:$BJ$125,AG$54,FALSE))</f>
        <v/>
      </c>
    </row>
    <row r="75" spans="1:33" x14ac:dyDescent="0.25">
      <c r="A75" s="305">
        <v>8</v>
      </c>
      <c r="B75" s="29" t="s">
        <v>11</v>
      </c>
      <c r="C75" s="58"/>
      <c r="D75" s="30" t="str">
        <f>IF($C75="","",VLOOKUP($C75,AMAPit!$A$10:$BJ$125,D$4-2,FALSE))</f>
        <v/>
      </c>
      <c r="E75" s="30" t="str">
        <f>IF($C75="","",VLOOKUP($C75,AMAPit!$A$10:$BJ$125,E$4-2,FALSE))</f>
        <v/>
      </c>
      <c r="F75" s="378" t="str">
        <f t="shared" si="100"/>
        <v/>
      </c>
      <c r="G75" s="372" t="str">
        <f t="shared" si="101"/>
        <v/>
      </c>
      <c r="H75" s="373" t="str">
        <f t="shared" si="102"/>
        <v/>
      </c>
      <c r="I75" s="92" t="str">
        <f>IF($C75="","",VLOOKUP($C75,AMAPit!$A$10:$BJ$125,I$54,FALSE))</f>
        <v/>
      </c>
      <c r="J75" s="372" t="str">
        <f t="shared" si="103"/>
        <v/>
      </c>
      <c r="K75" s="378" t="str">
        <f>IF($C75="","",VLOOKUP($C75,AMAPit!$A$10:$BJ$125,K$54,FALSE))</f>
        <v/>
      </c>
      <c r="L75" s="372" t="str">
        <f>IF($C75="","",VLOOKUP($C75,AMAPit!$A$10:$BJ$125,L$54,FALSE))</f>
        <v/>
      </c>
      <c r="M75" s="373" t="str">
        <f>IF($C75="","",VLOOKUP($C75,AMAPit!$A$10:$BJ$125,M$54,FALSE))</f>
        <v/>
      </c>
      <c r="N75" s="372" t="str">
        <f>IF($C75="","",VLOOKUP($C75,AMAPit!$A$10:$BJ$125,N$54,FALSE))</f>
        <v/>
      </c>
      <c r="O75" s="372" t="str">
        <f>IF($C75="","",VLOOKUP($C75,AMAPit!$A$10:$BJ$125,O$54,FALSE))</f>
        <v/>
      </c>
      <c r="P75" s="372" t="str">
        <f>IF($C75="","",VLOOKUP($C75,AMAPit!$A$10:$BJ$125,P$54,FALSE))</f>
        <v/>
      </c>
      <c r="Q75" s="372" t="str">
        <f>IF($C75="","",VLOOKUP($C75,AMAPit!$A$10:$BJ$125,Q$54,FALSE))</f>
        <v/>
      </c>
      <c r="R75" s="372" t="str">
        <f>IF($C75="","",VLOOKUP($C75,AMAPit!$A$10:$BJ$125,R$54,FALSE))</f>
        <v/>
      </c>
      <c r="S75" s="372" t="str">
        <f>IF($C75="","",VLOOKUP($C75,AMAPit!$A$10:$BJ$125,S$54,FALSE))</f>
        <v/>
      </c>
      <c r="T75" s="372" t="str">
        <f>IF($C75="","",VLOOKUP($C75,AMAPit!$A$10:$BJ$125,T$54,FALSE))</f>
        <v/>
      </c>
      <c r="U75" s="372" t="str">
        <f>IF($C75="","",VLOOKUP($C75,AMAPit!$A$10:$BJ$125,U$54,FALSE))</f>
        <v/>
      </c>
      <c r="V75" s="372" t="str">
        <f>IF($C75="","",VLOOKUP($C75,AMAPit!$A$10:$BJ$125,V$54,FALSE))</f>
        <v/>
      </c>
      <c r="W75" s="372" t="str">
        <f>IF($C75="","",VLOOKUP($C75,AMAPit!$A$10:$BJ$125,W$54,FALSE))</f>
        <v/>
      </c>
      <c r="X75" s="372" t="str">
        <f>IF($C75="","",VLOOKUP($C75,AMAPit!$A$10:$BJ$125,X$54,FALSE))</f>
        <v/>
      </c>
      <c r="Y75" s="373" t="str">
        <f>IF($C75="","",VLOOKUP($C75,AMAPit!$A$10:$BJ$125,Y$54,FALSE))</f>
        <v/>
      </c>
      <c r="Z75" s="378" t="str">
        <f>IF($C75="","",VLOOKUP($C75,AMAPit!$A$10:$BJ$125,Z$54,FALSE))</f>
        <v/>
      </c>
      <c r="AA75" s="372" t="str">
        <f>IF($C75="","",VLOOKUP($C75,AMAPit!$A$10:$BJ$125,AA$54,FALSE))</f>
        <v/>
      </c>
      <c r="AB75" s="73" t="str">
        <f>IF($C75="","",VLOOKUP($C75,AMAPit!$A$10:$BJ$125,AB$54,FALSE))</f>
        <v/>
      </c>
      <c r="AC75" s="60" t="str">
        <f>IF($C75="","",VLOOKUP($C75,AMAPit!$A$10:$BJ$125,AC$54,FALSE))</f>
        <v/>
      </c>
      <c r="AD75" s="372" t="str">
        <f>IF($C75="","",VLOOKUP($C75,AMAPit!$A$10:$BJ$125,AD$54,FALSE))</f>
        <v/>
      </c>
      <c r="AE75" s="372" t="str">
        <f>IF($C75="","",VLOOKUP($C75,AMAPit!$A$10:$BJ$125,AE$54,FALSE))</f>
        <v/>
      </c>
      <c r="AF75" s="373" t="str">
        <f>IF($C75="","",VLOOKUP($C75,AMAPit!$A$10:$BJ$125,AF$54,FALSE))</f>
        <v/>
      </c>
      <c r="AG75" s="60" t="str">
        <f>IF($C75="","",VLOOKUP($C75,AMAPit!$A$10:$BJ$125,AG$54,FALSE))</f>
        <v/>
      </c>
    </row>
    <row r="76" spans="1:33" x14ac:dyDescent="0.25">
      <c r="A76" s="305">
        <v>9</v>
      </c>
      <c r="B76" s="29" t="s">
        <v>11</v>
      </c>
      <c r="C76" s="58"/>
      <c r="D76" s="30" t="str">
        <f>IF($C76="","",VLOOKUP($C76,AMAPit!$A$10:$BJ$125,D$4-2,FALSE))</f>
        <v/>
      </c>
      <c r="E76" s="30" t="str">
        <f>IF($C76="","",VLOOKUP($C76,AMAPit!$A$10:$BJ$125,E$4-2,FALSE))</f>
        <v/>
      </c>
      <c r="F76" s="378" t="str">
        <f t="shared" si="100"/>
        <v/>
      </c>
      <c r="G76" s="372" t="str">
        <f t="shared" si="101"/>
        <v/>
      </c>
      <c r="H76" s="373" t="str">
        <f t="shared" si="102"/>
        <v/>
      </c>
      <c r="I76" s="92" t="str">
        <f>IF($C76="","",VLOOKUP($C76,AMAPit!$A$10:$BJ$125,I$54,FALSE))</f>
        <v/>
      </c>
      <c r="J76" s="372" t="str">
        <f t="shared" si="103"/>
        <v/>
      </c>
      <c r="K76" s="378" t="str">
        <f>IF($C76="","",VLOOKUP($C76,AMAPit!$A$10:$BJ$125,K$54,FALSE))</f>
        <v/>
      </c>
      <c r="L76" s="372" t="str">
        <f>IF($C76="","",VLOOKUP($C76,AMAPit!$A$10:$BJ$125,L$54,FALSE))</f>
        <v/>
      </c>
      <c r="M76" s="373" t="str">
        <f>IF($C76="","",VLOOKUP($C76,AMAPit!$A$10:$BJ$125,M$54,FALSE))</f>
        <v/>
      </c>
      <c r="N76" s="372" t="str">
        <f>IF($C76="","",VLOOKUP($C76,AMAPit!$A$10:$BJ$125,N$54,FALSE))</f>
        <v/>
      </c>
      <c r="O76" s="372" t="str">
        <f>IF($C76="","",VLOOKUP($C76,AMAPit!$A$10:$BJ$125,O$54,FALSE))</f>
        <v/>
      </c>
      <c r="P76" s="372" t="str">
        <f>IF($C76="","",VLOOKUP($C76,AMAPit!$A$10:$BJ$125,P$54,FALSE))</f>
        <v/>
      </c>
      <c r="Q76" s="372" t="str">
        <f>IF($C76="","",VLOOKUP($C76,AMAPit!$A$10:$BJ$125,Q$54,FALSE))</f>
        <v/>
      </c>
      <c r="R76" s="372" t="str">
        <f>IF($C76="","",VLOOKUP($C76,AMAPit!$A$10:$BJ$125,R$54,FALSE))</f>
        <v/>
      </c>
      <c r="S76" s="372" t="str">
        <f>IF($C76="","",VLOOKUP($C76,AMAPit!$A$10:$BJ$125,S$54,FALSE))</f>
        <v/>
      </c>
      <c r="T76" s="372" t="str">
        <f>IF($C76="","",VLOOKUP($C76,AMAPit!$A$10:$BJ$125,T$54,FALSE))</f>
        <v/>
      </c>
      <c r="U76" s="372" t="str">
        <f>IF($C76="","",VLOOKUP($C76,AMAPit!$A$10:$BJ$125,U$54,FALSE))</f>
        <v/>
      </c>
      <c r="V76" s="372" t="str">
        <f>IF($C76="","",VLOOKUP($C76,AMAPit!$A$10:$BJ$125,V$54,FALSE))</f>
        <v/>
      </c>
      <c r="W76" s="372" t="str">
        <f>IF($C76="","",VLOOKUP($C76,AMAPit!$A$10:$BJ$125,W$54,FALSE))</f>
        <v/>
      </c>
      <c r="X76" s="372" t="str">
        <f>IF($C76="","",VLOOKUP($C76,AMAPit!$A$10:$BJ$125,X$54,FALSE))</f>
        <v/>
      </c>
      <c r="Y76" s="373" t="str">
        <f>IF($C76="","",VLOOKUP($C76,AMAPit!$A$10:$BJ$125,Y$54,FALSE))</f>
        <v/>
      </c>
      <c r="Z76" s="378" t="str">
        <f>IF($C76="","",VLOOKUP($C76,AMAPit!$A$10:$BJ$125,Z$54,FALSE))</f>
        <v/>
      </c>
      <c r="AA76" s="372" t="str">
        <f>IF($C76="","",VLOOKUP($C76,AMAPit!$A$10:$BJ$125,AA$54,FALSE))</f>
        <v/>
      </c>
      <c r="AB76" s="73" t="str">
        <f>IF($C76="","",VLOOKUP($C76,AMAPit!$A$10:$BJ$125,AB$54,FALSE))</f>
        <v/>
      </c>
      <c r="AC76" s="60" t="str">
        <f>IF($C76="","",VLOOKUP($C76,AMAPit!$A$10:$BJ$125,AC$54,FALSE))</f>
        <v/>
      </c>
      <c r="AD76" s="372" t="str">
        <f>IF($C76="","",VLOOKUP($C76,AMAPit!$A$10:$BJ$125,AD$54,FALSE))</f>
        <v/>
      </c>
      <c r="AE76" s="372" t="str">
        <f>IF($C76="","",VLOOKUP($C76,AMAPit!$A$10:$BJ$125,AE$54,FALSE))</f>
        <v/>
      </c>
      <c r="AF76" s="373" t="str">
        <f>IF($C76="","",VLOOKUP($C76,AMAPit!$A$10:$BJ$125,AF$54,FALSE))</f>
        <v/>
      </c>
      <c r="AG76" s="60" t="str">
        <f>IF($C76="","",VLOOKUP($C76,AMAPit!$A$10:$BJ$125,AG$54,FALSE))</f>
        <v/>
      </c>
    </row>
    <row r="77" spans="1:33" x14ac:dyDescent="0.25">
      <c r="A77" s="305">
        <v>10</v>
      </c>
      <c r="B77" s="32" t="s">
        <v>11</v>
      </c>
      <c r="C77" s="33"/>
      <c r="D77" s="33" t="str">
        <f>IF($C77="","",VLOOKUP($C77,AMAPit!$A$10:$BJ$125,D$4-2,FALSE))</f>
        <v/>
      </c>
      <c r="E77" s="33" t="str">
        <f>IF($C77="","",VLOOKUP($C77,AMAPit!$A$10:$BJ$125,E$4-2,FALSE))</f>
        <v/>
      </c>
      <c r="F77" s="47" t="str">
        <f t="shared" si="100"/>
        <v/>
      </c>
      <c r="G77" s="370" t="str">
        <f t="shared" si="101"/>
        <v/>
      </c>
      <c r="H77" s="371" t="str">
        <f t="shared" si="102"/>
        <v/>
      </c>
      <c r="I77" s="93" t="str">
        <f>IF($C77="","",VLOOKUP($C77,AMAPit!$A$10:$BJ$125,I$54,FALSE))</f>
        <v/>
      </c>
      <c r="J77" s="370" t="str">
        <f t="shared" si="103"/>
        <v/>
      </c>
      <c r="K77" s="47" t="str">
        <f>IF($C77="","",VLOOKUP($C77,AMAPit!$A$10:$BJ$125,K$54,FALSE))</f>
        <v/>
      </c>
      <c r="L77" s="370" t="str">
        <f>IF($C77="","",VLOOKUP($C77,AMAPit!$A$10:$BJ$125,L$54,FALSE))</f>
        <v/>
      </c>
      <c r="M77" s="371" t="str">
        <f>IF($C77="","",VLOOKUP($C77,AMAPit!$A$10:$BJ$125,M$54,FALSE))</f>
        <v/>
      </c>
      <c r="N77" s="370" t="str">
        <f>IF($C77="","",VLOOKUP($C77,AMAPit!$A$10:$BJ$125,N$54,FALSE))</f>
        <v/>
      </c>
      <c r="O77" s="370" t="str">
        <f>IF($C77="","",VLOOKUP($C77,AMAPit!$A$10:$BJ$125,O$54,FALSE))</f>
        <v/>
      </c>
      <c r="P77" s="370" t="str">
        <f>IF($C77="","",VLOOKUP($C77,AMAPit!$A$10:$BJ$125,P$54,FALSE))</f>
        <v/>
      </c>
      <c r="Q77" s="370" t="str">
        <f>IF($C77="","",VLOOKUP($C77,AMAPit!$A$10:$BJ$125,Q$54,FALSE))</f>
        <v/>
      </c>
      <c r="R77" s="370" t="str">
        <f>IF($C77="","",VLOOKUP($C77,AMAPit!$A$10:$BJ$125,R$54,FALSE))</f>
        <v/>
      </c>
      <c r="S77" s="370" t="str">
        <f>IF($C77="","",VLOOKUP($C77,AMAPit!$A$10:$BJ$125,S$54,FALSE))</f>
        <v/>
      </c>
      <c r="T77" s="370" t="str">
        <f>IF($C77="","",VLOOKUP($C77,AMAPit!$A$10:$BJ$125,T$54,FALSE))</f>
        <v/>
      </c>
      <c r="U77" s="370" t="str">
        <f>IF($C77="","",VLOOKUP($C77,AMAPit!$A$10:$BJ$125,U$54,FALSE))</f>
        <v/>
      </c>
      <c r="V77" s="370" t="str">
        <f>IF($C77="","",VLOOKUP($C77,AMAPit!$A$10:$BJ$125,V$54,FALSE))</f>
        <v/>
      </c>
      <c r="W77" s="370" t="str">
        <f>IF($C77="","",VLOOKUP($C77,AMAPit!$A$10:$BJ$125,W$54,FALSE))</f>
        <v/>
      </c>
      <c r="X77" s="370" t="str">
        <f>IF($C77="","",VLOOKUP($C77,AMAPit!$A$10:$BJ$125,X$54,FALSE))</f>
        <v/>
      </c>
      <c r="Y77" s="371" t="str">
        <f>IF($C77="","",VLOOKUP($C77,AMAPit!$A$10:$BJ$125,Y$54,FALSE))</f>
        <v/>
      </c>
      <c r="Z77" s="47" t="str">
        <f>IF($C77="","",VLOOKUP($C77,AMAPit!$A$10:$BJ$125,Z$54,FALSE))</f>
        <v/>
      </c>
      <c r="AA77" s="370" t="str">
        <f>IF($C77="","",VLOOKUP($C77,AMAPit!$A$10:$BJ$125,AA$54,FALSE))</f>
        <v/>
      </c>
      <c r="AB77" s="74" t="str">
        <f>IF($C77="","",VLOOKUP($C77,AMAPit!$A$10:$BJ$125,AB$54,FALSE))</f>
        <v/>
      </c>
      <c r="AC77" s="61" t="str">
        <f>IF($C77="","",VLOOKUP($C77,AMAPit!$A$10:$BJ$125,AC$54,FALSE))</f>
        <v/>
      </c>
      <c r="AD77" s="370" t="str">
        <f>IF($C77="","",VLOOKUP($C77,AMAPit!$A$10:$BJ$125,AD$54,FALSE))</f>
        <v/>
      </c>
      <c r="AE77" s="370" t="str">
        <f>IF($C77="","",VLOOKUP($C77,AMAPit!$A$10:$BJ$125,AE$54,FALSE))</f>
        <v/>
      </c>
      <c r="AF77" s="371" t="str">
        <f>IF($C77="","",VLOOKUP($C77,AMAPit!$A$10:$BJ$125,AF$54,FALSE))</f>
        <v/>
      </c>
      <c r="AG77" s="61" t="str">
        <f>IF($C77="","",VLOOKUP($C77,AMAPit!$A$10:$BJ$125,AG$54,FALSE))</f>
        <v/>
      </c>
    </row>
  </sheetData>
  <mergeCells count="22">
    <mergeCell ref="AH48:AT48"/>
    <mergeCell ref="AH49:AT49"/>
    <mergeCell ref="AH50:AT50"/>
    <mergeCell ref="AH51:AT51"/>
    <mergeCell ref="AH42:AT42"/>
    <mergeCell ref="AH43:AT43"/>
    <mergeCell ref="AH44:AT44"/>
    <mergeCell ref="AH45:AT45"/>
    <mergeCell ref="AH46:AT46"/>
    <mergeCell ref="AH47:AT47"/>
    <mergeCell ref="AG41:AT41"/>
    <mergeCell ref="AG29:AT29"/>
    <mergeCell ref="AH30:AT30"/>
    <mergeCell ref="AH31:AT31"/>
    <mergeCell ref="AH32:AT32"/>
    <mergeCell ref="AH33:AT33"/>
    <mergeCell ref="AH34:AT34"/>
    <mergeCell ref="AH35:AT35"/>
    <mergeCell ref="AH36:AT36"/>
    <mergeCell ref="AH37:AT37"/>
    <mergeCell ref="AH38:AT38"/>
    <mergeCell ref="AH39:AT39"/>
  </mergeCells>
  <conditionalFormatting sqref="G16">
    <cfRule type="expression" dxfId="16" priority="15">
      <formula>IF(SUM(G17:G22)&gt;1,1,0)</formula>
    </cfRule>
  </conditionalFormatting>
  <conditionalFormatting sqref="H16">
    <cfRule type="expression" dxfId="15" priority="14">
      <formula>IF(SUM(H17:H22)&gt;1,1,0)</formula>
    </cfRule>
  </conditionalFormatting>
  <conditionalFormatting sqref="F16">
    <cfRule type="expression" dxfId="14" priority="13">
      <formula>IF(SUM(F17:F22)&gt;1,1,0)</formula>
    </cfRule>
  </conditionalFormatting>
  <conditionalFormatting sqref="I5">
    <cfRule type="expression" dxfId="13" priority="12">
      <formula>-IF(SUM(I6:I14)&gt;1,1,0)</formula>
    </cfRule>
  </conditionalFormatting>
  <conditionalFormatting sqref="H5">
    <cfRule type="expression" dxfId="12" priority="11">
      <formula>-IF(SUM(H6:H14)&gt;1,1,0)</formula>
    </cfRule>
  </conditionalFormatting>
  <conditionalFormatting sqref="F24">
    <cfRule type="expression" dxfId="11" priority="10">
      <formula>IF(SUM($F$22:$F$24)&gt;1,1,0)</formula>
    </cfRule>
  </conditionalFormatting>
  <conditionalFormatting sqref="C25:C27 C17:C22 C6:C14">
    <cfRule type="expression" dxfId="10" priority="5">
      <formula>IF($AK6&lt;4.5,1,0)</formula>
    </cfRule>
    <cfRule type="expression" dxfId="9" priority="6">
      <formula>IF($AK6&gt;7,1,0)</formula>
    </cfRule>
  </conditionalFormatting>
  <conditionalFormatting sqref="C18">
    <cfRule type="expression" dxfId="8" priority="3">
      <formula>IF($AK18&lt;4.5,1,0)</formula>
    </cfRule>
    <cfRule type="expression" dxfId="7" priority="4">
      <formula>IF($AK18&gt;7,1,0)</formula>
    </cfRule>
  </conditionalFormatting>
  <conditionalFormatting sqref="F5">
    <cfRule type="expression" dxfId="6" priority="2">
      <formula>IF(SUM(F6:F14)&gt;1,1,0)</formula>
    </cfRule>
  </conditionalFormatting>
  <conditionalFormatting sqref="G5">
    <cfRule type="expression" dxfId="5" priority="1">
      <formula>IF(SUM(G6:G14)&gt;1,1,0)</formula>
    </cfRule>
  </conditionalFormatting>
  <conditionalFormatting sqref="F55">
    <cfRule type="expression" dxfId="4" priority="9">
      <formula>IF(SUM($F$53:$F$58)&gt;1,1,0)</formula>
    </cfRule>
  </conditionalFormatting>
  <conditionalFormatting sqref="H55">
    <cfRule type="expression" dxfId="3" priority="8">
      <formula>IF(SUM($H$53:$H$58)&gt;3,1,0)</formula>
    </cfRule>
  </conditionalFormatting>
  <conditionalFormatting sqref="G55">
    <cfRule type="expression" dxfId="2" priority="7">
      <formula>IF(SUM($G$53:$G$58)&gt;2,1,0)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 codeName="Sheet11">
    <tabColor theme="9"/>
  </sheetPr>
  <dimension ref="A1:CX224"/>
  <sheetViews>
    <sheetView zoomScale="85" zoomScaleNormal="85" workbookViewId="0">
      <pane xSplit="16" ySplit="10" topLeftCell="Q11" activePane="bottomRight" state="frozenSplit"/>
      <selection pane="topRight" activeCell="H1" sqref="H1"/>
      <selection pane="bottomLeft"/>
      <selection pane="bottomRight" activeCell="I11" sqref="I11"/>
    </sheetView>
  </sheetViews>
  <sheetFormatPr defaultColWidth="11.42578125" defaultRowHeight="15" x14ac:dyDescent="0.25"/>
  <cols>
    <col min="1" max="1" width="8.42578125" style="306" customWidth="1"/>
    <col min="2" max="2" width="5.5703125" customWidth="1"/>
    <col min="3" max="3" width="6.28515625" customWidth="1"/>
    <col min="4" max="4" width="6.42578125" customWidth="1"/>
    <col min="5" max="5" width="7" customWidth="1"/>
    <col min="6" max="6" width="6.140625" customWidth="1"/>
    <col min="7" max="7" width="7.85546875" customWidth="1"/>
    <col min="8" max="8" width="20" bestFit="1" customWidth="1"/>
    <col min="9" max="9" width="20" style="305" customWidth="1"/>
    <col min="10" max="10" width="6" customWidth="1"/>
    <col min="11" max="11" width="6.140625" customWidth="1"/>
    <col min="12" max="12" width="6.5703125" customWidth="1"/>
    <col min="13" max="13" width="4.28515625" customWidth="1"/>
    <col min="14" max="14" width="4.140625" customWidth="1"/>
    <col min="15" max="15" width="7" customWidth="1"/>
    <col min="16" max="16" width="6.85546875" style="3" customWidth="1"/>
    <col min="17" max="17" width="6.140625" customWidth="1"/>
    <col min="18" max="18" width="6.140625" style="3" customWidth="1"/>
    <col min="19" max="19" width="7.140625" customWidth="1"/>
    <col min="20" max="20" width="7" customWidth="1"/>
    <col min="21" max="21" width="7.7109375" customWidth="1"/>
    <col min="22" max="22" width="6.28515625" customWidth="1"/>
    <col min="23" max="23" width="5.5703125" style="3" customWidth="1"/>
    <col min="24" max="24" width="8.85546875" customWidth="1"/>
    <col min="25" max="25" width="8.7109375" customWidth="1"/>
    <col min="26" max="26" width="9.5703125" customWidth="1"/>
    <col min="27" max="27" width="8.140625" customWidth="1"/>
    <col min="28" max="28" width="6" style="3" customWidth="1"/>
    <col min="29" max="29" width="9.5703125" customWidth="1"/>
    <col min="30" max="30" width="10.5703125" customWidth="1"/>
    <col min="31" max="31" width="9.140625" customWidth="1"/>
    <col min="32" max="32" width="7.7109375" style="305" customWidth="1"/>
    <col min="33" max="33" width="4.140625" customWidth="1"/>
    <col min="34" max="36" width="5.42578125" customWidth="1"/>
    <col min="37" max="37" width="5.28515625" customWidth="1"/>
    <col min="38" max="38" width="5" customWidth="1"/>
    <col min="39" max="39" width="5.140625" customWidth="1"/>
    <col min="40" max="40" width="5.28515625" style="3" customWidth="1"/>
    <col min="41" max="41" width="6.42578125" customWidth="1"/>
    <col min="42" max="42" width="6.28515625" customWidth="1"/>
    <col min="43" max="43" width="7.140625" style="3" customWidth="1"/>
    <col min="44" max="44" width="12.5703125" bestFit="1" customWidth="1"/>
    <col min="45" max="45" width="9.42578125" style="3" bestFit="1" customWidth="1"/>
    <col min="46" max="46" width="9.7109375" style="372" customWidth="1"/>
    <col min="47" max="47" width="11.7109375" customWidth="1"/>
    <col min="48" max="48" width="10" style="5" customWidth="1"/>
    <col min="49" max="49" width="11.140625" customWidth="1"/>
    <col min="50" max="50" width="9" bestFit="1" customWidth="1"/>
    <col min="51" max="51" width="6.28515625" customWidth="1"/>
    <col min="52" max="52" width="9" bestFit="1" customWidth="1"/>
    <col min="53" max="53" width="6.42578125" style="46" customWidth="1"/>
    <col min="54" max="60" width="6.42578125" style="5" customWidth="1"/>
    <col min="61" max="61" width="6.42578125" style="3" customWidth="1"/>
    <col min="62" max="62" width="6" style="46" customWidth="1"/>
    <col min="63" max="69" width="6" style="5" customWidth="1"/>
    <col min="70" max="70" width="6" style="3" customWidth="1"/>
    <col min="71" max="71" width="5.42578125" customWidth="1"/>
    <col min="72" max="72" width="6.140625" customWidth="1"/>
    <col min="74" max="74" width="8.28515625" style="84" customWidth="1"/>
    <col min="75" max="75" width="8.140625" style="84" customWidth="1"/>
    <col min="76" max="76" width="8.85546875" style="84" customWidth="1"/>
    <col min="77" max="77" width="7.42578125" style="84" customWidth="1"/>
    <col min="78" max="78" width="6.7109375" style="84" customWidth="1"/>
    <col min="79" max="79" width="10" style="84" customWidth="1"/>
    <col min="80" max="80" width="9.85546875" style="84" customWidth="1"/>
    <col min="81" max="81" width="10.5703125" style="84" customWidth="1"/>
    <col min="82" max="82" width="10.140625" style="84" customWidth="1"/>
    <col min="83" max="83" width="8.28515625" style="84" customWidth="1"/>
    <col min="84" max="84" width="11.7109375" style="84" customWidth="1"/>
    <col min="85" max="85" width="12.7109375" style="84" customWidth="1"/>
    <col min="86" max="86" width="11.28515625" style="84" customWidth="1"/>
    <col min="87" max="87" width="6.28515625" style="84" customWidth="1"/>
    <col min="88" max="90" width="7.5703125" style="84" customWidth="1"/>
    <col min="91" max="91" width="7.42578125" style="84" customWidth="1"/>
    <col min="92" max="92" width="7.140625" style="84" customWidth="1"/>
    <col min="93" max="93" width="7.28515625" style="84" customWidth="1"/>
    <col min="94" max="94" width="7.42578125" style="84" customWidth="1"/>
    <col min="95" max="95" width="8.5703125" style="84" customWidth="1"/>
    <col min="96" max="96" width="8.42578125" style="84" customWidth="1"/>
    <col min="97" max="97" width="9.28515625" style="84" customWidth="1"/>
    <col min="98" max="98" width="6.140625" style="84" customWidth="1"/>
    <col min="99" max="99" width="8.42578125" style="84" customWidth="1"/>
    <col min="100" max="100" width="8.42578125" style="84" bestFit="1" customWidth="1"/>
    <col min="101" max="101" width="8.85546875" style="84" customWidth="1"/>
    <col min="102" max="102" width="8.42578125" style="84" bestFit="1" customWidth="1"/>
    <col min="103" max="16384" width="11.42578125" style="84"/>
  </cols>
  <sheetData>
    <row r="1" spans="1:102" x14ac:dyDescent="0.25">
      <c r="C1" t="s">
        <v>80</v>
      </c>
      <c r="D1" t="s">
        <v>124</v>
      </c>
      <c r="F1" t="s">
        <v>194</v>
      </c>
      <c r="G1" t="s">
        <v>195</v>
      </c>
      <c r="H1" t="s">
        <v>196</v>
      </c>
    </row>
    <row r="2" spans="1:102" x14ac:dyDescent="0.25">
      <c r="B2" t="s">
        <v>184</v>
      </c>
      <c r="C2">
        <f>COUNTIF($B$11:$B$205,"=ML")</f>
        <v>9</v>
      </c>
      <c r="D2" s="84">
        <f>VLOOKUP($B2,AMAPit!$B$2:$C$8,2,FALSE)</f>
        <v>12</v>
      </c>
      <c r="E2">
        <v>25</v>
      </c>
      <c r="F2" s="90">
        <f>C2/$E2</f>
        <v>0.36</v>
      </c>
      <c r="G2" s="90">
        <f>D2/$E2</f>
        <v>0.48</v>
      </c>
      <c r="H2" s="99">
        <f>(C2+D2)/$E2</f>
        <v>0.84</v>
      </c>
      <c r="I2" s="99"/>
      <c r="J2" s="99"/>
      <c r="K2" s="99"/>
    </row>
    <row r="3" spans="1:102" x14ac:dyDescent="0.25">
      <c r="B3" t="s">
        <v>185</v>
      </c>
      <c r="C3">
        <f>COUNTIF($B$11:$B$205,"=AAA")</f>
        <v>6</v>
      </c>
      <c r="D3" s="84">
        <f>VLOOKUP($B3,AMAPit!$B$2:$C$8,2,FALSE)</f>
        <v>0</v>
      </c>
      <c r="E3">
        <v>25</v>
      </c>
      <c r="F3" s="90">
        <f t="shared" ref="F3:G8" si="0">C3/$E3</f>
        <v>0.24</v>
      </c>
      <c r="G3" s="90">
        <f t="shared" si="0"/>
        <v>0</v>
      </c>
      <c r="H3" s="99">
        <f t="shared" ref="H3:H8" si="1">(C3+D3)/$E3</f>
        <v>0.24</v>
      </c>
      <c r="I3" s="99"/>
      <c r="J3" s="99"/>
      <c r="K3" s="99"/>
    </row>
    <row r="4" spans="1:102" x14ac:dyDescent="0.25">
      <c r="B4" t="s">
        <v>186</v>
      </c>
      <c r="C4">
        <f>COUNTIF($B$11:$B$205,"=AA")</f>
        <v>2</v>
      </c>
      <c r="D4" s="84">
        <f>VLOOKUP($B4,AMAPit!$B$2:$C$8,2,FALSE)</f>
        <v>0</v>
      </c>
      <c r="E4">
        <v>25</v>
      </c>
      <c r="F4" s="90">
        <f t="shared" si="0"/>
        <v>0.08</v>
      </c>
      <c r="G4" s="90">
        <f t="shared" si="0"/>
        <v>0</v>
      </c>
      <c r="H4" s="99">
        <f t="shared" si="1"/>
        <v>0.08</v>
      </c>
      <c r="I4" s="99"/>
      <c r="J4" s="99"/>
      <c r="K4" s="99"/>
    </row>
    <row r="5" spans="1:102" x14ac:dyDescent="0.25">
      <c r="B5" t="s">
        <v>187</v>
      </c>
      <c r="C5">
        <f>COUNTIF($B$11:$B$205,"=A")</f>
        <v>1</v>
      </c>
      <c r="D5" s="84">
        <f>VLOOKUP($B5,AMAPit!$B$2:$C$8,2,FALSE)</f>
        <v>0</v>
      </c>
      <c r="E5">
        <v>25</v>
      </c>
      <c r="F5" s="90">
        <f t="shared" si="0"/>
        <v>0.04</v>
      </c>
      <c r="G5" s="90">
        <f t="shared" si="0"/>
        <v>0</v>
      </c>
      <c r="H5" s="99">
        <f t="shared" si="1"/>
        <v>0.04</v>
      </c>
      <c r="I5" s="99"/>
      <c r="J5" s="99"/>
      <c r="K5" s="99"/>
    </row>
    <row r="6" spans="1:102" x14ac:dyDescent="0.25">
      <c r="B6" t="s">
        <v>278</v>
      </c>
      <c r="C6">
        <f>COUNTIF($B$11:$B$205,"=A S")</f>
        <v>0</v>
      </c>
      <c r="D6" s="84" t="e">
        <f>VLOOKUP($B6,AMAPit!$B$2:$C$8,2,FALSE)</f>
        <v>#N/A</v>
      </c>
      <c r="E6">
        <v>35</v>
      </c>
      <c r="F6" s="90">
        <f t="shared" si="0"/>
        <v>0</v>
      </c>
      <c r="G6" s="90" t="e">
        <f t="shared" si="0"/>
        <v>#N/A</v>
      </c>
      <c r="H6" s="99" t="e">
        <f t="shared" si="1"/>
        <v>#N/A</v>
      </c>
      <c r="I6" s="99"/>
      <c r="J6" s="99"/>
      <c r="K6" s="99"/>
    </row>
    <row r="7" spans="1:102" x14ac:dyDescent="0.25">
      <c r="B7" t="s">
        <v>192</v>
      </c>
      <c r="C7">
        <f>COUNTBLANK($B$11:$B$205)-COUNTBLANK($H$11:$H$205)</f>
        <v>118</v>
      </c>
      <c r="D7" s="84">
        <f>VLOOKUP($B7,AMAPit!$B$2:$C$8,2,FALSE)</f>
        <v>74</v>
      </c>
      <c r="F7" s="90"/>
      <c r="G7" s="90"/>
      <c r="H7" s="99"/>
      <c r="I7" s="99"/>
      <c r="J7" s="99"/>
      <c r="K7" s="99"/>
    </row>
    <row r="8" spans="1:102" x14ac:dyDescent="0.25">
      <c r="B8" t="s">
        <v>193</v>
      </c>
      <c r="C8">
        <f>SUM(C2:C7)</f>
        <v>136</v>
      </c>
      <c r="D8" t="e">
        <f>SUM(D2:D7)</f>
        <v>#N/A</v>
      </c>
      <c r="E8">
        <f>SUM(E2:E7)</f>
        <v>135</v>
      </c>
      <c r="F8" s="90">
        <f t="shared" si="0"/>
        <v>1.0074074074074073</v>
      </c>
      <c r="G8" s="90" t="e">
        <f t="shared" si="0"/>
        <v>#N/A</v>
      </c>
      <c r="H8" s="99" t="e">
        <f t="shared" si="1"/>
        <v>#N/A</v>
      </c>
      <c r="I8" s="99"/>
      <c r="J8" s="99"/>
      <c r="K8" s="99"/>
    </row>
    <row r="9" spans="1:102" x14ac:dyDescent="0.25">
      <c r="BV9" s="84">
        <v>19</v>
      </c>
      <c r="BW9" s="84">
        <v>20</v>
      </c>
      <c r="BX9" s="306">
        <v>21</v>
      </c>
      <c r="BY9" s="306">
        <v>22</v>
      </c>
      <c r="BZ9" s="306">
        <v>23</v>
      </c>
      <c r="CA9" s="306">
        <v>24</v>
      </c>
      <c r="CB9" s="306">
        <v>25</v>
      </c>
      <c r="CC9" s="306">
        <v>26</v>
      </c>
      <c r="CD9" s="306">
        <v>27</v>
      </c>
      <c r="CE9" s="306">
        <v>28</v>
      </c>
      <c r="CF9" s="306">
        <v>29</v>
      </c>
      <c r="CG9" s="306">
        <v>30</v>
      </c>
      <c r="CH9" s="306">
        <v>31</v>
      </c>
      <c r="CI9" s="306">
        <v>32</v>
      </c>
      <c r="CJ9" s="306">
        <v>33</v>
      </c>
      <c r="CK9" s="306">
        <v>34</v>
      </c>
      <c r="CL9" s="306">
        <v>35</v>
      </c>
      <c r="CM9" s="306">
        <v>36</v>
      </c>
      <c r="CN9" s="306">
        <v>37</v>
      </c>
      <c r="CO9" s="306">
        <v>38</v>
      </c>
      <c r="CP9" s="306">
        <v>39</v>
      </c>
      <c r="CQ9" s="306">
        <v>40</v>
      </c>
      <c r="CR9" s="306">
        <v>41</v>
      </c>
      <c r="CS9" s="306">
        <v>42</v>
      </c>
    </row>
    <row r="10" spans="1:102" s="97" customFormat="1" x14ac:dyDescent="0.25">
      <c r="A10" s="97" t="s">
        <v>12</v>
      </c>
      <c r="B10" s="4" t="s">
        <v>183</v>
      </c>
      <c r="C10" s="4" t="s">
        <v>97</v>
      </c>
      <c r="D10" s="4" t="s">
        <v>156</v>
      </c>
      <c r="E10" s="4" t="s">
        <v>157</v>
      </c>
      <c r="F10" s="4" t="s">
        <v>92</v>
      </c>
      <c r="G10" s="4" t="s">
        <v>911</v>
      </c>
      <c r="H10" s="4" t="s">
        <v>398</v>
      </c>
      <c r="I10" s="4" t="s">
        <v>399</v>
      </c>
      <c r="J10" s="4" t="s">
        <v>318</v>
      </c>
      <c r="K10" s="4" t="s">
        <v>274</v>
      </c>
      <c r="L10" s="4" t="s">
        <v>70</v>
      </c>
      <c r="M10" s="4" t="s">
        <v>80</v>
      </c>
      <c r="N10" s="4" t="s">
        <v>81</v>
      </c>
      <c r="O10" s="4" t="s">
        <v>13</v>
      </c>
      <c r="P10" s="2" t="s">
        <v>14</v>
      </c>
      <c r="Q10" s="4" t="s">
        <v>15</v>
      </c>
      <c r="R10" s="2" t="s">
        <v>16</v>
      </c>
      <c r="S10" s="4" t="s">
        <v>17</v>
      </c>
      <c r="T10" s="4" t="s">
        <v>18</v>
      </c>
      <c r="U10" s="4" t="s">
        <v>19</v>
      </c>
      <c r="V10" s="4" t="s">
        <v>20</v>
      </c>
      <c r="W10" s="2" t="s">
        <v>21</v>
      </c>
      <c r="X10" s="4" t="s">
        <v>22</v>
      </c>
      <c r="Y10" s="4" t="s">
        <v>23</v>
      </c>
      <c r="Z10" s="4" t="s">
        <v>24</v>
      </c>
      <c r="AA10" s="4" t="s">
        <v>25</v>
      </c>
      <c r="AB10" s="2" t="s">
        <v>26</v>
      </c>
      <c r="AC10" s="4" t="s">
        <v>178</v>
      </c>
      <c r="AD10" s="4" t="s">
        <v>275</v>
      </c>
      <c r="AE10" s="4" t="s">
        <v>276</v>
      </c>
      <c r="AF10" s="4" t="s">
        <v>759</v>
      </c>
      <c r="AG10" s="4" t="s">
        <v>71</v>
      </c>
      <c r="AH10" s="4" t="s">
        <v>73</v>
      </c>
      <c r="AI10" s="4" t="s">
        <v>74</v>
      </c>
      <c r="AJ10" s="4" t="s">
        <v>75</v>
      </c>
      <c r="AK10" s="4" t="s">
        <v>76</v>
      </c>
      <c r="AL10" s="4" t="s">
        <v>77</v>
      </c>
      <c r="AM10" s="4" t="s">
        <v>78</v>
      </c>
      <c r="AN10" s="2" t="s">
        <v>79</v>
      </c>
      <c r="AO10" s="4" t="s">
        <v>27</v>
      </c>
      <c r="AP10" s="4" t="s">
        <v>28</v>
      </c>
      <c r="AQ10" s="2" t="s">
        <v>29</v>
      </c>
      <c r="AR10" s="4" t="s">
        <v>30</v>
      </c>
      <c r="AS10" s="2" t="s">
        <v>31</v>
      </c>
      <c r="AT10" s="4" t="s">
        <v>760</v>
      </c>
      <c r="AU10" s="4" t="s">
        <v>94</v>
      </c>
      <c r="AV10" s="4" t="s">
        <v>67</v>
      </c>
      <c r="AW10" s="4" t="s">
        <v>95</v>
      </c>
      <c r="AX10" s="4" t="s">
        <v>68</v>
      </c>
      <c r="AY10" s="4" t="s">
        <v>66</v>
      </c>
      <c r="AZ10" s="4" t="s">
        <v>69</v>
      </c>
      <c r="BA10" s="29" t="s">
        <v>138</v>
      </c>
      <c r="BB10" s="4" t="s">
        <v>139</v>
      </c>
      <c r="BC10" s="4" t="s">
        <v>140</v>
      </c>
      <c r="BD10" s="4" t="s">
        <v>141</v>
      </c>
      <c r="BE10" s="4" t="s">
        <v>142</v>
      </c>
      <c r="BF10" s="4" t="s">
        <v>143</v>
      </c>
      <c r="BG10" s="4" t="s">
        <v>144</v>
      </c>
      <c r="BH10" s="4" t="s">
        <v>145</v>
      </c>
      <c r="BI10" s="2" t="s">
        <v>146</v>
      </c>
      <c r="BJ10" s="29" t="s">
        <v>147</v>
      </c>
      <c r="BK10" s="4" t="s">
        <v>148</v>
      </c>
      <c r="BL10" s="4" t="s">
        <v>149</v>
      </c>
      <c r="BM10" s="4" t="s">
        <v>150</v>
      </c>
      <c r="BN10" s="4" t="s">
        <v>151</v>
      </c>
      <c r="BO10" s="4" t="s">
        <v>152</v>
      </c>
      <c r="BP10" s="4" t="s">
        <v>153</v>
      </c>
      <c r="BQ10" s="4" t="s">
        <v>154</v>
      </c>
      <c r="BR10" s="2" t="s">
        <v>155</v>
      </c>
      <c r="BS10" s="2" t="s">
        <v>84</v>
      </c>
      <c r="BT10" s="4" t="s">
        <v>89</v>
      </c>
      <c r="BU10" s="4" t="s">
        <v>93</v>
      </c>
      <c r="BV10" s="97" t="s">
        <v>1073</v>
      </c>
      <c r="BW10" s="97" t="s">
        <v>1074</v>
      </c>
      <c r="BX10" s="97" t="s">
        <v>1075</v>
      </c>
      <c r="BY10" s="97" t="s">
        <v>1076</v>
      </c>
      <c r="BZ10" s="97" t="s">
        <v>1077</v>
      </c>
      <c r="CA10" s="97" t="s">
        <v>1078</v>
      </c>
      <c r="CB10" s="97" t="s">
        <v>1079</v>
      </c>
      <c r="CC10" s="97" t="s">
        <v>1080</v>
      </c>
      <c r="CD10" s="97" t="s">
        <v>1081</v>
      </c>
      <c r="CE10" s="97" t="s">
        <v>1082</v>
      </c>
      <c r="CF10" s="97" t="s">
        <v>1083</v>
      </c>
      <c r="CG10" s="97" t="s">
        <v>1084</v>
      </c>
      <c r="CH10" s="97" t="s">
        <v>1085</v>
      </c>
      <c r="CI10" s="97" t="s">
        <v>1086</v>
      </c>
      <c r="CJ10" s="97" t="s">
        <v>1087</v>
      </c>
      <c r="CK10" s="97" t="s">
        <v>1088</v>
      </c>
      <c r="CL10" s="97" t="s">
        <v>1089</v>
      </c>
      <c r="CM10" s="97" t="s">
        <v>1090</v>
      </c>
      <c r="CN10" s="97" t="s">
        <v>1091</v>
      </c>
      <c r="CO10" s="97" t="s">
        <v>1092</v>
      </c>
      <c r="CP10" s="97" t="s">
        <v>1093</v>
      </c>
      <c r="CQ10" s="97" t="s">
        <v>1094</v>
      </c>
      <c r="CR10" s="97" t="s">
        <v>1095</v>
      </c>
      <c r="CS10" s="97" t="s">
        <v>1096</v>
      </c>
      <c r="CT10" s="97" t="s">
        <v>202</v>
      </c>
      <c r="CU10" s="97" t="s">
        <v>1097</v>
      </c>
      <c r="CV10" s="97" t="s">
        <v>1098</v>
      </c>
      <c r="CW10" s="97" t="s">
        <v>1099</v>
      </c>
      <c r="CX10" s="97" t="s">
        <v>193</v>
      </c>
    </row>
    <row r="11" spans="1:102" x14ac:dyDescent="0.25">
      <c r="A11" s="306" t="s">
        <v>505</v>
      </c>
      <c r="B11" t="s">
        <v>184</v>
      </c>
      <c r="D11">
        <v>4</v>
      </c>
      <c r="E11">
        <v>4</v>
      </c>
      <c r="F11" t="s">
        <v>81</v>
      </c>
      <c r="G11" t="s">
        <v>73</v>
      </c>
      <c r="H11" t="s">
        <v>715</v>
      </c>
      <c r="I11" s="305" t="s">
        <v>1131</v>
      </c>
      <c r="J11" t="s">
        <v>763</v>
      </c>
      <c r="K11" t="s">
        <v>402</v>
      </c>
      <c r="L11">
        <v>29</v>
      </c>
      <c r="M11" t="s">
        <v>83</v>
      </c>
      <c r="N11" t="s">
        <v>83</v>
      </c>
      <c r="O11" t="s">
        <v>865</v>
      </c>
      <c r="P11" s="3" t="s">
        <v>865</v>
      </c>
      <c r="Q11" t="s">
        <v>200</v>
      </c>
      <c r="R11" s="3" t="s">
        <v>200</v>
      </c>
      <c r="S11">
        <v>6</v>
      </c>
      <c r="T11">
        <v>6</v>
      </c>
      <c r="U11">
        <v>8</v>
      </c>
      <c r="V11">
        <v>8</v>
      </c>
      <c r="W11" s="3">
        <v>5</v>
      </c>
      <c r="X11">
        <v>7</v>
      </c>
      <c r="Y11">
        <v>7</v>
      </c>
      <c r="Z11">
        <v>8</v>
      </c>
      <c r="AA11">
        <v>8</v>
      </c>
      <c r="AB11" s="3">
        <v>6</v>
      </c>
      <c r="AC11">
        <v>3</v>
      </c>
      <c r="AD11">
        <v>5</v>
      </c>
      <c r="AE11">
        <v>1</v>
      </c>
      <c r="AF11" s="305">
        <v>1</v>
      </c>
      <c r="AG11" t="s">
        <v>32</v>
      </c>
      <c r="AH11">
        <v>8</v>
      </c>
      <c r="AI11" t="s">
        <v>32</v>
      </c>
      <c r="AJ11" t="s">
        <v>32</v>
      </c>
      <c r="AK11" t="s">
        <v>32</v>
      </c>
      <c r="AL11">
        <v>3</v>
      </c>
      <c r="AM11" t="s">
        <v>32</v>
      </c>
      <c r="AN11" s="3">
        <v>3</v>
      </c>
      <c r="AO11">
        <v>3</v>
      </c>
      <c r="AP11">
        <v>4</v>
      </c>
      <c r="AQ11" s="3">
        <v>6</v>
      </c>
      <c r="AR11">
        <v>8900000</v>
      </c>
      <c r="AS11" s="3">
        <v>2</v>
      </c>
      <c r="AT11" s="372" t="s">
        <v>199</v>
      </c>
      <c r="AU11" s="6">
        <f t="shared" ref="AU11:AU42" si="2">AVERAGE(S11,U11,V11)+IF(OR(S11&gt;7,AND(S11&gt;5,V11&gt;5)),0.5,0)+IF(U11&gt;7,0.25,0)+IF(S11&lt;6,-0.5*(6-S11),0)</f>
        <v>8.0833333333333321</v>
      </c>
      <c r="AV11" s="9" t="str">
        <f t="shared" ref="AV11:AV42" si="3">IF(AU11&gt;9,"SuperStar",IF(AU11&gt;8,"Star",IF(AU11&gt;6.5,"GoodReg",IF(AU11&gt;5,"Reg",IF(AU11&gt;4,"Bench","Minors")))))</f>
        <v>Star</v>
      </c>
      <c r="AW11" s="6">
        <f t="shared" ref="AW11:AW42" si="4">AVERAGE(X11,Z11,AA11)+IF(OR(X11&gt;7,AND(X11&gt;5,AA11&gt;5)),0.5,0)+IF(Z11&gt;7,0.25,0)+IF(X11&lt;6,-0.5*(6-X11),0)</f>
        <v>8.4166666666666679</v>
      </c>
      <c r="AX11" s="6" t="str">
        <f t="shared" ref="AX11:AX42" si="5">IF(AW11&gt;9,"SuperStar",IF(AW11&gt;8,"Star",IF(AW11&gt;6.5,"GoodReg",IF(AW11&gt;5,"Reg",IF(AW11&gt;4,"Bench","Minors")))))</f>
        <v>Star</v>
      </c>
      <c r="AY11" s="9">
        <f t="shared" ref="AY11:AY42" si="6">MIN(AU11+(MAX(0,25-L11))^1.5,AW11)</f>
        <v>8.0833333333333321</v>
      </c>
      <c r="AZ11" s="9" t="str">
        <f t="shared" ref="AZ11:AZ42" si="7">IF(AY11&gt;9,"SuperStar",IF(AY11&gt;8,"Star",IF(AY11&gt;6.5,"GoodReg",IF(AY11&gt;5,"Reg",IF(AY11&gt;4,"Bench","Minors")))))</f>
        <v>Star</v>
      </c>
      <c r="BA11" s="46">
        <f t="shared" ref="BA11:BA42" si="8">IF(AND(OR(S11+V11&gt;12,AND(S11&gt;6,V11&gt;6)),AO11&gt;6,OR(AP11&gt;=AO11,AP11&gt;6)),1,0)</f>
        <v>0</v>
      </c>
      <c r="BB11" s="5">
        <f t="shared" ref="BB11:BB42" si="9">IF(OR(AND(S11&gt;6,W11&gt;6),S11+V11&gt;12),1,0)</f>
        <v>1</v>
      </c>
      <c r="BC11" s="5">
        <f t="shared" ref="BC11:BC42" si="10">IF(AND(S11&gt;6,U11&gt;6,V11&gt;6),1,0)</f>
        <v>0</v>
      </c>
      <c r="BD11" s="5">
        <f t="shared" ref="BD11:BD42" si="11">IF(AND(U11&gt;7,OR(S11&gt;6,V11&gt;6)),1,0)</f>
        <v>1</v>
      </c>
      <c r="BE11" s="5">
        <f t="shared" ref="BE11:BE42" si="12">IF(AND(U11&gt;6,OR(S11&gt;6,V11&gt;6)),1,0)</f>
        <v>1</v>
      </c>
      <c r="BF11" s="5">
        <f t="shared" ref="BF11:BF42" si="13">IF(AND(OR(S11&gt;6,U11&gt;6),OR(S11&gt;6,V11&gt;6)),1,0)</f>
        <v>1</v>
      </c>
      <c r="BG11" s="5">
        <f t="shared" ref="BG11:BG42" si="14">IF(AND(S11&gt;4,OR(S11&gt;6,U11&gt;6,V11&gt;6)),1,0)</f>
        <v>1</v>
      </c>
      <c r="BH11" s="5">
        <f t="shared" ref="BH11:BH42" si="15">IF(AND(S11&gt;4,OR(S11&gt;6,T11&gt;6,U11&gt;6,V11&gt;6)),1,0)</f>
        <v>1</v>
      </c>
      <c r="BI11" s="3">
        <f t="shared" ref="BI11:BI42" si="16">IF(AND(S11&gt;4,MAX(S11:W11)&gt;6),1,0)</f>
        <v>1</v>
      </c>
      <c r="BJ11" s="46">
        <f t="shared" ref="BJ11:BJ42" si="17">IF(AND(OR(X11+AA11&gt;12,AND(X11&gt;6,AA11&gt;6)),AO11&gt;6,OR(AP11&gt;=AO11,AP11&gt;6)),1,0)</f>
        <v>0</v>
      </c>
      <c r="BK11" s="5">
        <f t="shared" ref="BK11:BK42" si="18">IF(OR(AND(X11&gt;6,AB11&gt;6),X11+AA11&gt;12),1,0)</f>
        <v>1</v>
      </c>
      <c r="BL11" s="5">
        <f t="shared" ref="BL11:BL42" si="19">IF(AND(X11&gt;6,Z11&gt;6,AA11&gt;6),1,0)</f>
        <v>1</v>
      </c>
      <c r="BM11" s="5">
        <f t="shared" ref="BM11:BM42" si="20">IF(AND(Z11&gt;7,OR(X11&gt;6,AA11&gt;6)),1,0)</f>
        <v>1</v>
      </c>
      <c r="BN11" s="5">
        <f t="shared" ref="BN11:BN42" si="21">IF(AND(Z11&gt;6,OR(X11&gt;6,AA11&gt;6)),1,0)</f>
        <v>1</v>
      </c>
      <c r="BO11" s="5">
        <f t="shared" ref="BO11:BO42" si="22">IF(AND(OR(X11&gt;6,Z11&gt;6),OR(X11&gt;6,AA11&gt;6)),1,0)</f>
        <v>1</v>
      </c>
      <c r="BP11" s="5">
        <f t="shared" ref="BP11:BP42" si="23">IF(AND(X11&gt;4,OR(X11&gt;6,Z11&gt;6,AA11&gt;6)),1,0)</f>
        <v>1</v>
      </c>
      <c r="BQ11" s="5">
        <f t="shared" ref="BQ11:BQ42" si="24">IF(AND(X11&gt;4,OR(X11&gt;6,Y11&gt;6,Z11&gt;6,AA11&gt;6)),1,0)</f>
        <v>1</v>
      </c>
      <c r="BR11" s="3">
        <f t="shared" ref="BR11:BR42" si="25">IF(AND(X11&gt;4,MAX(X11:AB11)&gt;6),1,0)</f>
        <v>1</v>
      </c>
      <c r="BS11" s="3">
        <f t="shared" ref="BS11:BS42" si="26">IF(AVERAGE(AO11:AP11)&gt;9,1,0)+IF(AVERAGE(AO11:AP11)&gt;7,1,0)+IF(AO11&gt;7,1,0)+IF(AP11&gt;7,1,0)+IF(AQ11&gt;8,1,0)+IF(AQ11&gt;6,1,0)</f>
        <v>0</v>
      </c>
      <c r="BT11" s="7">
        <f t="shared" ref="BT11:BT42" si="27">IF(OR(MAX(AG11,AH11,AL11,AN11)&gt;6,MAX(AI11,AJ11,AK11,AM11)&gt;7),2,IF(MAX(AG11:AN11)&gt;4,1,0))</f>
        <v>2</v>
      </c>
      <c r="BU11" t="str">
        <f t="shared" ref="BU11:BU42" si="28">IF(AS11=1,"Yes","")</f>
        <v/>
      </c>
      <c r="BV11" s="84" t="e">
        <f>IF(S11="-","-",VLOOKUP($A11,AMABat!$A$10:$AS$1137,BV$9,FALSE)-S11)</f>
        <v>#N/A</v>
      </c>
      <c r="BW11" s="306" t="e">
        <f>IF(T11="-","-",VLOOKUP($A11,AMABat!$A$10:$AS$1137,BW$9,FALSE)-T11)</f>
        <v>#N/A</v>
      </c>
      <c r="BX11" s="306" t="e">
        <f>IF(U11="-","-",VLOOKUP($A11,AMABat!$A$10:$AS$1137,BX$9,FALSE)-U11)</f>
        <v>#N/A</v>
      </c>
      <c r="BY11" s="306" t="e">
        <f>IF(V11="-","-",VLOOKUP($A11,AMABat!$A$10:$AS$1137,BY$9,FALSE)-V11)</f>
        <v>#N/A</v>
      </c>
      <c r="BZ11" s="306" t="e">
        <f>IF(W11="-","-",VLOOKUP($A11,AMABat!$A$10:$AS$1137,BZ$9,FALSE)-W11)</f>
        <v>#N/A</v>
      </c>
      <c r="CA11" s="306" t="e">
        <f>IF(X11="-","-",VLOOKUP($A11,AMABat!$A$10:$AS$1137,CA$9,FALSE)-X11)</f>
        <v>#N/A</v>
      </c>
      <c r="CB11" s="306" t="e">
        <f>IF(Y11="-","-",VLOOKUP($A11,AMABat!$A$10:$AS$1137,CB$9,FALSE)-Y11)</f>
        <v>#N/A</v>
      </c>
      <c r="CC11" s="306" t="e">
        <f>IF(Z11="-","-",VLOOKUP($A11,AMABat!$A$10:$AS$1137,CC$9,FALSE)-Z11)</f>
        <v>#N/A</v>
      </c>
      <c r="CD11" s="306" t="e">
        <f>IF(AA11="-","-",VLOOKUP($A11,AMABat!$A$10:$AS$1137,CD$9,FALSE)-AA11)</f>
        <v>#N/A</v>
      </c>
      <c r="CE11" s="306" t="e">
        <f>IF(AB11="-","-",VLOOKUP($A11,AMABat!$A$10:$AS$1137,CE$9,FALSE)-AB11)</f>
        <v>#N/A</v>
      </c>
      <c r="CF11" s="306" t="e">
        <f>IF(AC11="-","-",VLOOKUP($A11,AMABat!$A$10:$AS$1137,CF$9,FALSE)-AC11)</f>
        <v>#N/A</v>
      </c>
      <c r="CG11" s="306" t="e">
        <f>IF(AD11="-","-",VLOOKUP($A11,AMABat!$A$10:$AS$1137,CG$9,FALSE)-AD11)</f>
        <v>#N/A</v>
      </c>
      <c r="CH11" s="306" t="e">
        <f>IF(AE11="-","-",VLOOKUP($A11,AMABat!$A$10:$AS$1137,CH$9,FALSE)-AE11)</f>
        <v>#N/A</v>
      </c>
      <c r="CI11" s="306" t="str">
        <f>IF(AG11="-","-",VLOOKUP($A11,AMABat!$A$10:$AS$1137,CI$9,FALSE)-AG11)</f>
        <v>-</v>
      </c>
      <c r="CJ11" s="306" t="e">
        <f>IF(AH11="-","-",VLOOKUP($A11,AMABat!$A$10:$AS$1137,CJ$9,FALSE)-AH11)</f>
        <v>#N/A</v>
      </c>
      <c r="CK11" s="306" t="str">
        <f>IF(AI11="-","-",VLOOKUP($A11,AMABat!$A$10:$AS$1137,CK$9,FALSE)-AI11)</f>
        <v>-</v>
      </c>
      <c r="CL11" s="306" t="str">
        <f>IF(AJ11="-","-",VLOOKUP($A11,AMABat!$A$10:$AS$1137,CL$9,FALSE)-AJ11)</f>
        <v>-</v>
      </c>
      <c r="CM11" s="306" t="str">
        <f>IF(AK11="-","-",VLOOKUP($A11,AMABat!$A$10:$AS$1137,CM$9,FALSE)-AK11)</f>
        <v>-</v>
      </c>
      <c r="CN11" s="306" t="e">
        <f>IF(AL11="-","-",VLOOKUP($A11,AMABat!$A$10:$AS$1137,CN$9,FALSE)-AL11)</f>
        <v>#N/A</v>
      </c>
      <c r="CO11" s="306" t="str">
        <f>IF(AM11="-","-",VLOOKUP($A11,AMABat!$A$10:$AS$1137,CO$9,FALSE)-AM11)</f>
        <v>-</v>
      </c>
      <c r="CP11" s="306" t="e">
        <f>IF(AN11="-","-",VLOOKUP($A11,AMABat!$A$10:$AS$1137,CP$9,FALSE)-AN11)</f>
        <v>#N/A</v>
      </c>
      <c r="CQ11" s="306" t="e">
        <f>IF(AO11="-","-",VLOOKUP($A11,AMABat!$A$10:$AS$1137,CQ$9,FALSE)-AO11)</f>
        <v>#N/A</v>
      </c>
      <c r="CR11" s="306" t="e">
        <f>IF(AP11="-","-",VLOOKUP($A11,AMABat!$A$10:$AS$1137,CR$9,FALSE)-AP11)</f>
        <v>#N/A</v>
      </c>
      <c r="CS11" s="306" t="e">
        <f>IF(AQ11="-","-",VLOOKUP($A11,AMABat!$A$10:$AS$1137,CS$9,FALSE)-AQ11)</f>
        <v>#N/A</v>
      </c>
      <c r="CT11" s="84" t="e">
        <f t="shared" ref="CT11:CT42" si="29">SUM(BV11:BZ11)</f>
        <v>#N/A</v>
      </c>
      <c r="CU11" s="84" t="e">
        <f t="shared" ref="CU11:CU42" si="30">SUM(CA11:CE11)</f>
        <v>#N/A</v>
      </c>
      <c r="CV11" s="84" t="e">
        <f t="shared" ref="CV11:CV42" si="31">SUM(CF11:CP11)</f>
        <v>#N/A</v>
      </c>
      <c r="CW11" s="84" t="e">
        <f t="shared" ref="CW11:CW42" si="32">SUM(CQ11:CS11)</f>
        <v>#N/A</v>
      </c>
      <c r="CX11" s="84" t="e">
        <f t="shared" ref="CX11:CX42" si="33">SUM(CT11:CW11)</f>
        <v>#N/A</v>
      </c>
    </row>
    <row r="12" spans="1:102" x14ac:dyDescent="0.25">
      <c r="A12" s="306" t="s">
        <v>504</v>
      </c>
      <c r="B12" s="305" t="s">
        <v>184</v>
      </c>
      <c r="C12" s="305"/>
      <c r="D12" s="305">
        <v>2</v>
      </c>
      <c r="E12" s="305">
        <v>2</v>
      </c>
      <c r="F12" s="305" t="s">
        <v>72</v>
      </c>
      <c r="G12" t="s">
        <v>79</v>
      </c>
      <c r="H12" t="s">
        <v>761</v>
      </c>
      <c r="I12" s="305" t="s">
        <v>762</v>
      </c>
      <c r="J12" t="s">
        <v>763</v>
      </c>
      <c r="K12" t="s">
        <v>402</v>
      </c>
      <c r="L12">
        <v>23</v>
      </c>
      <c r="M12" t="s">
        <v>82</v>
      </c>
      <c r="N12" t="s">
        <v>82</v>
      </c>
      <c r="O12" t="s">
        <v>764</v>
      </c>
      <c r="P12" s="3" t="s">
        <v>765</v>
      </c>
      <c r="Q12" t="s">
        <v>200</v>
      </c>
      <c r="R12" s="3" t="s">
        <v>200</v>
      </c>
      <c r="S12">
        <v>8</v>
      </c>
      <c r="T12">
        <v>8</v>
      </c>
      <c r="U12">
        <v>3</v>
      </c>
      <c r="V12">
        <v>8</v>
      </c>
      <c r="W12" s="3">
        <v>8</v>
      </c>
      <c r="X12">
        <v>9</v>
      </c>
      <c r="Y12">
        <v>9</v>
      </c>
      <c r="Z12">
        <v>3</v>
      </c>
      <c r="AA12">
        <v>8</v>
      </c>
      <c r="AB12" s="3">
        <v>8</v>
      </c>
      <c r="AC12">
        <v>9</v>
      </c>
      <c r="AD12">
        <v>10</v>
      </c>
      <c r="AE12">
        <v>1</v>
      </c>
      <c r="AF12" s="305">
        <v>1</v>
      </c>
      <c r="AG12" t="s">
        <v>32</v>
      </c>
      <c r="AH12" t="s">
        <v>32</v>
      </c>
      <c r="AI12" t="s">
        <v>32</v>
      </c>
      <c r="AJ12" t="s">
        <v>32</v>
      </c>
      <c r="AK12" t="s">
        <v>32</v>
      </c>
      <c r="AL12">
        <v>5</v>
      </c>
      <c r="AM12" t="s">
        <v>32</v>
      </c>
      <c r="AN12" s="3">
        <v>6</v>
      </c>
      <c r="AO12">
        <v>10</v>
      </c>
      <c r="AP12">
        <v>10</v>
      </c>
      <c r="AQ12" s="3">
        <v>7</v>
      </c>
      <c r="AR12" s="78">
        <v>510000</v>
      </c>
      <c r="AS12" s="3" t="s">
        <v>33</v>
      </c>
      <c r="AT12" s="372" t="s">
        <v>199</v>
      </c>
      <c r="AU12" s="6">
        <f t="shared" si="2"/>
        <v>6.833333333333333</v>
      </c>
      <c r="AV12" s="9" t="str">
        <f t="shared" si="3"/>
        <v>GoodReg</v>
      </c>
      <c r="AW12" s="6">
        <f t="shared" si="4"/>
        <v>7.166666666666667</v>
      </c>
      <c r="AX12" s="6" t="str">
        <f t="shared" si="5"/>
        <v>GoodReg</v>
      </c>
      <c r="AY12" s="9">
        <f t="shared" si="6"/>
        <v>7.166666666666667</v>
      </c>
      <c r="AZ12" s="9" t="str">
        <f t="shared" si="7"/>
        <v>GoodReg</v>
      </c>
      <c r="BA12" s="46">
        <f t="shared" si="8"/>
        <v>1</v>
      </c>
      <c r="BB12" s="5">
        <f t="shared" si="9"/>
        <v>1</v>
      </c>
      <c r="BC12" s="5">
        <f t="shared" si="10"/>
        <v>0</v>
      </c>
      <c r="BD12" s="5">
        <f t="shared" si="11"/>
        <v>0</v>
      </c>
      <c r="BE12" s="5">
        <f t="shared" si="12"/>
        <v>0</v>
      </c>
      <c r="BF12" s="5">
        <f t="shared" si="13"/>
        <v>1</v>
      </c>
      <c r="BG12" s="5">
        <f t="shared" si="14"/>
        <v>1</v>
      </c>
      <c r="BH12" s="5">
        <f t="shared" si="15"/>
        <v>1</v>
      </c>
      <c r="BI12" s="3">
        <f t="shared" si="16"/>
        <v>1</v>
      </c>
      <c r="BJ12" s="46">
        <f t="shared" si="17"/>
        <v>1</v>
      </c>
      <c r="BK12" s="5">
        <f t="shared" si="18"/>
        <v>1</v>
      </c>
      <c r="BL12" s="5">
        <f t="shared" si="19"/>
        <v>0</v>
      </c>
      <c r="BM12" s="5">
        <f t="shared" si="20"/>
        <v>0</v>
      </c>
      <c r="BN12" s="5">
        <f t="shared" si="21"/>
        <v>0</v>
      </c>
      <c r="BO12" s="5">
        <f t="shared" si="22"/>
        <v>1</v>
      </c>
      <c r="BP12" s="5">
        <f t="shared" si="23"/>
        <v>1</v>
      </c>
      <c r="BQ12" s="5">
        <f t="shared" si="24"/>
        <v>1</v>
      </c>
      <c r="BR12" s="3">
        <f t="shared" si="25"/>
        <v>1</v>
      </c>
      <c r="BS12" s="3">
        <f t="shared" si="26"/>
        <v>5</v>
      </c>
      <c r="BT12" s="7">
        <f t="shared" si="27"/>
        <v>1</v>
      </c>
      <c r="BU12" t="str">
        <f t="shared" si="28"/>
        <v/>
      </c>
      <c r="BV12" s="306" t="e">
        <f>IF(S12="-","-",VLOOKUP($A12,AMABat!$A$10:$AS$1137,BV$9,FALSE)-S12)</f>
        <v>#N/A</v>
      </c>
      <c r="BW12" s="306" t="e">
        <f>IF(T12="-","-",VLOOKUP($A12,AMABat!$A$10:$AS$1137,BW$9,FALSE)-T12)</f>
        <v>#N/A</v>
      </c>
      <c r="BX12" s="306" t="e">
        <f>IF(U12="-","-",VLOOKUP($A12,AMABat!$A$10:$AS$1137,BX$9,FALSE)-U12)</f>
        <v>#N/A</v>
      </c>
      <c r="BY12" s="306" t="e">
        <f>IF(V12="-","-",VLOOKUP($A12,AMABat!$A$10:$AS$1137,BY$9,FALSE)-V12)</f>
        <v>#N/A</v>
      </c>
      <c r="BZ12" s="306" t="e">
        <f>IF(W12="-","-",VLOOKUP($A12,AMABat!$A$10:$AS$1137,BZ$9,FALSE)-W12)</f>
        <v>#N/A</v>
      </c>
      <c r="CA12" s="306" t="e">
        <f>IF(X12="-","-",VLOOKUP($A12,AMABat!$A$10:$AS$1137,CA$9,FALSE)-X12)</f>
        <v>#N/A</v>
      </c>
      <c r="CB12" s="306" t="e">
        <f>IF(Y12="-","-",VLOOKUP($A12,AMABat!$A$10:$AS$1137,CB$9,FALSE)-Y12)</f>
        <v>#N/A</v>
      </c>
      <c r="CC12" s="306" t="e">
        <f>IF(Z12="-","-",VLOOKUP($A12,AMABat!$A$10:$AS$1137,CC$9,FALSE)-Z12)</f>
        <v>#N/A</v>
      </c>
      <c r="CD12" s="306" t="e">
        <f>IF(AA12="-","-",VLOOKUP($A12,AMABat!$A$10:$AS$1137,CD$9,FALSE)-AA12)</f>
        <v>#N/A</v>
      </c>
      <c r="CE12" s="306" t="e">
        <f>IF(AB12="-","-",VLOOKUP($A12,AMABat!$A$10:$AS$1137,CE$9,FALSE)-AB12)</f>
        <v>#N/A</v>
      </c>
      <c r="CF12" s="306" t="e">
        <f>IF(AC12="-","-",VLOOKUP($A12,AMABat!$A$10:$AS$1137,CF$9,FALSE)-AC12)</f>
        <v>#N/A</v>
      </c>
      <c r="CG12" s="306" t="e">
        <f>IF(AD12="-","-",VLOOKUP($A12,AMABat!$A$10:$AS$1137,CG$9,FALSE)-AD12)</f>
        <v>#N/A</v>
      </c>
      <c r="CH12" s="306" t="e">
        <f>IF(AE12="-","-",VLOOKUP($A12,AMABat!$A$10:$AS$1137,CH$9,FALSE)-AE12)</f>
        <v>#N/A</v>
      </c>
      <c r="CI12" s="306" t="str">
        <f>IF(AG12="-","-",VLOOKUP($A12,AMABat!$A$10:$AS$1137,CI$9,FALSE)-AG12)</f>
        <v>-</v>
      </c>
      <c r="CJ12" s="306" t="str">
        <f>IF(AH12="-","-",VLOOKUP($A12,AMABat!$A$10:$AS$1137,CJ$9,FALSE)-AH12)</f>
        <v>-</v>
      </c>
      <c r="CK12" s="306" t="str">
        <f>IF(AI12="-","-",VLOOKUP($A12,AMABat!$A$10:$AS$1137,CK$9,FALSE)-AI12)</f>
        <v>-</v>
      </c>
      <c r="CL12" s="306" t="str">
        <f>IF(AJ12="-","-",VLOOKUP($A12,AMABat!$A$10:$AS$1137,CL$9,FALSE)-AJ12)</f>
        <v>-</v>
      </c>
      <c r="CM12" s="306" t="str">
        <f>IF(AK12="-","-",VLOOKUP($A12,AMABat!$A$10:$AS$1137,CM$9,FALSE)-AK12)</f>
        <v>-</v>
      </c>
      <c r="CN12" s="306" t="e">
        <f>IF(AL12="-","-",VLOOKUP($A12,AMABat!$A$10:$AS$1137,CN$9,FALSE)-AL12)</f>
        <v>#N/A</v>
      </c>
      <c r="CO12" s="306" t="str">
        <f>IF(AM12="-","-",VLOOKUP($A12,AMABat!$A$10:$AS$1137,CO$9,FALSE)-AM12)</f>
        <v>-</v>
      </c>
      <c r="CP12" s="306" t="e">
        <f>IF(AN12="-","-",VLOOKUP($A12,AMABat!$A$10:$AS$1137,CP$9,FALSE)-AN12)</f>
        <v>#N/A</v>
      </c>
      <c r="CQ12" s="306" t="e">
        <f>IF(AO12="-","-",VLOOKUP($A12,AMABat!$A$10:$AS$1137,CQ$9,FALSE)-AO12)</f>
        <v>#N/A</v>
      </c>
      <c r="CR12" s="306" t="e">
        <f>IF(AP12="-","-",VLOOKUP($A12,AMABat!$A$10:$AS$1137,CR$9,FALSE)-AP12)</f>
        <v>#N/A</v>
      </c>
      <c r="CS12" s="306" t="e">
        <f>IF(AQ12="-","-",VLOOKUP($A12,AMABat!$A$10:$AS$1137,CS$9,FALSE)-AQ12)</f>
        <v>#N/A</v>
      </c>
      <c r="CT12" s="84" t="e">
        <f t="shared" si="29"/>
        <v>#N/A</v>
      </c>
      <c r="CU12" s="84" t="e">
        <f t="shared" si="30"/>
        <v>#N/A</v>
      </c>
      <c r="CV12" s="84" t="e">
        <f t="shared" si="31"/>
        <v>#N/A</v>
      </c>
      <c r="CW12" s="84" t="e">
        <f t="shared" si="32"/>
        <v>#N/A</v>
      </c>
      <c r="CX12" s="84" t="e">
        <f t="shared" si="33"/>
        <v>#N/A</v>
      </c>
    </row>
    <row r="13" spans="1:102" x14ac:dyDescent="0.25">
      <c r="A13" s="306" t="s">
        <v>448</v>
      </c>
      <c r="B13" s="305" t="s">
        <v>184</v>
      </c>
      <c r="C13" s="305"/>
      <c r="D13" s="305">
        <v>1</v>
      </c>
      <c r="E13" s="305">
        <v>1</v>
      </c>
      <c r="F13" s="305" t="s">
        <v>81</v>
      </c>
      <c r="G13" t="s">
        <v>77</v>
      </c>
      <c r="H13" t="s">
        <v>434</v>
      </c>
      <c r="I13" s="305" t="s">
        <v>350</v>
      </c>
      <c r="J13" t="s">
        <v>763</v>
      </c>
      <c r="K13" t="s">
        <v>402</v>
      </c>
      <c r="L13">
        <v>31</v>
      </c>
      <c r="M13" t="s">
        <v>82</v>
      </c>
      <c r="N13" t="s">
        <v>82</v>
      </c>
      <c r="O13" t="s">
        <v>768</v>
      </c>
      <c r="P13" s="224" t="s">
        <v>768</v>
      </c>
      <c r="Q13" t="s">
        <v>201</v>
      </c>
      <c r="R13" s="224" t="s">
        <v>199</v>
      </c>
      <c r="S13">
        <v>7</v>
      </c>
      <c r="T13">
        <v>6</v>
      </c>
      <c r="U13">
        <v>5</v>
      </c>
      <c r="V13">
        <v>7</v>
      </c>
      <c r="W13" s="224">
        <v>6</v>
      </c>
      <c r="X13">
        <v>7</v>
      </c>
      <c r="Y13">
        <v>6</v>
      </c>
      <c r="Z13">
        <v>5</v>
      </c>
      <c r="AA13">
        <v>7</v>
      </c>
      <c r="AB13" s="224">
        <v>6</v>
      </c>
      <c r="AC13">
        <v>5</v>
      </c>
      <c r="AD13">
        <v>10</v>
      </c>
      <c r="AE13">
        <v>1</v>
      </c>
      <c r="AF13" s="305">
        <v>1</v>
      </c>
      <c r="AG13" t="s">
        <v>32</v>
      </c>
      <c r="AH13" t="s">
        <v>32</v>
      </c>
      <c r="AI13" t="s">
        <v>32</v>
      </c>
      <c r="AJ13" t="s">
        <v>32</v>
      </c>
      <c r="AK13" t="s">
        <v>32</v>
      </c>
      <c r="AL13">
        <v>6</v>
      </c>
      <c r="AM13" t="s">
        <v>32</v>
      </c>
      <c r="AN13" s="224">
        <v>6</v>
      </c>
      <c r="AO13">
        <v>8</v>
      </c>
      <c r="AP13">
        <v>10</v>
      </c>
      <c r="AQ13" s="224">
        <v>10</v>
      </c>
      <c r="AR13" s="78">
        <v>9000000</v>
      </c>
      <c r="AS13" s="224">
        <v>6</v>
      </c>
      <c r="AT13" s="372" t="s">
        <v>199</v>
      </c>
      <c r="AU13" s="6">
        <f t="shared" si="2"/>
        <v>6.833333333333333</v>
      </c>
      <c r="AV13" s="9" t="str">
        <f t="shared" si="3"/>
        <v>GoodReg</v>
      </c>
      <c r="AW13" s="6">
        <f t="shared" si="4"/>
        <v>6.833333333333333</v>
      </c>
      <c r="AX13" s="6" t="str">
        <f t="shared" si="5"/>
        <v>GoodReg</v>
      </c>
      <c r="AY13" s="9">
        <f t="shared" si="6"/>
        <v>6.833333333333333</v>
      </c>
      <c r="AZ13" s="9" t="str">
        <f t="shared" si="7"/>
        <v>GoodReg</v>
      </c>
      <c r="BA13" s="46">
        <f t="shared" si="8"/>
        <v>1</v>
      </c>
      <c r="BB13" s="223">
        <f t="shared" si="9"/>
        <v>1</v>
      </c>
      <c r="BC13" s="223">
        <f t="shared" si="10"/>
        <v>0</v>
      </c>
      <c r="BD13" s="223">
        <f t="shared" si="11"/>
        <v>0</v>
      </c>
      <c r="BE13" s="223">
        <f t="shared" si="12"/>
        <v>0</v>
      </c>
      <c r="BF13" s="223">
        <f t="shared" si="13"/>
        <v>1</v>
      </c>
      <c r="BG13" s="223">
        <f t="shared" si="14"/>
        <v>1</v>
      </c>
      <c r="BH13" s="223">
        <f t="shared" si="15"/>
        <v>1</v>
      </c>
      <c r="BI13" s="224">
        <f t="shared" si="16"/>
        <v>1</v>
      </c>
      <c r="BJ13" s="46">
        <f t="shared" si="17"/>
        <v>1</v>
      </c>
      <c r="BK13" s="223">
        <f t="shared" si="18"/>
        <v>1</v>
      </c>
      <c r="BL13" s="223">
        <f t="shared" si="19"/>
        <v>0</v>
      </c>
      <c r="BM13" s="223">
        <f t="shared" si="20"/>
        <v>0</v>
      </c>
      <c r="BN13" s="223">
        <f t="shared" si="21"/>
        <v>0</v>
      </c>
      <c r="BO13" s="223">
        <f t="shared" si="22"/>
        <v>1</v>
      </c>
      <c r="BP13" s="223">
        <f t="shared" si="23"/>
        <v>1</v>
      </c>
      <c r="BQ13" s="223">
        <f t="shared" si="24"/>
        <v>1</v>
      </c>
      <c r="BR13" s="224">
        <f t="shared" si="25"/>
        <v>1</v>
      </c>
      <c r="BS13" s="224">
        <f t="shared" si="26"/>
        <v>5</v>
      </c>
      <c r="BT13" s="7">
        <f t="shared" si="27"/>
        <v>1</v>
      </c>
      <c r="BU13" t="str">
        <f t="shared" si="28"/>
        <v/>
      </c>
      <c r="BV13" s="306" t="e">
        <f>IF(S13="-","-",VLOOKUP($A13,AMABat!$A$10:$AS$1137,BV$9,FALSE)-S13)</f>
        <v>#N/A</v>
      </c>
      <c r="BW13" s="306" t="e">
        <f>IF(T13="-","-",VLOOKUP($A13,AMABat!$A$10:$AS$1137,BW$9,FALSE)-T13)</f>
        <v>#N/A</v>
      </c>
      <c r="BX13" s="306" t="e">
        <f>IF(U13="-","-",VLOOKUP($A13,AMABat!$A$10:$AS$1137,BX$9,FALSE)-U13)</f>
        <v>#N/A</v>
      </c>
      <c r="BY13" s="306" t="e">
        <f>IF(V13="-","-",VLOOKUP($A13,AMABat!$A$10:$AS$1137,BY$9,FALSE)-V13)</f>
        <v>#N/A</v>
      </c>
      <c r="BZ13" s="306" t="e">
        <f>IF(W13="-","-",VLOOKUP($A13,AMABat!$A$10:$AS$1137,BZ$9,FALSE)-W13)</f>
        <v>#N/A</v>
      </c>
      <c r="CA13" s="306" t="e">
        <f>IF(X13="-","-",VLOOKUP($A13,AMABat!$A$10:$AS$1137,CA$9,FALSE)-X13)</f>
        <v>#N/A</v>
      </c>
      <c r="CB13" s="306" t="e">
        <f>IF(Y13="-","-",VLOOKUP($A13,AMABat!$A$10:$AS$1137,CB$9,FALSE)-Y13)</f>
        <v>#N/A</v>
      </c>
      <c r="CC13" s="306" t="e">
        <f>IF(Z13="-","-",VLOOKUP($A13,AMABat!$A$10:$AS$1137,CC$9,FALSE)-Z13)</f>
        <v>#N/A</v>
      </c>
      <c r="CD13" s="306" t="e">
        <f>IF(AA13="-","-",VLOOKUP($A13,AMABat!$A$10:$AS$1137,CD$9,FALSE)-AA13)</f>
        <v>#N/A</v>
      </c>
      <c r="CE13" s="306" t="e">
        <f>IF(AB13="-","-",VLOOKUP($A13,AMABat!$A$10:$AS$1137,CE$9,FALSE)-AB13)</f>
        <v>#N/A</v>
      </c>
      <c r="CF13" s="306" t="e">
        <f>IF(AC13="-","-",VLOOKUP($A13,AMABat!$A$10:$AS$1137,CF$9,FALSE)-AC13)</f>
        <v>#N/A</v>
      </c>
      <c r="CG13" s="306" t="e">
        <f>IF(AD13="-","-",VLOOKUP($A13,AMABat!$A$10:$AS$1137,CG$9,FALSE)-AD13)</f>
        <v>#N/A</v>
      </c>
      <c r="CH13" s="306" t="e">
        <f>IF(AE13="-","-",VLOOKUP($A13,AMABat!$A$10:$AS$1137,CH$9,FALSE)-AE13)</f>
        <v>#N/A</v>
      </c>
      <c r="CI13" s="306" t="str">
        <f>IF(AG13="-","-",VLOOKUP($A13,AMABat!$A$10:$AS$1137,CI$9,FALSE)-AG13)</f>
        <v>-</v>
      </c>
      <c r="CJ13" s="306" t="str">
        <f>IF(AH13="-","-",VLOOKUP($A13,AMABat!$A$10:$AS$1137,CJ$9,FALSE)-AH13)</f>
        <v>-</v>
      </c>
      <c r="CK13" s="306" t="str">
        <f>IF(AI13="-","-",VLOOKUP($A13,AMABat!$A$10:$AS$1137,CK$9,FALSE)-AI13)</f>
        <v>-</v>
      </c>
      <c r="CL13" s="306" t="str">
        <f>IF(AJ13="-","-",VLOOKUP($A13,AMABat!$A$10:$AS$1137,CL$9,FALSE)-AJ13)</f>
        <v>-</v>
      </c>
      <c r="CM13" s="306" t="str">
        <f>IF(AK13="-","-",VLOOKUP($A13,AMABat!$A$10:$AS$1137,CM$9,FALSE)-AK13)</f>
        <v>-</v>
      </c>
      <c r="CN13" s="306" t="e">
        <f>IF(AL13="-","-",VLOOKUP($A13,AMABat!$A$10:$AS$1137,CN$9,FALSE)-AL13)</f>
        <v>#N/A</v>
      </c>
      <c r="CO13" s="306" t="str">
        <f>IF(AM13="-","-",VLOOKUP($A13,AMABat!$A$10:$AS$1137,CO$9,FALSE)-AM13)</f>
        <v>-</v>
      </c>
      <c r="CP13" s="306" t="e">
        <f>IF(AN13="-","-",VLOOKUP($A13,AMABat!$A$10:$AS$1137,CP$9,FALSE)-AN13)</f>
        <v>#N/A</v>
      </c>
      <c r="CQ13" s="306" t="e">
        <f>IF(AO13="-","-",VLOOKUP($A13,AMABat!$A$10:$AS$1137,CQ$9,FALSE)-AO13)</f>
        <v>#N/A</v>
      </c>
      <c r="CR13" s="306" t="e">
        <f>IF(AP13="-","-",VLOOKUP($A13,AMABat!$A$10:$AS$1137,CR$9,FALSE)-AP13)</f>
        <v>#N/A</v>
      </c>
      <c r="CS13" s="306" t="e">
        <f>IF(AQ13="-","-",VLOOKUP($A13,AMABat!$A$10:$AS$1137,CS$9,FALSE)-AQ13)</f>
        <v>#N/A</v>
      </c>
      <c r="CT13" s="84" t="e">
        <f t="shared" si="29"/>
        <v>#N/A</v>
      </c>
      <c r="CU13" s="84" t="e">
        <f t="shared" si="30"/>
        <v>#N/A</v>
      </c>
      <c r="CV13" s="84" t="e">
        <f t="shared" si="31"/>
        <v>#N/A</v>
      </c>
      <c r="CW13" s="84" t="e">
        <f t="shared" si="32"/>
        <v>#N/A</v>
      </c>
      <c r="CX13" s="84" t="e">
        <f t="shared" si="33"/>
        <v>#N/A</v>
      </c>
    </row>
    <row r="14" spans="1:102" x14ac:dyDescent="0.25">
      <c r="A14" s="306" t="s">
        <v>620</v>
      </c>
      <c r="B14" s="305" t="s">
        <v>534</v>
      </c>
      <c r="C14" s="305"/>
      <c r="D14" s="305">
        <v>2</v>
      </c>
      <c r="E14" s="305">
        <v>2</v>
      </c>
      <c r="F14" s="305" t="s">
        <v>81</v>
      </c>
      <c r="G14" t="s">
        <v>73</v>
      </c>
      <c r="H14" t="s">
        <v>766</v>
      </c>
      <c r="I14" s="305" t="s">
        <v>767</v>
      </c>
      <c r="J14" t="s">
        <v>763</v>
      </c>
      <c r="K14" t="s">
        <v>402</v>
      </c>
      <c r="L14">
        <v>34</v>
      </c>
      <c r="M14" t="s">
        <v>82</v>
      </c>
      <c r="N14" t="s">
        <v>82</v>
      </c>
      <c r="O14" t="s">
        <v>865</v>
      </c>
      <c r="P14" s="206" t="s">
        <v>865</v>
      </c>
      <c r="Q14" t="s">
        <v>200</v>
      </c>
      <c r="R14" s="206" t="s">
        <v>200</v>
      </c>
      <c r="S14">
        <v>7</v>
      </c>
      <c r="T14">
        <v>5</v>
      </c>
      <c r="U14">
        <v>7</v>
      </c>
      <c r="V14">
        <v>5</v>
      </c>
      <c r="W14" s="206">
        <v>10</v>
      </c>
      <c r="X14">
        <v>7</v>
      </c>
      <c r="Y14">
        <v>5</v>
      </c>
      <c r="Z14">
        <v>7</v>
      </c>
      <c r="AA14">
        <v>5</v>
      </c>
      <c r="AB14" s="206">
        <v>10</v>
      </c>
      <c r="AC14">
        <v>3</v>
      </c>
      <c r="AD14">
        <v>1</v>
      </c>
      <c r="AE14">
        <v>1</v>
      </c>
      <c r="AF14" s="305">
        <v>1</v>
      </c>
      <c r="AG14" t="s">
        <v>32</v>
      </c>
      <c r="AH14">
        <v>8</v>
      </c>
      <c r="AI14" t="s">
        <v>32</v>
      </c>
      <c r="AJ14" t="s">
        <v>32</v>
      </c>
      <c r="AK14" t="s">
        <v>32</v>
      </c>
      <c r="AL14" t="s">
        <v>32</v>
      </c>
      <c r="AM14" t="s">
        <v>32</v>
      </c>
      <c r="AN14" s="206" t="s">
        <v>32</v>
      </c>
      <c r="AO14">
        <v>1</v>
      </c>
      <c r="AP14">
        <v>1</v>
      </c>
      <c r="AQ14" s="206">
        <v>2</v>
      </c>
      <c r="AR14" s="78">
        <v>10500000</v>
      </c>
      <c r="AS14" s="206">
        <v>4</v>
      </c>
      <c r="AT14" s="372" t="s">
        <v>529</v>
      </c>
      <c r="AU14" s="6">
        <f t="shared" si="2"/>
        <v>6.333333333333333</v>
      </c>
      <c r="AV14" s="9" t="str">
        <f t="shared" si="3"/>
        <v>Reg</v>
      </c>
      <c r="AW14" s="6">
        <f t="shared" si="4"/>
        <v>6.333333333333333</v>
      </c>
      <c r="AX14" s="6" t="str">
        <f t="shared" si="5"/>
        <v>Reg</v>
      </c>
      <c r="AY14" s="9">
        <f t="shared" si="6"/>
        <v>6.333333333333333</v>
      </c>
      <c r="AZ14" s="9" t="str">
        <f t="shared" si="7"/>
        <v>Reg</v>
      </c>
      <c r="BA14" s="46">
        <f t="shared" si="8"/>
        <v>0</v>
      </c>
      <c r="BB14" s="205">
        <f t="shared" si="9"/>
        <v>1</v>
      </c>
      <c r="BC14" s="205">
        <f t="shared" si="10"/>
        <v>0</v>
      </c>
      <c r="BD14" s="205">
        <f t="shared" si="11"/>
        <v>0</v>
      </c>
      <c r="BE14" s="205">
        <f t="shared" si="12"/>
        <v>1</v>
      </c>
      <c r="BF14" s="205">
        <f t="shared" si="13"/>
        <v>1</v>
      </c>
      <c r="BG14" s="205">
        <f t="shared" si="14"/>
        <v>1</v>
      </c>
      <c r="BH14" s="205">
        <f t="shared" si="15"/>
        <v>1</v>
      </c>
      <c r="BI14" s="206">
        <f t="shared" si="16"/>
        <v>1</v>
      </c>
      <c r="BJ14" s="46">
        <f t="shared" si="17"/>
        <v>0</v>
      </c>
      <c r="BK14" s="205">
        <f t="shared" si="18"/>
        <v>1</v>
      </c>
      <c r="BL14" s="205">
        <f t="shared" si="19"/>
        <v>0</v>
      </c>
      <c r="BM14" s="205">
        <f t="shared" si="20"/>
        <v>0</v>
      </c>
      <c r="BN14" s="205">
        <f t="shared" si="21"/>
        <v>1</v>
      </c>
      <c r="BO14" s="205">
        <f t="shared" si="22"/>
        <v>1</v>
      </c>
      <c r="BP14" s="205">
        <f t="shared" si="23"/>
        <v>1</v>
      </c>
      <c r="BQ14" s="205">
        <f t="shared" si="24"/>
        <v>1</v>
      </c>
      <c r="BR14" s="206">
        <f t="shared" si="25"/>
        <v>1</v>
      </c>
      <c r="BS14" s="206">
        <f t="shared" si="26"/>
        <v>0</v>
      </c>
      <c r="BT14" s="7">
        <f t="shared" si="27"/>
        <v>2</v>
      </c>
      <c r="BU14" t="str">
        <f t="shared" si="28"/>
        <v/>
      </c>
      <c r="BV14" s="306" t="e">
        <f>IF(S14="-","-",VLOOKUP($A14,AMABat!$A$10:$AS$1137,BV$9,FALSE)-S14)</f>
        <v>#N/A</v>
      </c>
      <c r="BW14" s="306" t="e">
        <f>IF(T14="-","-",VLOOKUP($A14,AMABat!$A$10:$AS$1137,BW$9,FALSE)-T14)</f>
        <v>#N/A</v>
      </c>
      <c r="BX14" s="306" t="e">
        <f>IF(U14="-","-",VLOOKUP($A14,AMABat!$A$10:$AS$1137,BX$9,FALSE)-U14)</f>
        <v>#N/A</v>
      </c>
      <c r="BY14" s="306" t="e">
        <f>IF(V14="-","-",VLOOKUP($A14,AMABat!$A$10:$AS$1137,BY$9,FALSE)-V14)</f>
        <v>#N/A</v>
      </c>
      <c r="BZ14" s="306" t="e">
        <f>IF(W14="-","-",VLOOKUP($A14,AMABat!$A$10:$AS$1137,BZ$9,FALSE)-W14)</f>
        <v>#N/A</v>
      </c>
      <c r="CA14" s="306" t="e">
        <f>IF(X14="-","-",VLOOKUP($A14,AMABat!$A$10:$AS$1137,CA$9,FALSE)-X14)</f>
        <v>#N/A</v>
      </c>
      <c r="CB14" s="306" t="e">
        <f>IF(Y14="-","-",VLOOKUP($A14,AMABat!$A$10:$AS$1137,CB$9,FALSE)-Y14)</f>
        <v>#N/A</v>
      </c>
      <c r="CC14" s="306" t="e">
        <f>IF(Z14="-","-",VLOOKUP($A14,AMABat!$A$10:$AS$1137,CC$9,FALSE)-Z14)</f>
        <v>#N/A</v>
      </c>
      <c r="CD14" s="306" t="e">
        <f>IF(AA14="-","-",VLOOKUP($A14,AMABat!$A$10:$AS$1137,CD$9,FALSE)-AA14)</f>
        <v>#N/A</v>
      </c>
      <c r="CE14" s="306" t="e">
        <f>IF(AB14="-","-",VLOOKUP($A14,AMABat!$A$10:$AS$1137,CE$9,FALSE)-AB14)</f>
        <v>#N/A</v>
      </c>
      <c r="CF14" s="306" t="e">
        <f>IF(AC14="-","-",VLOOKUP($A14,AMABat!$A$10:$AS$1137,CF$9,FALSE)-AC14)</f>
        <v>#N/A</v>
      </c>
      <c r="CG14" s="306" t="e">
        <f>IF(AD14="-","-",VLOOKUP($A14,AMABat!$A$10:$AS$1137,CG$9,FALSE)-AD14)</f>
        <v>#N/A</v>
      </c>
      <c r="CH14" s="306" t="e">
        <f>IF(AE14="-","-",VLOOKUP($A14,AMABat!$A$10:$AS$1137,CH$9,FALSE)-AE14)</f>
        <v>#N/A</v>
      </c>
      <c r="CI14" s="306" t="str">
        <f>IF(AG14="-","-",VLOOKUP($A14,AMABat!$A$10:$AS$1137,CI$9,FALSE)-AG14)</f>
        <v>-</v>
      </c>
      <c r="CJ14" s="306" t="e">
        <f>IF(AH14="-","-",VLOOKUP($A14,AMABat!$A$10:$AS$1137,CJ$9,FALSE)-AH14)</f>
        <v>#N/A</v>
      </c>
      <c r="CK14" s="306" t="str">
        <f>IF(AI14="-","-",VLOOKUP($A14,AMABat!$A$10:$AS$1137,CK$9,FALSE)-AI14)</f>
        <v>-</v>
      </c>
      <c r="CL14" s="306" t="str">
        <f>IF(AJ14="-","-",VLOOKUP($A14,AMABat!$A$10:$AS$1137,CL$9,FALSE)-AJ14)</f>
        <v>-</v>
      </c>
      <c r="CM14" s="306" t="str">
        <f>IF(AK14="-","-",VLOOKUP($A14,AMABat!$A$10:$AS$1137,CM$9,FALSE)-AK14)</f>
        <v>-</v>
      </c>
      <c r="CN14" s="306" t="str">
        <f>IF(AL14="-","-",VLOOKUP($A14,AMABat!$A$10:$AS$1137,CN$9,FALSE)-AL14)</f>
        <v>-</v>
      </c>
      <c r="CO14" s="306" t="str">
        <f>IF(AM14="-","-",VLOOKUP($A14,AMABat!$A$10:$AS$1137,CO$9,FALSE)-AM14)</f>
        <v>-</v>
      </c>
      <c r="CP14" s="306" t="str">
        <f>IF(AN14="-","-",VLOOKUP($A14,AMABat!$A$10:$AS$1137,CP$9,FALSE)-AN14)</f>
        <v>-</v>
      </c>
      <c r="CQ14" s="306" t="e">
        <f>IF(AO14="-","-",VLOOKUP($A14,AMABat!$A$10:$AS$1137,CQ$9,FALSE)-AO14)</f>
        <v>#N/A</v>
      </c>
      <c r="CR14" s="306" t="e">
        <f>IF(AP14="-","-",VLOOKUP($A14,AMABat!$A$10:$AS$1137,CR$9,FALSE)-AP14)</f>
        <v>#N/A</v>
      </c>
      <c r="CS14" s="306" t="e">
        <f>IF(AQ14="-","-",VLOOKUP($A14,AMABat!$A$10:$AS$1137,CS$9,FALSE)-AQ14)</f>
        <v>#N/A</v>
      </c>
      <c r="CT14" s="84" t="e">
        <f t="shared" si="29"/>
        <v>#N/A</v>
      </c>
      <c r="CU14" s="84" t="e">
        <f t="shared" si="30"/>
        <v>#N/A</v>
      </c>
      <c r="CV14" s="84" t="e">
        <f t="shared" si="31"/>
        <v>#N/A</v>
      </c>
      <c r="CW14" s="84" t="e">
        <f t="shared" si="32"/>
        <v>#N/A</v>
      </c>
      <c r="CX14" s="84" t="e">
        <f t="shared" si="33"/>
        <v>#N/A</v>
      </c>
    </row>
    <row r="15" spans="1:102" x14ac:dyDescent="0.25">
      <c r="A15" s="306" t="s">
        <v>449</v>
      </c>
      <c r="B15" s="305" t="s">
        <v>184</v>
      </c>
      <c r="C15" s="305"/>
      <c r="D15" s="305">
        <v>4</v>
      </c>
      <c r="E15" s="305">
        <v>5</v>
      </c>
      <c r="F15" s="305" t="s">
        <v>72</v>
      </c>
      <c r="G15" t="s">
        <v>74</v>
      </c>
      <c r="H15" t="s">
        <v>794</v>
      </c>
      <c r="I15" s="305" t="s">
        <v>795</v>
      </c>
      <c r="J15" t="s">
        <v>763</v>
      </c>
      <c r="K15" t="s">
        <v>402</v>
      </c>
      <c r="L15">
        <v>26</v>
      </c>
      <c r="M15" t="s">
        <v>83</v>
      </c>
      <c r="N15" t="s">
        <v>83</v>
      </c>
      <c r="O15" t="s">
        <v>768</v>
      </c>
      <c r="P15" s="204" t="s">
        <v>768</v>
      </c>
      <c r="Q15" t="s">
        <v>201</v>
      </c>
      <c r="R15" s="204" t="s">
        <v>200</v>
      </c>
      <c r="S15">
        <v>5</v>
      </c>
      <c r="T15">
        <v>2</v>
      </c>
      <c r="U15">
        <v>7</v>
      </c>
      <c r="V15">
        <v>7</v>
      </c>
      <c r="W15" s="204">
        <v>5</v>
      </c>
      <c r="X15">
        <v>5</v>
      </c>
      <c r="Y15">
        <v>3</v>
      </c>
      <c r="Z15">
        <v>7</v>
      </c>
      <c r="AA15">
        <v>8</v>
      </c>
      <c r="AB15" s="204">
        <v>6</v>
      </c>
      <c r="AC15">
        <v>7</v>
      </c>
      <c r="AD15">
        <v>5</v>
      </c>
      <c r="AE15">
        <v>1</v>
      </c>
      <c r="AF15" s="305">
        <v>1</v>
      </c>
      <c r="AG15" t="s">
        <v>32</v>
      </c>
      <c r="AH15" t="s">
        <v>32</v>
      </c>
      <c r="AI15">
        <v>6</v>
      </c>
      <c r="AJ15">
        <v>3</v>
      </c>
      <c r="AK15">
        <v>4</v>
      </c>
      <c r="AL15" t="s">
        <v>32</v>
      </c>
      <c r="AM15" t="s">
        <v>32</v>
      </c>
      <c r="AN15" s="204" t="s">
        <v>32</v>
      </c>
      <c r="AO15">
        <v>9</v>
      </c>
      <c r="AP15">
        <v>10</v>
      </c>
      <c r="AQ15" s="204">
        <v>10</v>
      </c>
      <c r="AR15" s="78">
        <v>510000</v>
      </c>
      <c r="AS15" s="204" t="s">
        <v>33</v>
      </c>
      <c r="AT15" s="372" t="s">
        <v>199</v>
      </c>
      <c r="AU15" s="6">
        <f t="shared" si="2"/>
        <v>5.833333333333333</v>
      </c>
      <c r="AV15" s="9" t="str">
        <f t="shared" si="3"/>
        <v>Reg</v>
      </c>
      <c r="AW15" s="6">
        <f t="shared" si="4"/>
        <v>6.166666666666667</v>
      </c>
      <c r="AX15" s="6" t="str">
        <f t="shared" si="5"/>
        <v>Reg</v>
      </c>
      <c r="AY15" s="9">
        <f t="shared" si="6"/>
        <v>5.833333333333333</v>
      </c>
      <c r="AZ15" s="9" t="str">
        <f t="shared" si="7"/>
        <v>Reg</v>
      </c>
      <c r="BA15" s="46">
        <f t="shared" si="8"/>
        <v>0</v>
      </c>
      <c r="BB15" s="203">
        <f t="shared" si="9"/>
        <v>0</v>
      </c>
      <c r="BC15" s="203">
        <f t="shared" si="10"/>
        <v>0</v>
      </c>
      <c r="BD15" s="203">
        <f t="shared" si="11"/>
        <v>0</v>
      </c>
      <c r="BE15" s="203">
        <f t="shared" si="12"/>
        <v>1</v>
      </c>
      <c r="BF15" s="203">
        <f t="shared" si="13"/>
        <v>1</v>
      </c>
      <c r="BG15" s="203">
        <f t="shared" si="14"/>
        <v>1</v>
      </c>
      <c r="BH15" s="203">
        <f t="shared" si="15"/>
        <v>1</v>
      </c>
      <c r="BI15" s="204">
        <f t="shared" si="16"/>
        <v>1</v>
      </c>
      <c r="BJ15" s="46">
        <f t="shared" si="17"/>
        <v>1</v>
      </c>
      <c r="BK15" s="203">
        <f t="shared" si="18"/>
        <v>1</v>
      </c>
      <c r="BL15" s="203">
        <f t="shared" si="19"/>
        <v>0</v>
      </c>
      <c r="BM15" s="203">
        <f t="shared" si="20"/>
        <v>0</v>
      </c>
      <c r="BN15" s="203">
        <f t="shared" si="21"/>
        <v>1</v>
      </c>
      <c r="BO15" s="203">
        <f t="shared" si="22"/>
        <v>1</v>
      </c>
      <c r="BP15" s="203">
        <f t="shared" si="23"/>
        <v>1</v>
      </c>
      <c r="BQ15" s="203">
        <f t="shared" si="24"/>
        <v>1</v>
      </c>
      <c r="BR15" s="204">
        <f t="shared" si="25"/>
        <v>1</v>
      </c>
      <c r="BS15" s="204">
        <f t="shared" si="26"/>
        <v>6</v>
      </c>
      <c r="BT15" s="7">
        <f t="shared" si="27"/>
        <v>1</v>
      </c>
      <c r="BU15" t="str">
        <f t="shared" si="28"/>
        <v/>
      </c>
      <c r="BV15" s="306" t="e">
        <f>IF(S15="-","-",VLOOKUP($A15,AMABat!$A$10:$AS$1137,BV$9,FALSE)-S15)</f>
        <v>#N/A</v>
      </c>
      <c r="BW15" s="306" t="e">
        <f>IF(T15="-","-",VLOOKUP($A15,AMABat!$A$10:$AS$1137,BW$9,FALSE)-T15)</f>
        <v>#N/A</v>
      </c>
      <c r="BX15" s="306" t="e">
        <f>IF(U15="-","-",VLOOKUP($A15,AMABat!$A$10:$AS$1137,BX$9,FALSE)-U15)</f>
        <v>#N/A</v>
      </c>
      <c r="BY15" s="306" t="e">
        <f>IF(V15="-","-",VLOOKUP($A15,AMABat!$A$10:$AS$1137,BY$9,FALSE)-V15)</f>
        <v>#N/A</v>
      </c>
      <c r="BZ15" s="306" t="e">
        <f>IF(W15="-","-",VLOOKUP($A15,AMABat!$A$10:$AS$1137,BZ$9,FALSE)-W15)</f>
        <v>#N/A</v>
      </c>
      <c r="CA15" s="306" t="e">
        <f>IF(X15="-","-",VLOOKUP($A15,AMABat!$A$10:$AS$1137,CA$9,FALSE)-X15)</f>
        <v>#N/A</v>
      </c>
      <c r="CB15" s="306" t="e">
        <f>IF(Y15="-","-",VLOOKUP($A15,AMABat!$A$10:$AS$1137,CB$9,FALSE)-Y15)</f>
        <v>#N/A</v>
      </c>
      <c r="CC15" s="306" t="e">
        <f>IF(Z15="-","-",VLOOKUP($A15,AMABat!$A$10:$AS$1137,CC$9,FALSE)-Z15)</f>
        <v>#N/A</v>
      </c>
      <c r="CD15" s="306" t="e">
        <f>IF(AA15="-","-",VLOOKUP($A15,AMABat!$A$10:$AS$1137,CD$9,FALSE)-AA15)</f>
        <v>#N/A</v>
      </c>
      <c r="CE15" s="306" t="e">
        <f>IF(AB15="-","-",VLOOKUP($A15,AMABat!$A$10:$AS$1137,CE$9,FALSE)-AB15)</f>
        <v>#N/A</v>
      </c>
      <c r="CF15" s="306" t="e">
        <f>IF(AC15="-","-",VLOOKUP($A15,AMABat!$A$10:$AS$1137,CF$9,FALSE)-AC15)</f>
        <v>#N/A</v>
      </c>
      <c r="CG15" s="306" t="e">
        <f>IF(AD15="-","-",VLOOKUP($A15,AMABat!$A$10:$AS$1137,CG$9,FALSE)-AD15)</f>
        <v>#N/A</v>
      </c>
      <c r="CH15" s="306" t="e">
        <f>IF(AE15="-","-",VLOOKUP($A15,AMABat!$A$10:$AS$1137,CH$9,FALSE)-AE15)</f>
        <v>#N/A</v>
      </c>
      <c r="CI15" s="306" t="str">
        <f>IF(AG15="-","-",VLOOKUP($A15,AMABat!$A$10:$AS$1137,CI$9,FALSE)-AG15)</f>
        <v>-</v>
      </c>
      <c r="CJ15" s="306" t="str">
        <f>IF(AH15="-","-",VLOOKUP($A15,AMABat!$A$10:$AS$1137,CJ$9,FALSE)-AH15)</f>
        <v>-</v>
      </c>
      <c r="CK15" s="306" t="e">
        <f>IF(AI15="-","-",VLOOKUP($A15,AMABat!$A$10:$AS$1137,CK$9,FALSE)-AI15)</f>
        <v>#N/A</v>
      </c>
      <c r="CL15" s="306" t="e">
        <f>IF(AJ15="-","-",VLOOKUP($A15,AMABat!$A$10:$AS$1137,CL$9,FALSE)-AJ15)</f>
        <v>#N/A</v>
      </c>
      <c r="CM15" s="306" t="e">
        <f>IF(AK15="-","-",VLOOKUP($A15,AMABat!$A$10:$AS$1137,CM$9,FALSE)-AK15)</f>
        <v>#N/A</v>
      </c>
      <c r="CN15" s="306" t="str">
        <f>IF(AL15="-","-",VLOOKUP($A15,AMABat!$A$10:$AS$1137,CN$9,FALSE)-AL15)</f>
        <v>-</v>
      </c>
      <c r="CO15" s="306" t="str">
        <f>IF(AM15="-","-",VLOOKUP($A15,AMABat!$A$10:$AS$1137,CO$9,FALSE)-AM15)</f>
        <v>-</v>
      </c>
      <c r="CP15" s="306" t="str">
        <f>IF(AN15="-","-",VLOOKUP($A15,AMABat!$A$10:$AS$1137,CP$9,FALSE)-AN15)</f>
        <v>-</v>
      </c>
      <c r="CQ15" s="306" t="e">
        <f>IF(AO15="-","-",VLOOKUP($A15,AMABat!$A$10:$AS$1137,CQ$9,FALSE)-AO15)</f>
        <v>#N/A</v>
      </c>
      <c r="CR15" s="306" t="e">
        <f>IF(AP15="-","-",VLOOKUP($A15,AMABat!$A$10:$AS$1137,CR$9,FALSE)-AP15)</f>
        <v>#N/A</v>
      </c>
      <c r="CS15" s="306" t="e">
        <f>IF(AQ15="-","-",VLOOKUP($A15,AMABat!$A$10:$AS$1137,CS$9,FALSE)-AQ15)</f>
        <v>#N/A</v>
      </c>
      <c r="CT15" s="84" t="e">
        <f t="shared" si="29"/>
        <v>#N/A</v>
      </c>
      <c r="CU15" s="84" t="e">
        <f t="shared" si="30"/>
        <v>#N/A</v>
      </c>
      <c r="CV15" s="84" t="e">
        <f t="shared" si="31"/>
        <v>#N/A</v>
      </c>
      <c r="CW15" s="84" t="e">
        <f t="shared" si="32"/>
        <v>#N/A</v>
      </c>
      <c r="CX15" s="84" t="e">
        <f t="shared" si="33"/>
        <v>#N/A</v>
      </c>
    </row>
    <row r="16" spans="1:102" x14ac:dyDescent="0.25">
      <c r="A16" s="306" t="s">
        <v>478</v>
      </c>
      <c r="B16" s="305" t="s">
        <v>185</v>
      </c>
      <c r="C16" s="305"/>
      <c r="D16" s="305">
        <v>4</v>
      </c>
      <c r="E16" s="305">
        <v>9</v>
      </c>
      <c r="F16" s="305" t="s">
        <v>81</v>
      </c>
      <c r="G16" t="s">
        <v>73</v>
      </c>
      <c r="H16" t="s">
        <v>718</v>
      </c>
      <c r="I16" s="305" t="s">
        <v>790</v>
      </c>
      <c r="J16" t="s">
        <v>769</v>
      </c>
      <c r="K16" t="s">
        <v>186</v>
      </c>
      <c r="L16">
        <v>26</v>
      </c>
      <c r="M16" t="s">
        <v>83</v>
      </c>
      <c r="N16" t="s">
        <v>83</v>
      </c>
      <c r="O16" t="s">
        <v>773</v>
      </c>
      <c r="P16" s="3" t="s">
        <v>764</v>
      </c>
      <c r="Q16" t="s">
        <v>200</v>
      </c>
      <c r="R16" s="3" t="s">
        <v>199</v>
      </c>
      <c r="S16">
        <v>5</v>
      </c>
      <c r="T16">
        <v>3</v>
      </c>
      <c r="U16">
        <v>5</v>
      </c>
      <c r="V16">
        <v>8</v>
      </c>
      <c r="W16" s="3">
        <v>9</v>
      </c>
      <c r="X16">
        <v>5</v>
      </c>
      <c r="Y16">
        <v>4</v>
      </c>
      <c r="Z16">
        <v>6</v>
      </c>
      <c r="AA16">
        <v>8</v>
      </c>
      <c r="AB16" s="3">
        <v>9</v>
      </c>
      <c r="AC16">
        <v>3</v>
      </c>
      <c r="AD16">
        <v>1</v>
      </c>
      <c r="AE16">
        <v>1</v>
      </c>
      <c r="AF16" s="305">
        <v>1</v>
      </c>
      <c r="AG16" t="s">
        <v>32</v>
      </c>
      <c r="AH16">
        <v>4</v>
      </c>
      <c r="AI16" t="s">
        <v>32</v>
      </c>
      <c r="AJ16" t="s">
        <v>32</v>
      </c>
      <c r="AK16" t="s">
        <v>32</v>
      </c>
      <c r="AL16" t="s">
        <v>32</v>
      </c>
      <c r="AM16" t="s">
        <v>32</v>
      </c>
      <c r="AN16" s="3" t="s">
        <v>32</v>
      </c>
      <c r="AO16">
        <v>1</v>
      </c>
      <c r="AP16">
        <v>1</v>
      </c>
      <c r="AQ16" s="3">
        <v>1</v>
      </c>
      <c r="AR16" t="s">
        <v>32</v>
      </c>
      <c r="AS16" s="3" t="s">
        <v>33</v>
      </c>
      <c r="AT16" s="372" t="s">
        <v>529</v>
      </c>
      <c r="AU16" s="6">
        <f t="shared" si="2"/>
        <v>5.5</v>
      </c>
      <c r="AV16" s="9" t="str">
        <f t="shared" si="3"/>
        <v>Reg</v>
      </c>
      <c r="AW16" s="6">
        <f t="shared" si="4"/>
        <v>5.833333333333333</v>
      </c>
      <c r="AX16" s="6" t="str">
        <f t="shared" si="5"/>
        <v>Reg</v>
      </c>
      <c r="AY16" s="9">
        <f t="shared" si="6"/>
        <v>5.5</v>
      </c>
      <c r="AZ16" s="9" t="str">
        <f t="shared" si="7"/>
        <v>Reg</v>
      </c>
      <c r="BA16" s="46">
        <f t="shared" si="8"/>
        <v>0</v>
      </c>
      <c r="BB16" s="5">
        <f t="shared" si="9"/>
        <v>1</v>
      </c>
      <c r="BC16" s="5">
        <f t="shared" si="10"/>
        <v>0</v>
      </c>
      <c r="BD16" s="5">
        <f t="shared" si="11"/>
        <v>0</v>
      </c>
      <c r="BE16" s="5">
        <f t="shared" si="12"/>
        <v>0</v>
      </c>
      <c r="BF16" s="5">
        <f t="shared" si="13"/>
        <v>0</v>
      </c>
      <c r="BG16" s="5">
        <f t="shared" si="14"/>
        <v>1</v>
      </c>
      <c r="BH16" s="5">
        <f t="shared" si="15"/>
        <v>1</v>
      </c>
      <c r="BI16" s="3">
        <f t="shared" si="16"/>
        <v>1</v>
      </c>
      <c r="BJ16" s="46">
        <f t="shared" si="17"/>
        <v>0</v>
      </c>
      <c r="BK16" s="5">
        <f t="shared" si="18"/>
        <v>1</v>
      </c>
      <c r="BL16" s="5">
        <f t="shared" si="19"/>
        <v>0</v>
      </c>
      <c r="BM16" s="5">
        <f t="shared" si="20"/>
        <v>0</v>
      </c>
      <c r="BN16" s="5">
        <f t="shared" si="21"/>
        <v>0</v>
      </c>
      <c r="BO16" s="5">
        <f t="shared" si="22"/>
        <v>0</v>
      </c>
      <c r="BP16" s="5">
        <f t="shared" si="23"/>
        <v>1</v>
      </c>
      <c r="BQ16" s="5">
        <f t="shared" si="24"/>
        <v>1</v>
      </c>
      <c r="BR16" s="3">
        <f t="shared" si="25"/>
        <v>1</v>
      </c>
      <c r="BS16" s="3">
        <f t="shared" si="26"/>
        <v>0</v>
      </c>
      <c r="BT16" s="7">
        <f t="shared" si="27"/>
        <v>0</v>
      </c>
      <c r="BU16" t="str">
        <f t="shared" si="28"/>
        <v/>
      </c>
      <c r="BV16" s="306" t="e">
        <f>IF(S16="-","-",VLOOKUP($A16,AMABat!$A$10:$AS$1137,BV$9,FALSE)-S16)</f>
        <v>#N/A</v>
      </c>
      <c r="BW16" s="306" t="e">
        <f>IF(T16="-","-",VLOOKUP($A16,AMABat!$A$10:$AS$1137,BW$9,FALSE)-T16)</f>
        <v>#N/A</v>
      </c>
      <c r="BX16" s="306" t="e">
        <f>IF(U16="-","-",VLOOKUP($A16,AMABat!$A$10:$AS$1137,BX$9,FALSE)-U16)</f>
        <v>#N/A</v>
      </c>
      <c r="BY16" s="306" t="e">
        <f>IF(V16="-","-",VLOOKUP($A16,AMABat!$A$10:$AS$1137,BY$9,FALSE)-V16)</f>
        <v>#N/A</v>
      </c>
      <c r="BZ16" s="306" t="e">
        <f>IF(W16="-","-",VLOOKUP($A16,AMABat!$A$10:$AS$1137,BZ$9,FALSE)-W16)</f>
        <v>#N/A</v>
      </c>
      <c r="CA16" s="306" t="e">
        <f>IF(X16="-","-",VLOOKUP($A16,AMABat!$A$10:$AS$1137,CA$9,FALSE)-X16)</f>
        <v>#N/A</v>
      </c>
      <c r="CB16" s="306" t="e">
        <f>IF(Y16="-","-",VLOOKUP($A16,AMABat!$A$10:$AS$1137,CB$9,FALSE)-Y16)</f>
        <v>#N/A</v>
      </c>
      <c r="CC16" s="306" t="e">
        <f>IF(Z16="-","-",VLOOKUP($A16,AMABat!$A$10:$AS$1137,CC$9,FALSE)-Z16)</f>
        <v>#N/A</v>
      </c>
      <c r="CD16" s="306" t="e">
        <f>IF(AA16="-","-",VLOOKUP($A16,AMABat!$A$10:$AS$1137,CD$9,FALSE)-AA16)</f>
        <v>#N/A</v>
      </c>
      <c r="CE16" s="306" t="e">
        <f>IF(AB16="-","-",VLOOKUP($A16,AMABat!$A$10:$AS$1137,CE$9,FALSE)-AB16)</f>
        <v>#N/A</v>
      </c>
      <c r="CF16" s="306" t="e">
        <f>IF(AC16="-","-",VLOOKUP($A16,AMABat!$A$10:$AS$1137,CF$9,FALSE)-AC16)</f>
        <v>#N/A</v>
      </c>
      <c r="CG16" s="306" t="e">
        <f>IF(AD16="-","-",VLOOKUP($A16,AMABat!$A$10:$AS$1137,CG$9,FALSE)-AD16)</f>
        <v>#N/A</v>
      </c>
      <c r="CH16" s="306" t="e">
        <f>IF(AE16="-","-",VLOOKUP($A16,AMABat!$A$10:$AS$1137,CH$9,FALSE)-AE16)</f>
        <v>#N/A</v>
      </c>
      <c r="CI16" s="306" t="str">
        <f>IF(AG16="-","-",VLOOKUP($A16,AMABat!$A$10:$AS$1137,CI$9,FALSE)-AG16)</f>
        <v>-</v>
      </c>
      <c r="CJ16" s="306" t="e">
        <f>IF(AH16="-","-",VLOOKUP($A16,AMABat!$A$10:$AS$1137,CJ$9,FALSE)-AH16)</f>
        <v>#N/A</v>
      </c>
      <c r="CK16" s="306" t="str">
        <f>IF(AI16="-","-",VLOOKUP($A16,AMABat!$A$10:$AS$1137,CK$9,FALSE)-AI16)</f>
        <v>-</v>
      </c>
      <c r="CL16" s="306" t="str">
        <f>IF(AJ16="-","-",VLOOKUP($A16,AMABat!$A$10:$AS$1137,CL$9,FALSE)-AJ16)</f>
        <v>-</v>
      </c>
      <c r="CM16" s="306" t="str">
        <f>IF(AK16="-","-",VLOOKUP($A16,AMABat!$A$10:$AS$1137,CM$9,FALSE)-AK16)</f>
        <v>-</v>
      </c>
      <c r="CN16" s="306" t="str">
        <f>IF(AL16="-","-",VLOOKUP($A16,AMABat!$A$10:$AS$1137,CN$9,FALSE)-AL16)</f>
        <v>-</v>
      </c>
      <c r="CO16" s="306" t="str">
        <f>IF(AM16="-","-",VLOOKUP($A16,AMABat!$A$10:$AS$1137,CO$9,FALSE)-AM16)</f>
        <v>-</v>
      </c>
      <c r="CP16" s="306" t="str">
        <f>IF(AN16="-","-",VLOOKUP($A16,AMABat!$A$10:$AS$1137,CP$9,FALSE)-AN16)</f>
        <v>-</v>
      </c>
      <c r="CQ16" s="306" t="e">
        <f>IF(AO16="-","-",VLOOKUP($A16,AMABat!$A$10:$AS$1137,CQ$9,FALSE)-AO16)</f>
        <v>#N/A</v>
      </c>
      <c r="CR16" s="306" t="e">
        <f>IF(AP16="-","-",VLOOKUP($A16,AMABat!$A$10:$AS$1137,CR$9,FALSE)-AP16)</f>
        <v>#N/A</v>
      </c>
      <c r="CS16" s="306" t="e">
        <f>IF(AQ16="-","-",VLOOKUP($A16,AMABat!$A$10:$AS$1137,CS$9,FALSE)-AQ16)</f>
        <v>#N/A</v>
      </c>
      <c r="CT16" s="84" t="e">
        <f t="shared" si="29"/>
        <v>#N/A</v>
      </c>
      <c r="CU16" s="84" t="e">
        <f t="shared" si="30"/>
        <v>#N/A</v>
      </c>
      <c r="CV16" s="84" t="e">
        <f t="shared" si="31"/>
        <v>#N/A</v>
      </c>
      <c r="CW16" s="84" t="e">
        <f t="shared" si="32"/>
        <v>#N/A</v>
      </c>
      <c r="CX16" s="84" t="e">
        <f t="shared" si="33"/>
        <v>#N/A</v>
      </c>
    </row>
    <row r="17" spans="1:102" x14ac:dyDescent="0.25">
      <c r="A17" s="306" t="s">
        <v>480</v>
      </c>
      <c r="B17" s="305" t="s">
        <v>185</v>
      </c>
      <c r="C17" s="305"/>
      <c r="D17" s="305">
        <v>2</v>
      </c>
      <c r="E17" s="305">
        <v>2</v>
      </c>
      <c r="F17" s="305" t="s">
        <v>81</v>
      </c>
      <c r="G17" t="s">
        <v>76</v>
      </c>
      <c r="H17" t="s">
        <v>1132</v>
      </c>
      <c r="I17" s="305" t="s">
        <v>489</v>
      </c>
      <c r="J17" t="s">
        <v>763</v>
      </c>
      <c r="K17" t="s">
        <v>402</v>
      </c>
      <c r="L17">
        <v>35</v>
      </c>
      <c r="M17" t="s">
        <v>83</v>
      </c>
      <c r="N17" t="s">
        <v>83</v>
      </c>
      <c r="O17" t="s">
        <v>764</v>
      </c>
      <c r="P17" s="206" t="s">
        <v>764</v>
      </c>
      <c r="Q17" t="s">
        <v>199</v>
      </c>
      <c r="R17" s="206" t="s">
        <v>201</v>
      </c>
      <c r="S17">
        <v>6</v>
      </c>
      <c r="T17">
        <v>5</v>
      </c>
      <c r="U17">
        <v>3</v>
      </c>
      <c r="V17">
        <v>6</v>
      </c>
      <c r="W17" s="206">
        <v>9</v>
      </c>
      <c r="X17">
        <v>6</v>
      </c>
      <c r="Y17">
        <v>5</v>
      </c>
      <c r="Z17">
        <v>3</v>
      </c>
      <c r="AA17">
        <v>6</v>
      </c>
      <c r="AB17" s="206">
        <v>9</v>
      </c>
      <c r="AC17">
        <v>10</v>
      </c>
      <c r="AD17">
        <v>1</v>
      </c>
      <c r="AE17">
        <v>1</v>
      </c>
      <c r="AF17" s="305">
        <v>1</v>
      </c>
      <c r="AG17" t="s">
        <v>32</v>
      </c>
      <c r="AH17" t="s">
        <v>32</v>
      </c>
      <c r="AI17">
        <v>9</v>
      </c>
      <c r="AJ17">
        <v>9</v>
      </c>
      <c r="AK17">
        <v>7</v>
      </c>
      <c r="AL17" t="s">
        <v>32</v>
      </c>
      <c r="AM17" t="s">
        <v>32</v>
      </c>
      <c r="AN17" s="206" t="s">
        <v>32</v>
      </c>
      <c r="AO17">
        <v>5</v>
      </c>
      <c r="AP17">
        <v>9</v>
      </c>
      <c r="AQ17" s="206">
        <v>8</v>
      </c>
      <c r="AR17">
        <v>2500000</v>
      </c>
      <c r="AS17" s="206">
        <v>1</v>
      </c>
      <c r="AT17" s="372" t="s">
        <v>199</v>
      </c>
      <c r="AU17" s="6">
        <f t="shared" si="2"/>
        <v>5.5</v>
      </c>
      <c r="AV17" s="9" t="str">
        <f t="shared" si="3"/>
        <v>Reg</v>
      </c>
      <c r="AW17" s="6">
        <f t="shared" si="4"/>
        <v>5.5</v>
      </c>
      <c r="AX17" s="6" t="str">
        <f t="shared" si="5"/>
        <v>Reg</v>
      </c>
      <c r="AY17" s="9">
        <f t="shared" si="6"/>
        <v>5.5</v>
      </c>
      <c r="AZ17" s="9" t="str">
        <f t="shared" si="7"/>
        <v>Reg</v>
      </c>
      <c r="BA17" s="46">
        <f t="shared" si="8"/>
        <v>0</v>
      </c>
      <c r="BB17" s="205">
        <f t="shared" si="9"/>
        <v>0</v>
      </c>
      <c r="BC17" s="205">
        <f t="shared" si="10"/>
        <v>0</v>
      </c>
      <c r="BD17" s="205">
        <f t="shared" si="11"/>
        <v>0</v>
      </c>
      <c r="BE17" s="205">
        <f t="shared" si="12"/>
        <v>0</v>
      </c>
      <c r="BF17" s="205">
        <f t="shared" si="13"/>
        <v>0</v>
      </c>
      <c r="BG17" s="205">
        <f t="shared" si="14"/>
        <v>0</v>
      </c>
      <c r="BH17" s="205">
        <f t="shared" si="15"/>
        <v>0</v>
      </c>
      <c r="BI17" s="206">
        <f t="shared" si="16"/>
        <v>1</v>
      </c>
      <c r="BJ17" s="46">
        <f t="shared" si="17"/>
        <v>0</v>
      </c>
      <c r="BK17" s="205">
        <f t="shared" si="18"/>
        <v>0</v>
      </c>
      <c r="BL17" s="205">
        <f t="shared" si="19"/>
        <v>0</v>
      </c>
      <c r="BM17" s="205">
        <f t="shared" si="20"/>
        <v>0</v>
      </c>
      <c r="BN17" s="205">
        <f t="shared" si="21"/>
        <v>0</v>
      </c>
      <c r="BO17" s="205">
        <f t="shared" si="22"/>
        <v>0</v>
      </c>
      <c r="BP17" s="205">
        <f t="shared" si="23"/>
        <v>0</v>
      </c>
      <c r="BQ17" s="205">
        <f t="shared" si="24"/>
        <v>0</v>
      </c>
      <c r="BR17" s="206">
        <f t="shared" si="25"/>
        <v>1</v>
      </c>
      <c r="BS17" s="206">
        <f t="shared" si="26"/>
        <v>2</v>
      </c>
      <c r="BT17" s="7">
        <f t="shared" si="27"/>
        <v>2</v>
      </c>
      <c r="BU17" t="str">
        <f t="shared" si="28"/>
        <v>Yes</v>
      </c>
      <c r="BV17" s="306" t="e">
        <f>IF(S17="-","-",VLOOKUP($A17,AMABat!$A$10:$AS$1137,BV$9,FALSE)-S17)</f>
        <v>#N/A</v>
      </c>
      <c r="BW17" s="306" t="e">
        <f>IF(T17="-","-",VLOOKUP($A17,AMABat!$A$10:$AS$1137,BW$9,FALSE)-T17)</f>
        <v>#N/A</v>
      </c>
      <c r="BX17" s="306" t="e">
        <f>IF(U17="-","-",VLOOKUP($A17,AMABat!$A$10:$AS$1137,BX$9,FALSE)-U17)</f>
        <v>#N/A</v>
      </c>
      <c r="BY17" s="306" t="e">
        <f>IF(V17="-","-",VLOOKUP($A17,AMABat!$A$10:$AS$1137,BY$9,FALSE)-V17)</f>
        <v>#N/A</v>
      </c>
      <c r="BZ17" s="306" t="e">
        <f>IF(W17="-","-",VLOOKUP($A17,AMABat!$A$10:$AS$1137,BZ$9,FALSE)-W17)</f>
        <v>#N/A</v>
      </c>
      <c r="CA17" s="306" t="e">
        <f>IF(X17="-","-",VLOOKUP($A17,AMABat!$A$10:$AS$1137,CA$9,FALSE)-X17)</f>
        <v>#N/A</v>
      </c>
      <c r="CB17" s="306" t="e">
        <f>IF(Y17="-","-",VLOOKUP($A17,AMABat!$A$10:$AS$1137,CB$9,FALSE)-Y17)</f>
        <v>#N/A</v>
      </c>
      <c r="CC17" s="306" t="e">
        <f>IF(Z17="-","-",VLOOKUP($A17,AMABat!$A$10:$AS$1137,CC$9,FALSE)-Z17)</f>
        <v>#N/A</v>
      </c>
      <c r="CD17" s="306" t="e">
        <f>IF(AA17="-","-",VLOOKUP($A17,AMABat!$A$10:$AS$1137,CD$9,FALSE)-AA17)</f>
        <v>#N/A</v>
      </c>
      <c r="CE17" s="306" t="e">
        <f>IF(AB17="-","-",VLOOKUP($A17,AMABat!$A$10:$AS$1137,CE$9,FALSE)-AB17)</f>
        <v>#N/A</v>
      </c>
      <c r="CF17" s="306" t="e">
        <f>IF(AC17="-","-",VLOOKUP($A17,AMABat!$A$10:$AS$1137,CF$9,FALSE)-AC17)</f>
        <v>#N/A</v>
      </c>
      <c r="CG17" s="306" t="e">
        <f>IF(AD17="-","-",VLOOKUP($A17,AMABat!$A$10:$AS$1137,CG$9,FALSE)-AD17)</f>
        <v>#N/A</v>
      </c>
      <c r="CH17" s="306" t="e">
        <f>IF(AE17="-","-",VLOOKUP($A17,AMABat!$A$10:$AS$1137,CH$9,FALSE)-AE17)</f>
        <v>#N/A</v>
      </c>
      <c r="CI17" s="306" t="str">
        <f>IF(AG17="-","-",VLOOKUP($A17,AMABat!$A$10:$AS$1137,CI$9,FALSE)-AG17)</f>
        <v>-</v>
      </c>
      <c r="CJ17" s="306" t="str">
        <f>IF(AH17="-","-",VLOOKUP($A17,AMABat!$A$10:$AS$1137,CJ$9,FALSE)-AH17)</f>
        <v>-</v>
      </c>
      <c r="CK17" s="306" t="e">
        <f>IF(AI17="-","-",VLOOKUP($A17,AMABat!$A$10:$AS$1137,CK$9,FALSE)-AI17)</f>
        <v>#N/A</v>
      </c>
      <c r="CL17" s="306" t="e">
        <f>IF(AJ17="-","-",VLOOKUP($A17,AMABat!$A$10:$AS$1137,CL$9,FALSE)-AJ17)</f>
        <v>#N/A</v>
      </c>
      <c r="CM17" s="306" t="e">
        <f>IF(AK17="-","-",VLOOKUP($A17,AMABat!$A$10:$AS$1137,CM$9,FALSE)-AK17)</f>
        <v>#N/A</v>
      </c>
      <c r="CN17" s="306" t="str">
        <f>IF(AL17="-","-",VLOOKUP($A17,AMABat!$A$10:$AS$1137,CN$9,FALSE)-AL17)</f>
        <v>-</v>
      </c>
      <c r="CO17" s="306" t="str">
        <f>IF(AM17="-","-",VLOOKUP($A17,AMABat!$A$10:$AS$1137,CO$9,FALSE)-AM17)</f>
        <v>-</v>
      </c>
      <c r="CP17" s="306" t="str">
        <f>IF(AN17="-","-",VLOOKUP($A17,AMABat!$A$10:$AS$1137,CP$9,FALSE)-AN17)</f>
        <v>-</v>
      </c>
      <c r="CQ17" s="306" t="e">
        <f>IF(AO17="-","-",VLOOKUP($A17,AMABat!$A$10:$AS$1137,CQ$9,FALSE)-AO17)</f>
        <v>#N/A</v>
      </c>
      <c r="CR17" s="306" t="e">
        <f>IF(AP17="-","-",VLOOKUP($A17,AMABat!$A$10:$AS$1137,CR$9,FALSE)-AP17)</f>
        <v>#N/A</v>
      </c>
      <c r="CS17" s="306" t="e">
        <f>IF(AQ17="-","-",VLOOKUP($A17,AMABat!$A$10:$AS$1137,CS$9,FALSE)-AQ17)</f>
        <v>#N/A</v>
      </c>
      <c r="CT17" s="84" t="e">
        <f t="shared" si="29"/>
        <v>#N/A</v>
      </c>
      <c r="CU17" s="84" t="e">
        <f t="shared" si="30"/>
        <v>#N/A</v>
      </c>
      <c r="CV17" s="84" t="e">
        <f t="shared" si="31"/>
        <v>#N/A</v>
      </c>
      <c r="CW17" s="84" t="e">
        <f t="shared" si="32"/>
        <v>#N/A</v>
      </c>
      <c r="CX17" s="84" t="e">
        <f t="shared" si="33"/>
        <v>#N/A</v>
      </c>
    </row>
    <row r="18" spans="1:102" x14ac:dyDescent="0.25">
      <c r="A18" s="306" t="s">
        <v>447</v>
      </c>
      <c r="B18" s="305" t="s">
        <v>184</v>
      </c>
      <c r="C18" s="305"/>
      <c r="D18" s="305">
        <v>2</v>
      </c>
      <c r="E18" s="305">
        <v>2</v>
      </c>
      <c r="F18" s="305" t="s">
        <v>72</v>
      </c>
      <c r="G18" t="s">
        <v>73</v>
      </c>
      <c r="H18" t="s">
        <v>797</v>
      </c>
      <c r="I18" s="305" t="s">
        <v>798</v>
      </c>
      <c r="J18" t="s">
        <v>783</v>
      </c>
      <c r="K18" t="s">
        <v>185</v>
      </c>
      <c r="L18">
        <v>35</v>
      </c>
      <c r="M18" t="s">
        <v>83</v>
      </c>
      <c r="N18" t="s">
        <v>82</v>
      </c>
      <c r="O18" t="s">
        <v>773</v>
      </c>
      <c r="P18" s="3" t="s">
        <v>773</v>
      </c>
      <c r="Q18" t="s">
        <v>199</v>
      </c>
      <c r="R18" s="3" t="s">
        <v>199</v>
      </c>
      <c r="S18">
        <v>5</v>
      </c>
      <c r="T18">
        <v>3</v>
      </c>
      <c r="U18">
        <v>7</v>
      </c>
      <c r="V18">
        <v>5</v>
      </c>
      <c r="W18" s="3">
        <v>2</v>
      </c>
      <c r="X18">
        <v>5</v>
      </c>
      <c r="Y18">
        <v>3</v>
      </c>
      <c r="Z18">
        <v>7</v>
      </c>
      <c r="AA18">
        <v>5</v>
      </c>
      <c r="AB18" s="3">
        <v>2</v>
      </c>
      <c r="AC18">
        <v>2</v>
      </c>
      <c r="AD18">
        <v>2</v>
      </c>
      <c r="AE18">
        <v>1</v>
      </c>
      <c r="AF18" s="305">
        <v>1</v>
      </c>
      <c r="AG18" t="s">
        <v>32</v>
      </c>
      <c r="AH18">
        <v>3</v>
      </c>
      <c r="AI18" t="s">
        <v>32</v>
      </c>
      <c r="AJ18" t="s">
        <v>32</v>
      </c>
      <c r="AK18" t="s">
        <v>32</v>
      </c>
      <c r="AL18" t="s">
        <v>32</v>
      </c>
      <c r="AM18" t="s">
        <v>32</v>
      </c>
      <c r="AN18" s="3" t="s">
        <v>32</v>
      </c>
      <c r="AO18">
        <v>1</v>
      </c>
      <c r="AP18">
        <v>3</v>
      </c>
      <c r="AQ18" s="3">
        <v>2</v>
      </c>
      <c r="AR18" s="78" t="s">
        <v>32</v>
      </c>
      <c r="AS18" s="3" t="s">
        <v>33</v>
      </c>
      <c r="AT18" s="372" t="s">
        <v>529</v>
      </c>
      <c r="AU18" s="6">
        <f t="shared" si="2"/>
        <v>5.166666666666667</v>
      </c>
      <c r="AV18" s="9" t="str">
        <f t="shared" si="3"/>
        <v>Reg</v>
      </c>
      <c r="AW18" s="6">
        <f t="shared" si="4"/>
        <v>5.166666666666667</v>
      </c>
      <c r="AX18" s="6" t="str">
        <f t="shared" si="5"/>
        <v>Reg</v>
      </c>
      <c r="AY18" s="9">
        <f t="shared" si="6"/>
        <v>5.166666666666667</v>
      </c>
      <c r="AZ18" s="9" t="str">
        <f t="shared" si="7"/>
        <v>Reg</v>
      </c>
      <c r="BA18" s="46">
        <f t="shared" si="8"/>
        <v>0</v>
      </c>
      <c r="BB18" s="5">
        <f t="shared" si="9"/>
        <v>0</v>
      </c>
      <c r="BC18" s="5">
        <f t="shared" si="10"/>
        <v>0</v>
      </c>
      <c r="BD18" s="5">
        <f t="shared" si="11"/>
        <v>0</v>
      </c>
      <c r="BE18" s="5">
        <f t="shared" si="12"/>
        <v>0</v>
      </c>
      <c r="BF18" s="5">
        <f t="shared" si="13"/>
        <v>0</v>
      </c>
      <c r="BG18" s="5">
        <f t="shared" si="14"/>
        <v>1</v>
      </c>
      <c r="BH18" s="5">
        <f t="shared" si="15"/>
        <v>1</v>
      </c>
      <c r="BI18" s="3">
        <f t="shared" si="16"/>
        <v>1</v>
      </c>
      <c r="BJ18" s="46">
        <f t="shared" si="17"/>
        <v>0</v>
      </c>
      <c r="BK18" s="5">
        <f t="shared" si="18"/>
        <v>0</v>
      </c>
      <c r="BL18" s="5">
        <f t="shared" si="19"/>
        <v>0</v>
      </c>
      <c r="BM18" s="5">
        <f t="shared" si="20"/>
        <v>0</v>
      </c>
      <c r="BN18" s="5">
        <f t="shared" si="21"/>
        <v>0</v>
      </c>
      <c r="BO18" s="5">
        <f t="shared" si="22"/>
        <v>0</v>
      </c>
      <c r="BP18" s="5">
        <f t="shared" si="23"/>
        <v>1</v>
      </c>
      <c r="BQ18" s="5">
        <f t="shared" si="24"/>
        <v>1</v>
      </c>
      <c r="BR18" s="3">
        <f t="shared" si="25"/>
        <v>1</v>
      </c>
      <c r="BS18" s="3">
        <f t="shared" si="26"/>
        <v>0</v>
      </c>
      <c r="BT18" s="7">
        <f t="shared" si="27"/>
        <v>0</v>
      </c>
      <c r="BU18" t="str">
        <f t="shared" si="28"/>
        <v/>
      </c>
      <c r="BV18" s="306" t="e">
        <f>IF(S18="-","-",VLOOKUP($A18,AMABat!$A$10:$AS$1137,BV$9,FALSE)-S18)</f>
        <v>#N/A</v>
      </c>
      <c r="BW18" s="306" t="e">
        <f>IF(T18="-","-",VLOOKUP($A18,AMABat!$A$10:$AS$1137,BW$9,FALSE)-T18)</f>
        <v>#N/A</v>
      </c>
      <c r="BX18" s="306" t="e">
        <f>IF(U18="-","-",VLOOKUP($A18,AMABat!$A$10:$AS$1137,BX$9,FALSE)-U18)</f>
        <v>#N/A</v>
      </c>
      <c r="BY18" s="306" t="e">
        <f>IF(V18="-","-",VLOOKUP($A18,AMABat!$A$10:$AS$1137,BY$9,FALSE)-V18)</f>
        <v>#N/A</v>
      </c>
      <c r="BZ18" s="306" t="e">
        <f>IF(W18="-","-",VLOOKUP($A18,AMABat!$A$10:$AS$1137,BZ$9,FALSE)-W18)</f>
        <v>#N/A</v>
      </c>
      <c r="CA18" s="306" t="e">
        <f>IF(X18="-","-",VLOOKUP($A18,AMABat!$A$10:$AS$1137,CA$9,FALSE)-X18)</f>
        <v>#N/A</v>
      </c>
      <c r="CB18" s="306" t="e">
        <f>IF(Y18="-","-",VLOOKUP($A18,AMABat!$A$10:$AS$1137,CB$9,FALSE)-Y18)</f>
        <v>#N/A</v>
      </c>
      <c r="CC18" s="306" t="e">
        <f>IF(Z18="-","-",VLOOKUP($A18,AMABat!$A$10:$AS$1137,CC$9,FALSE)-Z18)</f>
        <v>#N/A</v>
      </c>
      <c r="CD18" s="306" t="e">
        <f>IF(AA18="-","-",VLOOKUP($A18,AMABat!$A$10:$AS$1137,CD$9,FALSE)-AA18)</f>
        <v>#N/A</v>
      </c>
      <c r="CE18" s="306" t="e">
        <f>IF(AB18="-","-",VLOOKUP($A18,AMABat!$A$10:$AS$1137,CE$9,FALSE)-AB18)</f>
        <v>#N/A</v>
      </c>
      <c r="CF18" s="306" t="e">
        <f>IF(AC18="-","-",VLOOKUP($A18,AMABat!$A$10:$AS$1137,CF$9,FALSE)-AC18)</f>
        <v>#N/A</v>
      </c>
      <c r="CG18" s="306" t="e">
        <f>IF(AD18="-","-",VLOOKUP($A18,AMABat!$A$10:$AS$1137,CG$9,FALSE)-AD18)</f>
        <v>#N/A</v>
      </c>
      <c r="CH18" s="306" t="e">
        <f>IF(AE18="-","-",VLOOKUP($A18,AMABat!$A$10:$AS$1137,CH$9,FALSE)-AE18)</f>
        <v>#N/A</v>
      </c>
      <c r="CI18" s="306" t="str">
        <f>IF(AG18="-","-",VLOOKUP($A18,AMABat!$A$10:$AS$1137,CI$9,FALSE)-AG18)</f>
        <v>-</v>
      </c>
      <c r="CJ18" s="306" t="e">
        <f>IF(AH18="-","-",VLOOKUP($A18,AMABat!$A$10:$AS$1137,CJ$9,FALSE)-AH18)</f>
        <v>#N/A</v>
      </c>
      <c r="CK18" s="306" t="str">
        <f>IF(AI18="-","-",VLOOKUP($A18,AMABat!$A$10:$AS$1137,CK$9,FALSE)-AI18)</f>
        <v>-</v>
      </c>
      <c r="CL18" s="306" t="str">
        <f>IF(AJ18="-","-",VLOOKUP($A18,AMABat!$A$10:$AS$1137,CL$9,FALSE)-AJ18)</f>
        <v>-</v>
      </c>
      <c r="CM18" s="306" t="str">
        <f>IF(AK18="-","-",VLOOKUP($A18,AMABat!$A$10:$AS$1137,CM$9,FALSE)-AK18)</f>
        <v>-</v>
      </c>
      <c r="CN18" s="306" t="str">
        <f>IF(AL18="-","-",VLOOKUP($A18,AMABat!$A$10:$AS$1137,CN$9,FALSE)-AL18)</f>
        <v>-</v>
      </c>
      <c r="CO18" s="306" t="str">
        <f>IF(AM18="-","-",VLOOKUP($A18,AMABat!$A$10:$AS$1137,CO$9,FALSE)-AM18)</f>
        <v>-</v>
      </c>
      <c r="CP18" s="306" t="str">
        <f>IF(AN18="-","-",VLOOKUP($A18,AMABat!$A$10:$AS$1137,CP$9,FALSE)-AN18)</f>
        <v>-</v>
      </c>
      <c r="CQ18" s="306" t="e">
        <f>IF(AO18="-","-",VLOOKUP($A18,AMABat!$A$10:$AS$1137,CQ$9,FALSE)-AO18)</f>
        <v>#N/A</v>
      </c>
      <c r="CR18" s="306" t="e">
        <f>IF(AP18="-","-",VLOOKUP($A18,AMABat!$A$10:$AS$1137,CR$9,FALSE)-AP18)</f>
        <v>#N/A</v>
      </c>
      <c r="CS18" s="306" t="e">
        <f>IF(AQ18="-","-",VLOOKUP($A18,AMABat!$A$10:$AS$1137,CS$9,FALSE)-AQ18)</f>
        <v>#N/A</v>
      </c>
      <c r="CT18" s="84" t="e">
        <f t="shared" si="29"/>
        <v>#N/A</v>
      </c>
      <c r="CU18" s="84" t="e">
        <f t="shared" si="30"/>
        <v>#N/A</v>
      </c>
      <c r="CV18" s="84" t="e">
        <f t="shared" si="31"/>
        <v>#N/A</v>
      </c>
      <c r="CW18" s="84" t="e">
        <f t="shared" si="32"/>
        <v>#N/A</v>
      </c>
      <c r="CX18" s="84" t="e">
        <f t="shared" si="33"/>
        <v>#N/A</v>
      </c>
    </row>
    <row r="19" spans="1:102" x14ac:dyDescent="0.25">
      <c r="A19" s="306" t="s">
        <v>621</v>
      </c>
      <c r="B19" s="305"/>
      <c r="C19" s="305"/>
      <c r="D19" s="305">
        <v>4</v>
      </c>
      <c r="E19" s="305">
        <v>4</v>
      </c>
      <c r="F19" s="305" t="s">
        <v>72</v>
      </c>
      <c r="G19" t="s">
        <v>77</v>
      </c>
      <c r="H19" t="s">
        <v>791</v>
      </c>
      <c r="I19" s="305" t="s">
        <v>792</v>
      </c>
      <c r="J19" t="s">
        <v>769</v>
      </c>
      <c r="K19" t="s">
        <v>186</v>
      </c>
      <c r="L19">
        <v>28</v>
      </c>
      <c r="M19" t="s">
        <v>82</v>
      </c>
      <c r="N19" t="s">
        <v>82</v>
      </c>
      <c r="O19" t="s">
        <v>773</v>
      </c>
      <c r="P19" s="204" t="s">
        <v>773</v>
      </c>
      <c r="Q19" t="s">
        <v>199</v>
      </c>
      <c r="R19" s="204" t="s">
        <v>200</v>
      </c>
      <c r="S19">
        <v>5</v>
      </c>
      <c r="T19">
        <v>5</v>
      </c>
      <c r="U19">
        <v>6</v>
      </c>
      <c r="V19">
        <v>6</v>
      </c>
      <c r="W19" s="204">
        <v>6</v>
      </c>
      <c r="X19">
        <v>5</v>
      </c>
      <c r="Y19">
        <v>5</v>
      </c>
      <c r="Z19">
        <v>6</v>
      </c>
      <c r="AA19">
        <v>6</v>
      </c>
      <c r="AB19" s="204">
        <v>6</v>
      </c>
      <c r="AC19">
        <v>1</v>
      </c>
      <c r="AD19">
        <v>4</v>
      </c>
      <c r="AE19">
        <v>1</v>
      </c>
      <c r="AF19" s="305">
        <v>1</v>
      </c>
      <c r="AG19" t="s">
        <v>32</v>
      </c>
      <c r="AH19" t="s">
        <v>32</v>
      </c>
      <c r="AI19" t="s">
        <v>32</v>
      </c>
      <c r="AJ19" t="s">
        <v>32</v>
      </c>
      <c r="AK19" t="s">
        <v>32</v>
      </c>
      <c r="AL19">
        <v>4</v>
      </c>
      <c r="AM19" t="s">
        <v>32</v>
      </c>
      <c r="AN19" s="204">
        <v>3</v>
      </c>
      <c r="AO19">
        <v>3</v>
      </c>
      <c r="AP19">
        <v>8</v>
      </c>
      <c r="AQ19" s="204">
        <v>6</v>
      </c>
      <c r="AR19" t="s">
        <v>32</v>
      </c>
      <c r="AS19" s="204" t="s">
        <v>33</v>
      </c>
      <c r="AT19" s="372" t="s">
        <v>529</v>
      </c>
      <c r="AU19" s="6">
        <f t="shared" si="2"/>
        <v>5.166666666666667</v>
      </c>
      <c r="AV19" s="9" t="str">
        <f t="shared" si="3"/>
        <v>Reg</v>
      </c>
      <c r="AW19" s="6">
        <f t="shared" si="4"/>
        <v>5.166666666666667</v>
      </c>
      <c r="AX19" s="6" t="str">
        <f t="shared" si="5"/>
        <v>Reg</v>
      </c>
      <c r="AY19" s="9">
        <f t="shared" si="6"/>
        <v>5.166666666666667</v>
      </c>
      <c r="AZ19" s="9" t="str">
        <f t="shared" si="7"/>
        <v>Reg</v>
      </c>
      <c r="BA19" s="46">
        <f t="shared" si="8"/>
        <v>0</v>
      </c>
      <c r="BB19" s="203">
        <f t="shared" si="9"/>
        <v>0</v>
      </c>
      <c r="BC19" s="203">
        <f t="shared" si="10"/>
        <v>0</v>
      </c>
      <c r="BD19" s="203">
        <f t="shared" si="11"/>
        <v>0</v>
      </c>
      <c r="BE19" s="203">
        <f t="shared" si="12"/>
        <v>0</v>
      </c>
      <c r="BF19" s="203">
        <f t="shared" si="13"/>
        <v>0</v>
      </c>
      <c r="BG19" s="203">
        <f t="shared" si="14"/>
        <v>0</v>
      </c>
      <c r="BH19" s="203">
        <f t="shared" si="15"/>
        <v>0</v>
      </c>
      <c r="BI19" s="204">
        <f t="shared" si="16"/>
        <v>0</v>
      </c>
      <c r="BJ19" s="46">
        <f t="shared" si="17"/>
        <v>0</v>
      </c>
      <c r="BK19" s="203">
        <f t="shared" si="18"/>
        <v>0</v>
      </c>
      <c r="BL19" s="203">
        <f t="shared" si="19"/>
        <v>0</v>
      </c>
      <c r="BM19" s="203">
        <f t="shared" si="20"/>
        <v>0</v>
      </c>
      <c r="BN19" s="203">
        <f t="shared" si="21"/>
        <v>0</v>
      </c>
      <c r="BO19" s="203">
        <f t="shared" si="22"/>
        <v>0</v>
      </c>
      <c r="BP19" s="203">
        <f t="shared" si="23"/>
        <v>0</v>
      </c>
      <c r="BQ19" s="203">
        <f t="shared" si="24"/>
        <v>0</v>
      </c>
      <c r="BR19" s="204">
        <f t="shared" si="25"/>
        <v>0</v>
      </c>
      <c r="BS19" s="204">
        <f t="shared" si="26"/>
        <v>1</v>
      </c>
      <c r="BT19" s="7">
        <f t="shared" si="27"/>
        <v>0</v>
      </c>
      <c r="BU19" t="str">
        <f t="shared" si="28"/>
        <v/>
      </c>
      <c r="BV19" s="306" t="e">
        <f>IF(S19="-","-",VLOOKUP($A19,AMABat!$A$10:$AS$1137,BV$9,FALSE)-S19)</f>
        <v>#N/A</v>
      </c>
      <c r="BW19" s="306" t="e">
        <f>IF(T19="-","-",VLOOKUP($A19,AMABat!$A$10:$AS$1137,BW$9,FALSE)-T19)</f>
        <v>#N/A</v>
      </c>
      <c r="BX19" s="306" t="e">
        <f>IF(U19="-","-",VLOOKUP($A19,AMABat!$A$10:$AS$1137,BX$9,FALSE)-U19)</f>
        <v>#N/A</v>
      </c>
      <c r="BY19" s="306" t="e">
        <f>IF(V19="-","-",VLOOKUP($A19,AMABat!$A$10:$AS$1137,BY$9,FALSE)-V19)</f>
        <v>#N/A</v>
      </c>
      <c r="BZ19" s="306" t="e">
        <f>IF(W19="-","-",VLOOKUP($A19,AMABat!$A$10:$AS$1137,BZ$9,FALSE)-W19)</f>
        <v>#N/A</v>
      </c>
      <c r="CA19" s="306" t="e">
        <f>IF(X19="-","-",VLOOKUP($A19,AMABat!$A$10:$AS$1137,CA$9,FALSE)-X19)</f>
        <v>#N/A</v>
      </c>
      <c r="CB19" s="306" t="e">
        <f>IF(Y19="-","-",VLOOKUP($A19,AMABat!$A$10:$AS$1137,CB$9,FALSE)-Y19)</f>
        <v>#N/A</v>
      </c>
      <c r="CC19" s="306" t="e">
        <f>IF(Z19="-","-",VLOOKUP($A19,AMABat!$A$10:$AS$1137,CC$9,FALSE)-Z19)</f>
        <v>#N/A</v>
      </c>
      <c r="CD19" s="306" t="e">
        <f>IF(AA19="-","-",VLOOKUP($A19,AMABat!$A$10:$AS$1137,CD$9,FALSE)-AA19)</f>
        <v>#N/A</v>
      </c>
      <c r="CE19" s="306" t="e">
        <f>IF(AB19="-","-",VLOOKUP($A19,AMABat!$A$10:$AS$1137,CE$9,FALSE)-AB19)</f>
        <v>#N/A</v>
      </c>
      <c r="CF19" s="306" t="e">
        <f>IF(AC19="-","-",VLOOKUP($A19,AMABat!$A$10:$AS$1137,CF$9,FALSE)-AC19)</f>
        <v>#N/A</v>
      </c>
      <c r="CG19" s="306" t="e">
        <f>IF(AD19="-","-",VLOOKUP($A19,AMABat!$A$10:$AS$1137,CG$9,FALSE)-AD19)</f>
        <v>#N/A</v>
      </c>
      <c r="CH19" s="306" t="e">
        <f>IF(AE19="-","-",VLOOKUP($A19,AMABat!$A$10:$AS$1137,CH$9,FALSE)-AE19)</f>
        <v>#N/A</v>
      </c>
      <c r="CI19" s="306" t="str">
        <f>IF(AG19="-","-",VLOOKUP($A19,AMABat!$A$10:$AS$1137,CI$9,FALSE)-AG19)</f>
        <v>-</v>
      </c>
      <c r="CJ19" s="306" t="str">
        <f>IF(AH19="-","-",VLOOKUP($A19,AMABat!$A$10:$AS$1137,CJ$9,FALSE)-AH19)</f>
        <v>-</v>
      </c>
      <c r="CK19" s="306" t="str">
        <f>IF(AI19="-","-",VLOOKUP($A19,AMABat!$A$10:$AS$1137,CK$9,FALSE)-AI19)</f>
        <v>-</v>
      </c>
      <c r="CL19" s="306" t="str">
        <f>IF(AJ19="-","-",VLOOKUP($A19,AMABat!$A$10:$AS$1137,CL$9,FALSE)-AJ19)</f>
        <v>-</v>
      </c>
      <c r="CM19" s="306" t="str">
        <f>IF(AK19="-","-",VLOOKUP($A19,AMABat!$A$10:$AS$1137,CM$9,FALSE)-AK19)</f>
        <v>-</v>
      </c>
      <c r="CN19" s="306" t="e">
        <f>IF(AL19="-","-",VLOOKUP($A19,AMABat!$A$10:$AS$1137,CN$9,FALSE)-AL19)</f>
        <v>#N/A</v>
      </c>
      <c r="CO19" s="306" t="str">
        <f>IF(AM19="-","-",VLOOKUP($A19,AMABat!$A$10:$AS$1137,CO$9,FALSE)-AM19)</f>
        <v>-</v>
      </c>
      <c r="CP19" s="306" t="e">
        <f>IF(AN19="-","-",VLOOKUP($A19,AMABat!$A$10:$AS$1137,CP$9,FALSE)-AN19)</f>
        <v>#N/A</v>
      </c>
      <c r="CQ19" s="306" t="e">
        <f>IF(AO19="-","-",VLOOKUP($A19,AMABat!$A$10:$AS$1137,CQ$9,FALSE)-AO19)</f>
        <v>#N/A</v>
      </c>
      <c r="CR19" s="306" t="e">
        <f>IF(AP19="-","-",VLOOKUP($A19,AMABat!$A$10:$AS$1137,CR$9,FALSE)-AP19)</f>
        <v>#N/A</v>
      </c>
      <c r="CS19" s="306" t="e">
        <f>IF(AQ19="-","-",VLOOKUP($A19,AMABat!$A$10:$AS$1137,CS$9,FALSE)-AQ19)</f>
        <v>#N/A</v>
      </c>
      <c r="CT19" s="84" t="e">
        <f t="shared" si="29"/>
        <v>#N/A</v>
      </c>
      <c r="CU19" s="84" t="e">
        <f t="shared" si="30"/>
        <v>#N/A</v>
      </c>
      <c r="CV19" s="84" t="e">
        <f t="shared" si="31"/>
        <v>#N/A</v>
      </c>
      <c r="CW19" s="84" t="e">
        <f t="shared" si="32"/>
        <v>#N/A</v>
      </c>
      <c r="CX19" s="84" t="e">
        <f t="shared" si="33"/>
        <v>#N/A</v>
      </c>
    </row>
    <row r="20" spans="1:102" x14ac:dyDescent="0.25">
      <c r="A20" s="306" t="s">
        <v>520</v>
      </c>
      <c r="B20" s="305" t="s">
        <v>185</v>
      </c>
      <c r="C20" s="305"/>
      <c r="D20" s="305">
        <v>2</v>
      </c>
      <c r="E20" s="305">
        <v>6</v>
      </c>
      <c r="F20" s="305" t="s">
        <v>72</v>
      </c>
      <c r="G20" t="s">
        <v>79</v>
      </c>
      <c r="H20" t="s">
        <v>419</v>
      </c>
      <c r="I20" s="305" t="s">
        <v>1209</v>
      </c>
      <c r="J20" t="s">
        <v>763</v>
      </c>
      <c r="K20" t="s">
        <v>402</v>
      </c>
      <c r="L20">
        <v>30</v>
      </c>
      <c r="M20" t="s">
        <v>82</v>
      </c>
      <c r="N20" t="s">
        <v>82</v>
      </c>
      <c r="O20" t="s">
        <v>764</v>
      </c>
      <c r="P20" s="3" t="s">
        <v>764</v>
      </c>
      <c r="Q20" t="s">
        <v>200</v>
      </c>
      <c r="R20" s="3" t="s">
        <v>199</v>
      </c>
      <c r="S20">
        <v>7</v>
      </c>
      <c r="T20">
        <v>5</v>
      </c>
      <c r="U20">
        <v>5</v>
      </c>
      <c r="V20">
        <v>3</v>
      </c>
      <c r="W20" s="3">
        <v>3</v>
      </c>
      <c r="X20">
        <v>7</v>
      </c>
      <c r="Y20">
        <v>5</v>
      </c>
      <c r="Z20">
        <v>5</v>
      </c>
      <c r="AA20">
        <v>3</v>
      </c>
      <c r="AB20" s="3">
        <v>3</v>
      </c>
      <c r="AC20">
        <v>1</v>
      </c>
      <c r="AD20">
        <v>7</v>
      </c>
      <c r="AE20">
        <v>1</v>
      </c>
      <c r="AF20" s="305">
        <v>1</v>
      </c>
      <c r="AG20" t="s">
        <v>32</v>
      </c>
      <c r="AH20" t="s">
        <v>32</v>
      </c>
      <c r="AI20" t="s">
        <v>32</v>
      </c>
      <c r="AJ20" t="s">
        <v>32</v>
      </c>
      <c r="AK20" t="s">
        <v>32</v>
      </c>
      <c r="AL20">
        <v>6</v>
      </c>
      <c r="AM20" t="s">
        <v>32</v>
      </c>
      <c r="AN20" s="3">
        <v>5</v>
      </c>
      <c r="AO20">
        <v>7</v>
      </c>
      <c r="AP20">
        <v>10</v>
      </c>
      <c r="AQ20" s="3">
        <v>9</v>
      </c>
      <c r="AR20" s="78">
        <v>1440000</v>
      </c>
      <c r="AS20" s="3" t="s">
        <v>34</v>
      </c>
      <c r="AT20" s="372" t="s">
        <v>529</v>
      </c>
      <c r="AU20" s="6">
        <f t="shared" si="2"/>
        <v>5</v>
      </c>
      <c r="AV20" s="9" t="str">
        <f t="shared" si="3"/>
        <v>Bench</v>
      </c>
      <c r="AW20" s="6">
        <f t="shared" si="4"/>
        <v>5</v>
      </c>
      <c r="AX20" s="6" t="str">
        <f t="shared" si="5"/>
        <v>Bench</v>
      </c>
      <c r="AY20" s="9">
        <f t="shared" si="6"/>
        <v>5</v>
      </c>
      <c r="AZ20" s="9" t="str">
        <f t="shared" si="7"/>
        <v>Bench</v>
      </c>
      <c r="BA20" s="46">
        <f t="shared" si="8"/>
        <v>0</v>
      </c>
      <c r="BB20" s="5">
        <f t="shared" si="9"/>
        <v>0</v>
      </c>
      <c r="BC20" s="5">
        <f t="shared" si="10"/>
        <v>0</v>
      </c>
      <c r="BD20" s="5">
        <f t="shared" si="11"/>
        <v>0</v>
      </c>
      <c r="BE20" s="5">
        <f t="shared" si="12"/>
        <v>0</v>
      </c>
      <c r="BF20" s="5">
        <f t="shared" si="13"/>
        <v>1</v>
      </c>
      <c r="BG20" s="5">
        <f t="shared" si="14"/>
        <v>1</v>
      </c>
      <c r="BH20" s="5">
        <f t="shared" si="15"/>
        <v>1</v>
      </c>
      <c r="BI20" s="3">
        <f t="shared" si="16"/>
        <v>1</v>
      </c>
      <c r="BJ20" s="46">
        <f t="shared" si="17"/>
        <v>0</v>
      </c>
      <c r="BK20" s="5">
        <f t="shared" si="18"/>
        <v>0</v>
      </c>
      <c r="BL20" s="5">
        <f t="shared" si="19"/>
        <v>0</v>
      </c>
      <c r="BM20" s="5">
        <f t="shared" si="20"/>
        <v>0</v>
      </c>
      <c r="BN20" s="5">
        <f t="shared" si="21"/>
        <v>0</v>
      </c>
      <c r="BO20" s="5">
        <f t="shared" si="22"/>
        <v>1</v>
      </c>
      <c r="BP20" s="5">
        <f t="shared" si="23"/>
        <v>1</v>
      </c>
      <c r="BQ20" s="5">
        <f t="shared" si="24"/>
        <v>1</v>
      </c>
      <c r="BR20" s="3">
        <f t="shared" si="25"/>
        <v>1</v>
      </c>
      <c r="BS20" s="3">
        <f t="shared" si="26"/>
        <v>4</v>
      </c>
      <c r="BT20" s="7">
        <f t="shared" si="27"/>
        <v>1</v>
      </c>
      <c r="BU20" t="str">
        <f t="shared" si="28"/>
        <v/>
      </c>
      <c r="BV20" s="306" t="e">
        <f>IF(S20="-","-",VLOOKUP($A20,AMABat!$A$10:$AS$1137,BV$9,FALSE)-S20)</f>
        <v>#N/A</v>
      </c>
      <c r="BW20" s="306" t="e">
        <f>IF(T20="-","-",VLOOKUP($A20,AMABat!$A$10:$AS$1137,BW$9,FALSE)-T20)</f>
        <v>#N/A</v>
      </c>
      <c r="BX20" s="306" t="e">
        <f>IF(U20="-","-",VLOOKUP($A20,AMABat!$A$10:$AS$1137,BX$9,FALSE)-U20)</f>
        <v>#N/A</v>
      </c>
      <c r="BY20" s="306" t="e">
        <f>IF(V20="-","-",VLOOKUP($A20,AMABat!$A$10:$AS$1137,BY$9,FALSE)-V20)</f>
        <v>#N/A</v>
      </c>
      <c r="BZ20" s="306" t="e">
        <f>IF(W20="-","-",VLOOKUP($A20,AMABat!$A$10:$AS$1137,BZ$9,FALSE)-W20)</f>
        <v>#N/A</v>
      </c>
      <c r="CA20" s="306" t="e">
        <f>IF(X20="-","-",VLOOKUP($A20,AMABat!$A$10:$AS$1137,CA$9,FALSE)-X20)</f>
        <v>#N/A</v>
      </c>
      <c r="CB20" s="306" t="e">
        <f>IF(Y20="-","-",VLOOKUP($A20,AMABat!$A$10:$AS$1137,CB$9,FALSE)-Y20)</f>
        <v>#N/A</v>
      </c>
      <c r="CC20" s="306" t="e">
        <f>IF(Z20="-","-",VLOOKUP($A20,AMABat!$A$10:$AS$1137,CC$9,FALSE)-Z20)</f>
        <v>#N/A</v>
      </c>
      <c r="CD20" s="306" t="e">
        <f>IF(AA20="-","-",VLOOKUP($A20,AMABat!$A$10:$AS$1137,CD$9,FALSE)-AA20)</f>
        <v>#N/A</v>
      </c>
      <c r="CE20" s="306" t="e">
        <f>IF(AB20="-","-",VLOOKUP($A20,AMABat!$A$10:$AS$1137,CE$9,FALSE)-AB20)</f>
        <v>#N/A</v>
      </c>
      <c r="CF20" s="306" t="e">
        <f>IF(AC20="-","-",VLOOKUP($A20,AMABat!$A$10:$AS$1137,CF$9,FALSE)-AC20)</f>
        <v>#N/A</v>
      </c>
      <c r="CG20" s="306" t="e">
        <f>IF(AD20="-","-",VLOOKUP($A20,AMABat!$A$10:$AS$1137,CG$9,FALSE)-AD20)</f>
        <v>#N/A</v>
      </c>
      <c r="CH20" s="306" t="e">
        <f>IF(AE20="-","-",VLOOKUP($A20,AMABat!$A$10:$AS$1137,CH$9,FALSE)-AE20)</f>
        <v>#N/A</v>
      </c>
      <c r="CI20" s="306" t="str">
        <f>IF(AG20="-","-",VLOOKUP($A20,AMABat!$A$10:$AS$1137,CI$9,FALSE)-AG20)</f>
        <v>-</v>
      </c>
      <c r="CJ20" s="306" t="str">
        <f>IF(AH20="-","-",VLOOKUP($A20,AMABat!$A$10:$AS$1137,CJ$9,FALSE)-AH20)</f>
        <v>-</v>
      </c>
      <c r="CK20" s="306" t="str">
        <f>IF(AI20="-","-",VLOOKUP($A20,AMABat!$A$10:$AS$1137,CK$9,FALSE)-AI20)</f>
        <v>-</v>
      </c>
      <c r="CL20" s="306" t="str">
        <f>IF(AJ20="-","-",VLOOKUP($A20,AMABat!$A$10:$AS$1137,CL$9,FALSE)-AJ20)</f>
        <v>-</v>
      </c>
      <c r="CM20" s="306" t="str">
        <f>IF(AK20="-","-",VLOOKUP($A20,AMABat!$A$10:$AS$1137,CM$9,FALSE)-AK20)</f>
        <v>-</v>
      </c>
      <c r="CN20" s="306" t="e">
        <f>IF(AL20="-","-",VLOOKUP($A20,AMABat!$A$10:$AS$1137,CN$9,FALSE)-AL20)</f>
        <v>#N/A</v>
      </c>
      <c r="CO20" s="306" t="str">
        <f>IF(AM20="-","-",VLOOKUP($A20,AMABat!$A$10:$AS$1137,CO$9,FALSE)-AM20)</f>
        <v>-</v>
      </c>
      <c r="CP20" s="306" t="e">
        <f>IF(AN20="-","-",VLOOKUP($A20,AMABat!$A$10:$AS$1137,CP$9,FALSE)-AN20)</f>
        <v>#N/A</v>
      </c>
      <c r="CQ20" s="306" t="e">
        <f>IF(AO20="-","-",VLOOKUP($A20,AMABat!$A$10:$AS$1137,CQ$9,FALSE)-AO20)</f>
        <v>#N/A</v>
      </c>
      <c r="CR20" s="306" t="e">
        <f>IF(AP20="-","-",VLOOKUP($A20,AMABat!$A$10:$AS$1137,CR$9,FALSE)-AP20)</f>
        <v>#N/A</v>
      </c>
      <c r="CS20" s="306" t="e">
        <f>IF(AQ20="-","-",VLOOKUP($A20,AMABat!$A$10:$AS$1137,CS$9,FALSE)-AQ20)</f>
        <v>#N/A</v>
      </c>
      <c r="CT20" s="84" t="e">
        <f t="shared" si="29"/>
        <v>#N/A</v>
      </c>
      <c r="CU20" s="84" t="e">
        <f t="shared" si="30"/>
        <v>#N/A</v>
      </c>
      <c r="CV20" s="84" t="e">
        <f t="shared" si="31"/>
        <v>#N/A</v>
      </c>
      <c r="CW20" s="84" t="e">
        <f t="shared" si="32"/>
        <v>#N/A</v>
      </c>
      <c r="CX20" s="84" t="e">
        <f t="shared" si="33"/>
        <v>#N/A</v>
      </c>
    </row>
    <row r="21" spans="1:102" x14ac:dyDescent="0.25">
      <c r="A21" s="306" t="s">
        <v>622</v>
      </c>
      <c r="B21" s="305" t="s">
        <v>534</v>
      </c>
      <c r="C21" s="305"/>
      <c r="D21" s="305">
        <v>2</v>
      </c>
      <c r="E21" s="305">
        <v>2</v>
      </c>
      <c r="F21" s="305" t="s">
        <v>81</v>
      </c>
      <c r="G21" t="s">
        <v>75</v>
      </c>
      <c r="H21" t="s">
        <v>777</v>
      </c>
      <c r="I21" s="305" t="s">
        <v>778</v>
      </c>
      <c r="J21" t="s">
        <v>763</v>
      </c>
      <c r="K21" t="s">
        <v>402</v>
      </c>
      <c r="L21">
        <v>24</v>
      </c>
      <c r="M21" t="s">
        <v>85</v>
      </c>
      <c r="N21" t="s">
        <v>83</v>
      </c>
      <c r="O21" t="s">
        <v>764</v>
      </c>
      <c r="P21" s="268" t="s">
        <v>764</v>
      </c>
      <c r="Q21" t="s">
        <v>200</v>
      </c>
      <c r="R21" s="268" t="s">
        <v>200</v>
      </c>
      <c r="S21">
        <v>5</v>
      </c>
      <c r="T21">
        <v>7</v>
      </c>
      <c r="U21">
        <v>6</v>
      </c>
      <c r="V21">
        <v>5</v>
      </c>
      <c r="W21" s="268">
        <v>5</v>
      </c>
      <c r="X21">
        <v>5</v>
      </c>
      <c r="Y21">
        <v>7</v>
      </c>
      <c r="Z21">
        <v>6</v>
      </c>
      <c r="AA21">
        <v>5</v>
      </c>
      <c r="AB21" s="268">
        <v>6</v>
      </c>
      <c r="AC21">
        <v>10</v>
      </c>
      <c r="AD21">
        <v>10</v>
      </c>
      <c r="AE21">
        <v>1</v>
      </c>
      <c r="AF21" s="305">
        <v>1</v>
      </c>
      <c r="AG21" t="s">
        <v>32</v>
      </c>
      <c r="AH21" t="s">
        <v>32</v>
      </c>
      <c r="AI21" t="s">
        <v>32</v>
      </c>
      <c r="AJ21">
        <v>7</v>
      </c>
      <c r="AK21" t="s">
        <v>32</v>
      </c>
      <c r="AL21">
        <v>4</v>
      </c>
      <c r="AM21" t="s">
        <v>32</v>
      </c>
      <c r="AN21" s="268" t="s">
        <v>32</v>
      </c>
      <c r="AO21">
        <v>3</v>
      </c>
      <c r="AP21">
        <v>4</v>
      </c>
      <c r="AQ21" s="268">
        <v>7</v>
      </c>
      <c r="AR21" s="78">
        <v>510000</v>
      </c>
      <c r="AS21" s="268" t="s">
        <v>33</v>
      </c>
      <c r="AT21" s="372" t="s">
        <v>529</v>
      </c>
      <c r="AU21" s="6">
        <f t="shared" si="2"/>
        <v>4.833333333333333</v>
      </c>
      <c r="AV21" s="9" t="str">
        <f t="shared" si="3"/>
        <v>Bench</v>
      </c>
      <c r="AW21" s="6">
        <f t="shared" si="4"/>
        <v>4.833333333333333</v>
      </c>
      <c r="AX21" s="6" t="str">
        <f t="shared" si="5"/>
        <v>Bench</v>
      </c>
      <c r="AY21" s="9">
        <f t="shared" si="6"/>
        <v>4.833333333333333</v>
      </c>
      <c r="AZ21" s="9" t="str">
        <f t="shared" si="7"/>
        <v>Bench</v>
      </c>
      <c r="BA21" s="266">
        <f t="shared" si="8"/>
        <v>0</v>
      </c>
      <c r="BB21" s="267">
        <f t="shared" si="9"/>
        <v>0</v>
      </c>
      <c r="BC21" s="267">
        <f t="shared" si="10"/>
        <v>0</v>
      </c>
      <c r="BD21" s="267">
        <f t="shared" si="11"/>
        <v>0</v>
      </c>
      <c r="BE21" s="267">
        <f t="shared" si="12"/>
        <v>0</v>
      </c>
      <c r="BF21" s="267">
        <f t="shared" si="13"/>
        <v>0</v>
      </c>
      <c r="BG21" s="267">
        <f t="shared" si="14"/>
        <v>0</v>
      </c>
      <c r="BH21" s="267">
        <f t="shared" si="15"/>
        <v>1</v>
      </c>
      <c r="BI21" s="268">
        <f t="shared" si="16"/>
        <v>1</v>
      </c>
      <c r="BJ21" s="266">
        <f t="shared" si="17"/>
        <v>0</v>
      </c>
      <c r="BK21" s="267">
        <f t="shared" si="18"/>
        <v>0</v>
      </c>
      <c r="BL21" s="267">
        <f t="shared" si="19"/>
        <v>0</v>
      </c>
      <c r="BM21" s="267">
        <f t="shared" si="20"/>
        <v>0</v>
      </c>
      <c r="BN21" s="267">
        <f t="shared" si="21"/>
        <v>0</v>
      </c>
      <c r="BO21" s="267">
        <f t="shared" si="22"/>
        <v>0</v>
      </c>
      <c r="BP21" s="267">
        <f t="shared" si="23"/>
        <v>0</v>
      </c>
      <c r="BQ21" s="267">
        <f t="shared" si="24"/>
        <v>1</v>
      </c>
      <c r="BR21" s="268">
        <f t="shared" si="25"/>
        <v>1</v>
      </c>
      <c r="BS21" s="268">
        <f t="shared" si="26"/>
        <v>1</v>
      </c>
      <c r="BT21" s="7">
        <f t="shared" si="27"/>
        <v>1</v>
      </c>
      <c r="BU21" t="str">
        <f t="shared" si="28"/>
        <v/>
      </c>
      <c r="BV21" s="306" t="e">
        <f>IF(S21="-","-",VLOOKUP($A21,AMABat!$A$10:$AS$1137,BV$9,FALSE)-S21)</f>
        <v>#N/A</v>
      </c>
      <c r="BW21" s="306" t="e">
        <f>IF(T21="-","-",VLOOKUP($A21,AMABat!$A$10:$AS$1137,BW$9,FALSE)-T21)</f>
        <v>#N/A</v>
      </c>
      <c r="BX21" s="306" t="e">
        <f>IF(U21="-","-",VLOOKUP($A21,AMABat!$A$10:$AS$1137,BX$9,FALSE)-U21)</f>
        <v>#N/A</v>
      </c>
      <c r="BY21" s="306" t="e">
        <f>IF(V21="-","-",VLOOKUP($A21,AMABat!$A$10:$AS$1137,BY$9,FALSE)-V21)</f>
        <v>#N/A</v>
      </c>
      <c r="BZ21" s="306" t="e">
        <f>IF(W21="-","-",VLOOKUP($A21,AMABat!$A$10:$AS$1137,BZ$9,FALSE)-W21)</f>
        <v>#N/A</v>
      </c>
      <c r="CA21" s="306" t="e">
        <f>IF(X21="-","-",VLOOKUP($A21,AMABat!$A$10:$AS$1137,CA$9,FALSE)-X21)</f>
        <v>#N/A</v>
      </c>
      <c r="CB21" s="306" t="e">
        <f>IF(Y21="-","-",VLOOKUP($A21,AMABat!$A$10:$AS$1137,CB$9,FALSE)-Y21)</f>
        <v>#N/A</v>
      </c>
      <c r="CC21" s="306" t="e">
        <f>IF(Z21="-","-",VLOOKUP($A21,AMABat!$A$10:$AS$1137,CC$9,FALSE)-Z21)</f>
        <v>#N/A</v>
      </c>
      <c r="CD21" s="306" t="e">
        <f>IF(AA21="-","-",VLOOKUP($A21,AMABat!$A$10:$AS$1137,CD$9,FALSE)-AA21)</f>
        <v>#N/A</v>
      </c>
      <c r="CE21" s="306" t="e">
        <f>IF(AB21="-","-",VLOOKUP($A21,AMABat!$A$10:$AS$1137,CE$9,FALSE)-AB21)</f>
        <v>#N/A</v>
      </c>
      <c r="CF21" s="306" t="e">
        <f>IF(AC21="-","-",VLOOKUP($A21,AMABat!$A$10:$AS$1137,CF$9,FALSE)-AC21)</f>
        <v>#N/A</v>
      </c>
      <c r="CG21" s="306" t="e">
        <f>IF(AD21="-","-",VLOOKUP($A21,AMABat!$A$10:$AS$1137,CG$9,FALSE)-AD21)</f>
        <v>#N/A</v>
      </c>
      <c r="CH21" s="306" t="e">
        <f>IF(AE21="-","-",VLOOKUP($A21,AMABat!$A$10:$AS$1137,CH$9,FALSE)-AE21)</f>
        <v>#N/A</v>
      </c>
      <c r="CI21" s="306" t="str">
        <f>IF(AG21="-","-",VLOOKUP($A21,AMABat!$A$10:$AS$1137,CI$9,FALSE)-AG21)</f>
        <v>-</v>
      </c>
      <c r="CJ21" s="306" t="str">
        <f>IF(AH21="-","-",VLOOKUP($A21,AMABat!$A$10:$AS$1137,CJ$9,FALSE)-AH21)</f>
        <v>-</v>
      </c>
      <c r="CK21" s="306" t="str">
        <f>IF(AI21="-","-",VLOOKUP($A21,AMABat!$A$10:$AS$1137,CK$9,FALSE)-AI21)</f>
        <v>-</v>
      </c>
      <c r="CL21" s="306" t="e">
        <f>IF(AJ21="-","-",VLOOKUP($A21,AMABat!$A$10:$AS$1137,CL$9,FALSE)-AJ21)</f>
        <v>#N/A</v>
      </c>
      <c r="CM21" s="306" t="str">
        <f>IF(AK21="-","-",VLOOKUP($A21,AMABat!$A$10:$AS$1137,CM$9,FALSE)-AK21)</f>
        <v>-</v>
      </c>
      <c r="CN21" s="306" t="e">
        <f>IF(AL21="-","-",VLOOKUP($A21,AMABat!$A$10:$AS$1137,CN$9,FALSE)-AL21)</f>
        <v>#N/A</v>
      </c>
      <c r="CO21" s="306" t="str">
        <f>IF(AM21="-","-",VLOOKUP($A21,AMABat!$A$10:$AS$1137,CO$9,FALSE)-AM21)</f>
        <v>-</v>
      </c>
      <c r="CP21" s="306" t="str">
        <f>IF(AN21="-","-",VLOOKUP($A21,AMABat!$A$10:$AS$1137,CP$9,FALSE)-AN21)</f>
        <v>-</v>
      </c>
      <c r="CQ21" s="306" t="e">
        <f>IF(AO21="-","-",VLOOKUP($A21,AMABat!$A$10:$AS$1137,CQ$9,FALSE)-AO21)</f>
        <v>#N/A</v>
      </c>
      <c r="CR21" s="306" t="e">
        <f>IF(AP21="-","-",VLOOKUP($A21,AMABat!$A$10:$AS$1137,CR$9,FALSE)-AP21)</f>
        <v>#N/A</v>
      </c>
      <c r="CS21" s="306" t="e">
        <f>IF(AQ21="-","-",VLOOKUP($A21,AMABat!$A$10:$AS$1137,CS$9,FALSE)-AQ21)</f>
        <v>#N/A</v>
      </c>
      <c r="CT21" s="84" t="e">
        <f t="shared" si="29"/>
        <v>#N/A</v>
      </c>
      <c r="CU21" s="84" t="e">
        <f t="shared" si="30"/>
        <v>#N/A</v>
      </c>
      <c r="CV21" s="84" t="e">
        <f t="shared" si="31"/>
        <v>#N/A</v>
      </c>
      <c r="CW21" s="84" t="e">
        <f t="shared" si="32"/>
        <v>#N/A</v>
      </c>
      <c r="CX21" s="84" t="e">
        <f t="shared" si="33"/>
        <v>#N/A</v>
      </c>
    </row>
    <row r="22" spans="1:102" x14ac:dyDescent="0.25">
      <c r="A22" s="306" t="s">
        <v>450</v>
      </c>
      <c r="B22" s="305" t="s">
        <v>184</v>
      </c>
      <c r="C22" s="305"/>
      <c r="D22" s="305">
        <v>5</v>
      </c>
      <c r="E22" s="305">
        <v>5</v>
      </c>
      <c r="F22" s="305" t="s">
        <v>81</v>
      </c>
      <c r="G22" t="s">
        <v>79</v>
      </c>
      <c r="H22" t="s">
        <v>400</v>
      </c>
      <c r="I22" s="305" t="s">
        <v>793</v>
      </c>
      <c r="J22" t="s">
        <v>769</v>
      </c>
      <c r="K22" t="s">
        <v>186</v>
      </c>
      <c r="L22">
        <v>34</v>
      </c>
      <c r="M22" t="s">
        <v>85</v>
      </c>
      <c r="N22" t="s">
        <v>82</v>
      </c>
      <c r="O22" t="s">
        <v>773</v>
      </c>
      <c r="P22" s="3" t="s">
        <v>773</v>
      </c>
      <c r="Q22" t="s">
        <v>201</v>
      </c>
      <c r="R22" s="3" t="s">
        <v>200</v>
      </c>
      <c r="S22">
        <v>5</v>
      </c>
      <c r="T22">
        <v>4</v>
      </c>
      <c r="U22">
        <v>4</v>
      </c>
      <c r="V22">
        <v>7</v>
      </c>
      <c r="W22" s="3">
        <v>4</v>
      </c>
      <c r="X22">
        <v>5</v>
      </c>
      <c r="Y22">
        <v>4</v>
      </c>
      <c r="Z22">
        <v>4</v>
      </c>
      <c r="AA22">
        <v>7</v>
      </c>
      <c r="AB22" s="3">
        <v>4</v>
      </c>
      <c r="AC22">
        <v>1</v>
      </c>
      <c r="AD22">
        <v>5</v>
      </c>
      <c r="AE22">
        <v>1</v>
      </c>
      <c r="AF22" s="305">
        <v>1</v>
      </c>
      <c r="AG22" t="s">
        <v>32</v>
      </c>
      <c r="AH22" t="s">
        <v>32</v>
      </c>
      <c r="AI22" t="s">
        <v>32</v>
      </c>
      <c r="AJ22" t="s">
        <v>32</v>
      </c>
      <c r="AK22" t="s">
        <v>32</v>
      </c>
      <c r="AL22">
        <v>1</v>
      </c>
      <c r="AM22" t="s">
        <v>32</v>
      </c>
      <c r="AN22" s="3">
        <v>3</v>
      </c>
      <c r="AO22">
        <v>4</v>
      </c>
      <c r="AP22">
        <v>8</v>
      </c>
      <c r="AQ22" s="3">
        <v>8</v>
      </c>
      <c r="AR22" s="78" t="s">
        <v>32</v>
      </c>
      <c r="AS22" s="3" t="s">
        <v>33</v>
      </c>
      <c r="AT22" s="372" t="s">
        <v>529</v>
      </c>
      <c r="AU22" s="6">
        <f t="shared" si="2"/>
        <v>4.833333333333333</v>
      </c>
      <c r="AV22" s="9" t="str">
        <f t="shared" si="3"/>
        <v>Bench</v>
      </c>
      <c r="AW22" s="6">
        <f t="shared" si="4"/>
        <v>4.833333333333333</v>
      </c>
      <c r="AX22" s="6" t="str">
        <f t="shared" si="5"/>
        <v>Bench</v>
      </c>
      <c r="AY22" s="9">
        <f t="shared" si="6"/>
        <v>4.833333333333333</v>
      </c>
      <c r="AZ22" s="9" t="str">
        <f t="shared" si="7"/>
        <v>Bench</v>
      </c>
      <c r="BA22" s="46">
        <f t="shared" si="8"/>
        <v>0</v>
      </c>
      <c r="BB22" s="5">
        <f t="shared" si="9"/>
        <v>0</v>
      </c>
      <c r="BC22" s="5">
        <f t="shared" si="10"/>
        <v>0</v>
      </c>
      <c r="BD22" s="5">
        <f t="shared" si="11"/>
        <v>0</v>
      </c>
      <c r="BE22" s="5">
        <f t="shared" si="12"/>
        <v>0</v>
      </c>
      <c r="BF22" s="5">
        <f t="shared" si="13"/>
        <v>0</v>
      </c>
      <c r="BG22" s="5">
        <f t="shared" si="14"/>
        <v>1</v>
      </c>
      <c r="BH22" s="5">
        <f t="shared" si="15"/>
        <v>1</v>
      </c>
      <c r="BI22" s="3">
        <f t="shared" si="16"/>
        <v>1</v>
      </c>
      <c r="BJ22" s="46">
        <f t="shared" si="17"/>
        <v>0</v>
      </c>
      <c r="BK22" s="5">
        <f t="shared" si="18"/>
        <v>0</v>
      </c>
      <c r="BL22" s="5">
        <f t="shared" si="19"/>
        <v>0</v>
      </c>
      <c r="BM22" s="5">
        <f t="shared" si="20"/>
        <v>0</v>
      </c>
      <c r="BN22" s="5">
        <f t="shared" si="21"/>
        <v>0</v>
      </c>
      <c r="BO22" s="5">
        <f t="shared" si="22"/>
        <v>0</v>
      </c>
      <c r="BP22" s="5">
        <f t="shared" si="23"/>
        <v>1</v>
      </c>
      <c r="BQ22" s="5">
        <f t="shared" si="24"/>
        <v>1</v>
      </c>
      <c r="BR22" s="3">
        <f t="shared" si="25"/>
        <v>1</v>
      </c>
      <c r="BS22" s="3">
        <f t="shared" si="26"/>
        <v>2</v>
      </c>
      <c r="BT22" s="7">
        <f t="shared" si="27"/>
        <v>0</v>
      </c>
      <c r="BU22" t="str">
        <f t="shared" si="28"/>
        <v/>
      </c>
      <c r="BV22" s="306" t="e">
        <f>IF(S22="-","-",VLOOKUP($A22,AMABat!$A$10:$AS$1137,BV$9,FALSE)-S22)</f>
        <v>#N/A</v>
      </c>
      <c r="BW22" s="306" t="e">
        <f>IF(T22="-","-",VLOOKUP($A22,AMABat!$A$10:$AS$1137,BW$9,FALSE)-T22)</f>
        <v>#N/A</v>
      </c>
      <c r="BX22" s="306" t="e">
        <f>IF(U22="-","-",VLOOKUP($A22,AMABat!$A$10:$AS$1137,BX$9,FALSE)-U22)</f>
        <v>#N/A</v>
      </c>
      <c r="BY22" s="306" t="e">
        <f>IF(V22="-","-",VLOOKUP($A22,AMABat!$A$10:$AS$1137,BY$9,FALSE)-V22)</f>
        <v>#N/A</v>
      </c>
      <c r="BZ22" s="306" t="e">
        <f>IF(W22="-","-",VLOOKUP($A22,AMABat!$A$10:$AS$1137,BZ$9,FALSE)-W22)</f>
        <v>#N/A</v>
      </c>
      <c r="CA22" s="306" t="e">
        <f>IF(X22="-","-",VLOOKUP($A22,AMABat!$A$10:$AS$1137,CA$9,FALSE)-X22)</f>
        <v>#N/A</v>
      </c>
      <c r="CB22" s="306" t="e">
        <f>IF(Y22="-","-",VLOOKUP($A22,AMABat!$A$10:$AS$1137,CB$9,FALSE)-Y22)</f>
        <v>#N/A</v>
      </c>
      <c r="CC22" s="306" t="e">
        <f>IF(Z22="-","-",VLOOKUP($A22,AMABat!$A$10:$AS$1137,CC$9,FALSE)-Z22)</f>
        <v>#N/A</v>
      </c>
      <c r="CD22" s="306" t="e">
        <f>IF(AA22="-","-",VLOOKUP($A22,AMABat!$A$10:$AS$1137,CD$9,FALSE)-AA22)</f>
        <v>#N/A</v>
      </c>
      <c r="CE22" s="306" t="e">
        <f>IF(AB22="-","-",VLOOKUP($A22,AMABat!$A$10:$AS$1137,CE$9,FALSE)-AB22)</f>
        <v>#N/A</v>
      </c>
      <c r="CF22" s="306" t="e">
        <f>IF(AC22="-","-",VLOOKUP($A22,AMABat!$A$10:$AS$1137,CF$9,FALSE)-AC22)</f>
        <v>#N/A</v>
      </c>
      <c r="CG22" s="306" t="e">
        <f>IF(AD22="-","-",VLOOKUP($A22,AMABat!$A$10:$AS$1137,CG$9,FALSE)-AD22)</f>
        <v>#N/A</v>
      </c>
      <c r="CH22" s="306" t="e">
        <f>IF(AE22="-","-",VLOOKUP($A22,AMABat!$A$10:$AS$1137,CH$9,FALSE)-AE22)</f>
        <v>#N/A</v>
      </c>
      <c r="CI22" s="306" t="str">
        <f>IF(AG22="-","-",VLOOKUP($A22,AMABat!$A$10:$AS$1137,CI$9,FALSE)-AG22)</f>
        <v>-</v>
      </c>
      <c r="CJ22" s="306" t="str">
        <f>IF(AH22="-","-",VLOOKUP($A22,AMABat!$A$10:$AS$1137,CJ$9,FALSE)-AH22)</f>
        <v>-</v>
      </c>
      <c r="CK22" s="306" t="str">
        <f>IF(AI22="-","-",VLOOKUP($A22,AMABat!$A$10:$AS$1137,CK$9,FALSE)-AI22)</f>
        <v>-</v>
      </c>
      <c r="CL22" s="306" t="str">
        <f>IF(AJ22="-","-",VLOOKUP($A22,AMABat!$A$10:$AS$1137,CL$9,FALSE)-AJ22)</f>
        <v>-</v>
      </c>
      <c r="CM22" s="306" t="str">
        <f>IF(AK22="-","-",VLOOKUP($A22,AMABat!$A$10:$AS$1137,CM$9,FALSE)-AK22)</f>
        <v>-</v>
      </c>
      <c r="CN22" s="306" t="e">
        <f>IF(AL22="-","-",VLOOKUP($A22,AMABat!$A$10:$AS$1137,CN$9,FALSE)-AL22)</f>
        <v>#N/A</v>
      </c>
      <c r="CO22" s="306" t="str">
        <f>IF(AM22="-","-",VLOOKUP($A22,AMABat!$A$10:$AS$1137,CO$9,FALSE)-AM22)</f>
        <v>-</v>
      </c>
      <c r="CP22" s="306" t="e">
        <f>IF(AN22="-","-",VLOOKUP($A22,AMABat!$A$10:$AS$1137,CP$9,FALSE)-AN22)</f>
        <v>#N/A</v>
      </c>
      <c r="CQ22" s="306" t="e">
        <f>IF(AO22="-","-",VLOOKUP($A22,AMABat!$A$10:$AS$1137,CQ$9,FALSE)-AO22)</f>
        <v>#N/A</v>
      </c>
      <c r="CR22" s="306" t="e">
        <f>IF(AP22="-","-",VLOOKUP($A22,AMABat!$A$10:$AS$1137,CR$9,FALSE)-AP22)</f>
        <v>#N/A</v>
      </c>
      <c r="CS22" s="306" t="e">
        <f>IF(AQ22="-","-",VLOOKUP($A22,AMABat!$A$10:$AS$1137,CS$9,FALSE)-AQ22)</f>
        <v>#N/A</v>
      </c>
      <c r="CT22" s="84" t="e">
        <f t="shared" si="29"/>
        <v>#N/A</v>
      </c>
      <c r="CU22" s="84" t="e">
        <f t="shared" si="30"/>
        <v>#N/A</v>
      </c>
      <c r="CV22" s="84" t="e">
        <f t="shared" si="31"/>
        <v>#N/A</v>
      </c>
      <c r="CW22" s="84" t="e">
        <f t="shared" si="32"/>
        <v>#N/A</v>
      </c>
      <c r="CX22" s="84" t="e">
        <f t="shared" si="33"/>
        <v>#N/A</v>
      </c>
    </row>
    <row r="23" spans="1:102" x14ac:dyDescent="0.25">
      <c r="A23" s="306" t="s">
        <v>623</v>
      </c>
      <c r="B23" s="305" t="s">
        <v>534</v>
      </c>
      <c r="C23" s="305"/>
      <c r="D23" s="305">
        <v>2</v>
      </c>
      <c r="E23" s="305" t="s">
        <v>32</v>
      </c>
      <c r="F23" s="305" t="s">
        <v>72</v>
      </c>
      <c r="G23" t="s">
        <v>76</v>
      </c>
      <c r="H23" t="s">
        <v>796</v>
      </c>
      <c r="I23" s="305" t="s">
        <v>442</v>
      </c>
      <c r="J23" t="s">
        <v>763</v>
      </c>
      <c r="K23" t="s">
        <v>402</v>
      </c>
      <c r="L23">
        <v>32</v>
      </c>
      <c r="M23" t="s">
        <v>83</v>
      </c>
      <c r="N23" t="s">
        <v>83</v>
      </c>
      <c r="O23" t="s">
        <v>764</v>
      </c>
      <c r="P23" s="3" t="s">
        <v>764</v>
      </c>
      <c r="Q23" t="s">
        <v>201</v>
      </c>
      <c r="R23" s="3" t="s">
        <v>200</v>
      </c>
      <c r="S23">
        <v>5</v>
      </c>
      <c r="T23">
        <v>5</v>
      </c>
      <c r="U23">
        <v>3</v>
      </c>
      <c r="V23">
        <v>8</v>
      </c>
      <c r="W23" s="3">
        <v>4</v>
      </c>
      <c r="X23">
        <v>5</v>
      </c>
      <c r="Y23">
        <v>5</v>
      </c>
      <c r="Z23">
        <v>3</v>
      </c>
      <c r="AA23">
        <v>8</v>
      </c>
      <c r="AB23" s="3">
        <v>4</v>
      </c>
      <c r="AC23">
        <v>5</v>
      </c>
      <c r="AD23">
        <v>1</v>
      </c>
      <c r="AE23">
        <v>1</v>
      </c>
      <c r="AF23" s="305">
        <v>1</v>
      </c>
      <c r="AG23" t="s">
        <v>32</v>
      </c>
      <c r="AH23" t="s">
        <v>32</v>
      </c>
      <c r="AI23">
        <v>8</v>
      </c>
      <c r="AJ23" t="s">
        <v>32</v>
      </c>
      <c r="AK23">
        <v>7</v>
      </c>
      <c r="AL23" t="s">
        <v>32</v>
      </c>
      <c r="AM23" t="s">
        <v>32</v>
      </c>
      <c r="AN23" s="3" t="s">
        <v>32</v>
      </c>
      <c r="AO23">
        <v>8</v>
      </c>
      <c r="AP23">
        <v>9</v>
      </c>
      <c r="AQ23" s="3">
        <v>7</v>
      </c>
      <c r="AR23" s="78">
        <v>510000</v>
      </c>
      <c r="AS23" s="3" t="s">
        <v>33</v>
      </c>
      <c r="AT23" s="372" t="s">
        <v>529</v>
      </c>
      <c r="AU23" s="6">
        <f t="shared" si="2"/>
        <v>4.833333333333333</v>
      </c>
      <c r="AV23" s="9" t="str">
        <f t="shared" si="3"/>
        <v>Bench</v>
      </c>
      <c r="AW23" s="6">
        <f t="shared" si="4"/>
        <v>4.833333333333333</v>
      </c>
      <c r="AX23" s="6" t="str">
        <f t="shared" si="5"/>
        <v>Bench</v>
      </c>
      <c r="AY23" s="9">
        <f t="shared" si="6"/>
        <v>4.833333333333333</v>
      </c>
      <c r="AZ23" s="9" t="str">
        <f t="shared" si="7"/>
        <v>Bench</v>
      </c>
      <c r="BA23" s="46">
        <f t="shared" si="8"/>
        <v>1</v>
      </c>
      <c r="BB23" s="5">
        <f t="shared" si="9"/>
        <v>1</v>
      </c>
      <c r="BC23" s="5">
        <f t="shared" si="10"/>
        <v>0</v>
      </c>
      <c r="BD23" s="5">
        <f t="shared" si="11"/>
        <v>0</v>
      </c>
      <c r="BE23" s="5">
        <f t="shared" si="12"/>
        <v>0</v>
      </c>
      <c r="BF23" s="5">
        <f t="shared" si="13"/>
        <v>0</v>
      </c>
      <c r="BG23" s="5">
        <f t="shared" si="14"/>
        <v>1</v>
      </c>
      <c r="BH23" s="5">
        <f t="shared" si="15"/>
        <v>1</v>
      </c>
      <c r="BI23" s="3">
        <f t="shared" si="16"/>
        <v>1</v>
      </c>
      <c r="BJ23" s="46">
        <f t="shared" si="17"/>
        <v>1</v>
      </c>
      <c r="BK23" s="5">
        <f t="shared" si="18"/>
        <v>1</v>
      </c>
      <c r="BL23" s="5">
        <f t="shared" si="19"/>
        <v>0</v>
      </c>
      <c r="BM23" s="5">
        <f t="shared" si="20"/>
        <v>0</v>
      </c>
      <c r="BN23" s="5">
        <f t="shared" si="21"/>
        <v>0</v>
      </c>
      <c r="BO23" s="5">
        <f t="shared" si="22"/>
        <v>0</v>
      </c>
      <c r="BP23" s="5">
        <f t="shared" si="23"/>
        <v>1</v>
      </c>
      <c r="BQ23" s="5">
        <f t="shared" si="24"/>
        <v>1</v>
      </c>
      <c r="BR23" s="3">
        <f t="shared" si="25"/>
        <v>1</v>
      </c>
      <c r="BS23" s="3">
        <f t="shared" si="26"/>
        <v>4</v>
      </c>
      <c r="BT23" s="7">
        <f t="shared" si="27"/>
        <v>2</v>
      </c>
      <c r="BU23" t="str">
        <f t="shared" si="28"/>
        <v/>
      </c>
      <c r="BV23" s="306" t="e">
        <f>IF(S23="-","-",VLOOKUP($A23,AMABat!$A$10:$AS$1137,BV$9,FALSE)-S23)</f>
        <v>#N/A</v>
      </c>
      <c r="BW23" s="306" t="e">
        <f>IF(T23="-","-",VLOOKUP($A23,AMABat!$A$10:$AS$1137,BW$9,FALSE)-T23)</f>
        <v>#N/A</v>
      </c>
      <c r="BX23" s="306" t="e">
        <f>IF(U23="-","-",VLOOKUP($A23,AMABat!$A$10:$AS$1137,BX$9,FALSE)-U23)</f>
        <v>#N/A</v>
      </c>
      <c r="BY23" s="306" t="e">
        <f>IF(V23="-","-",VLOOKUP($A23,AMABat!$A$10:$AS$1137,BY$9,FALSE)-V23)</f>
        <v>#N/A</v>
      </c>
      <c r="BZ23" s="306" t="e">
        <f>IF(W23="-","-",VLOOKUP($A23,AMABat!$A$10:$AS$1137,BZ$9,FALSE)-W23)</f>
        <v>#N/A</v>
      </c>
      <c r="CA23" s="306" t="e">
        <f>IF(X23="-","-",VLOOKUP($A23,AMABat!$A$10:$AS$1137,CA$9,FALSE)-X23)</f>
        <v>#N/A</v>
      </c>
      <c r="CB23" s="306" t="e">
        <f>IF(Y23="-","-",VLOOKUP($A23,AMABat!$A$10:$AS$1137,CB$9,FALSE)-Y23)</f>
        <v>#N/A</v>
      </c>
      <c r="CC23" s="306" t="e">
        <f>IF(Z23="-","-",VLOOKUP($A23,AMABat!$A$10:$AS$1137,CC$9,FALSE)-Z23)</f>
        <v>#N/A</v>
      </c>
      <c r="CD23" s="306" t="e">
        <f>IF(AA23="-","-",VLOOKUP($A23,AMABat!$A$10:$AS$1137,CD$9,FALSE)-AA23)</f>
        <v>#N/A</v>
      </c>
      <c r="CE23" s="306" t="e">
        <f>IF(AB23="-","-",VLOOKUP($A23,AMABat!$A$10:$AS$1137,CE$9,FALSE)-AB23)</f>
        <v>#N/A</v>
      </c>
      <c r="CF23" s="306" t="e">
        <f>IF(AC23="-","-",VLOOKUP($A23,AMABat!$A$10:$AS$1137,CF$9,FALSE)-AC23)</f>
        <v>#N/A</v>
      </c>
      <c r="CG23" s="306" t="e">
        <f>IF(AD23="-","-",VLOOKUP($A23,AMABat!$A$10:$AS$1137,CG$9,FALSE)-AD23)</f>
        <v>#N/A</v>
      </c>
      <c r="CH23" s="306" t="e">
        <f>IF(AE23="-","-",VLOOKUP($A23,AMABat!$A$10:$AS$1137,CH$9,FALSE)-AE23)</f>
        <v>#N/A</v>
      </c>
      <c r="CI23" s="306" t="str">
        <f>IF(AG23="-","-",VLOOKUP($A23,AMABat!$A$10:$AS$1137,CI$9,FALSE)-AG23)</f>
        <v>-</v>
      </c>
      <c r="CJ23" s="306" t="str">
        <f>IF(AH23="-","-",VLOOKUP($A23,AMABat!$A$10:$AS$1137,CJ$9,FALSE)-AH23)</f>
        <v>-</v>
      </c>
      <c r="CK23" s="306" t="e">
        <f>IF(AI23="-","-",VLOOKUP($A23,AMABat!$A$10:$AS$1137,CK$9,FALSE)-AI23)</f>
        <v>#N/A</v>
      </c>
      <c r="CL23" s="306" t="str">
        <f>IF(AJ23="-","-",VLOOKUP($A23,AMABat!$A$10:$AS$1137,CL$9,FALSE)-AJ23)</f>
        <v>-</v>
      </c>
      <c r="CM23" s="306" t="e">
        <f>IF(AK23="-","-",VLOOKUP($A23,AMABat!$A$10:$AS$1137,CM$9,FALSE)-AK23)</f>
        <v>#N/A</v>
      </c>
      <c r="CN23" s="306" t="str">
        <f>IF(AL23="-","-",VLOOKUP($A23,AMABat!$A$10:$AS$1137,CN$9,FALSE)-AL23)</f>
        <v>-</v>
      </c>
      <c r="CO23" s="306" t="str">
        <f>IF(AM23="-","-",VLOOKUP($A23,AMABat!$A$10:$AS$1137,CO$9,FALSE)-AM23)</f>
        <v>-</v>
      </c>
      <c r="CP23" s="306" t="str">
        <f>IF(AN23="-","-",VLOOKUP($A23,AMABat!$A$10:$AS$1137,CP$9,FALSE)-AN23)</f>
        <v>-</v>
      </c>
      <c r="CQ23" s="306" t="e">
        <f>IF(AO23="-","-",VLOOKUP($A23,AMABat!$A$10:$AS$1137,CQ$9,FALSE)-AO23)</f>
        <v>#N/A</v>
      </c>
      <c r="CR23" s="306" t="e">
        <f>IF(AP23="-","-",VLOOKUP($A23,AMABat!$A$10:$AS$1137,CR$9,FALSE)-AP23)</f>
        <v>#N/A</v>
      </c>
      <c r="CS23" s="306" t="e">
        <f>IF(AQ23="-","-",VLOOKUP($A23,AMABat!$A$10:$AS$1137,CS$9,FALSE)-AQ23)</f>
        <v>#N/A</v>
      </c>
      <c r="CT23" s="84" t="e">
        <f t="shared" si="29"/>
        <v>#N/A</v>
      </c>
      <c r="CU23" s="84" t="e">
        <f t="shared" si="30"/>
        <v>#N/A</v>
      </c>
      <c r="CV23" s="84" t="e">
        <f t="shared" si="31"/>
        <v>#N/A</v>
      </c>
      <c r="CW23" s="84" t="e">
        <f t="shared" si="32"/>
        <v>#N/A</v>
      </c>
      <c r="CX23" s="84" t="e">
        <f t="shared" si="33"/>
        <v>#N/A</v>
      </c>
    </row>
    <row r="24" spans="1:102" x14ac:dyDescent="0.25">
      <c r="A24" s="306" t="s">
        <v>451</v>
      </c>
      <c r="B24" s="305" t="s">
        <v>184</v>
      </c>
      <c r="C24" s="305"/>
      <c r="D24" s="305">
        <v>8</v>
      </c>
      <c r="E24" s="305">
        <v>8</v>
      </c>
      <c r="F24" s="305" t="s">
        <v>72</v>
      </c>
      <c r="G24" t="s">
        <v>77</v>
      </c>
      <c r="H24" t="s">
        <v>857</v>
      </c>
      <c r="I24" s="305" t="s">
        <v>858</v>
      </c>
      <c r="J24" t="s">
        <v>783</v>
      </c>
      <c r="K24" t="s">
        <v>185</v>
      </c>
      <c r="L24">
        <v>33</v>
      </c>
      <c r="M24" t="s">
        <v>83</v>
      </c>
      <c r="N24" t="s">
        <v>83</v>
      </c>
      <c r="O24" t="s">
        <v>773</v>
      </c>
      <c r="P24" s="3" t="s">
        <v>773</v>
      </c>
      <c r="Q24" t="s">
        <v>200</v>
      </c>
      <c r="R24" s="3" t="s">
        <v>200</v>
      </c>
      <c r="S24">
        <v>3</v>
      </c>
      <c r="T24">
        <v>4</v>
      </c>
      <c r="U24">
        <v>6</v>
      </c>
      <c r="V24">
        <v>10</v>
      </c>
      <c r="W24" s="3">
        <v>4</v>
      </c>
      <c r="X24">
        <v>3</v>
      </c>
      <c r="Y24">
        <v>4</v>
      </c>
      <c r="Z24">
        <v>6</v>
      </c>
      <c r="AA24">
        <v>10</v>
      </c>
      <c r="AB24" s="3">
        <v>4</v>
      </c>
      <c r="AC24">
        <v>2</v>
      </c>
      <c r="AD24">
        <v>5</v>
      </c>
      <c r="AE24">
        <v>1</v>
      </c>
      <c r="AF24" s="305">
        <v>1</v>
      </c>
      <c r="AG24" t="s">
        <v>32</v>
      </c>
      <c r="AH24">
        <v>1</v>
      </c>
      <c r="AI24" t="s">
        <v>32</v>
      </c>
      <c r="AJ24" t="s">
        <v>32</v>
      </c>
      <c r="AK24" t="s">
        <v>32</v>
      </c>
      <c r="AL24">
        <v>3</v>
      </c>
      <c r="AM24" t="s">
        <v>32</v>
      </c>
      <c r="AN24" s="3">
        <v>2</v>
      </c>
      <c r="AO24">
        <v>1</v>
      </c>
      <c r="AP24">
        <v>5</v>
      </c>
      <c r="AQ24" s="3">
        <v>2</v>
      </c>
      <c r="AR24" s="78" t="s">
        <v>32</v>
      </c>
      <c r="AS24" s="3" t="s">
        <v>33</v>
      </c>
      <c r="AT24" s="372" t="s">
        <v>529</v>
      </c>
      <c r="AU24" s="6">
        <f t="shared" si="2"/>
        <v>4.833333333333333</v>
      </c>
      <c r="AV24" s="9" t="str">
        <f t="shared" si="3"/>
        <v>Bench</v>
      </c>
      <c r="AW24" s="6">
        <f t="shared" si="4"/>
        <v>4.833333333333333</v>
      </c>
      <c r="AX24" s="6" t="str">
        <f t="shared" si="5"/>
        <v>Bench</v>
      </c>
      <c r="AY24" s="9">
        <f t="shared" si="6"/>
        <v>4.833333333333333</v>
      </c>
      <c r="AZ24" s="9" t="str">
        <f t="shared" si="7"/>
        <v>Bench</v>
      </c>
      <c r="BA24" s="46">
        <f t="shared" si="8"/>
        <v>0</v>
      </c>
      <c r="BB24" s="5">
        <f t="shared" si="9"/>
        <v>1</v>
      </c>
      <c r="BC24" s="5">
        <f t="shared" si="10"/>
        <v>0</v>
      </c>
      <c r="BD24" s="5">
        <f t="shared" si="11"/>
        <v>0</v>
      </c>
      <c r="BE24" s="5">
        <f t="shared" si="12"/>
        <v>0</v>
      </c>
      <c r="BF24" s="5">
        <f t="shared" si="13"/>
        <v>0</v>
      </c>
      <c r="BG24" s="5">
        <f t="shared" si="14"/>
        <v>0</v>
      </c>
      <c r="BH24" s="5">
        <f t="shared" si="15"/>
        <v>0</v>
      </c>
      <c r="BI24" s="3">
        <f t="shared" si="16"/>
        <v>0</v>
      </c>
      <c r="BJ24" s="46">
        <f t="shared" si="17"/>
        <v>0</v>
      </c>
      <c r="BK24" s="5">
        <f t="shared" si="18"/>
        <v>1</v>
      </c>
      <c r="BL24" s="5">
        <f t="shared" si="19"/>
        <v>0</v>
      </c>
      <c r="BM24" s="5">
        <f t="shared" si="20"/>
        <v>0</v>
      </c>
      <c r="BN24" s="5">
        <f t="shared" si="21"/>
        <v>0</v>
      </c>
      <c r="BO24" s="5">
        <f t="shared" si="22"/>
        <v>0</v>
      </c>
      <c r="BP24" s="5">
        <f t="shared" si="23"/>
        <v>0</v>
      </c>
      <c r="BQ24" s="5">
        <f t="shared" si="24"/>
        <v>0</v>
      </c>
      <c r="BR24" s="3">
        <f t="shared" si="25"/>
        <v>0</v>
      </c>
      <c r="BS24" s="3">
        <f t="shared" si="26"/>
        <v>0</v>
      </c>
      <c r="BT24" s="7">
        <f t="shared" si="27"/>
        <v>0</v>
      </c>
      <c r="BU24" t="str">
        <f t="shared" si="28"/>
        <v/>
      </c>
      <c r="BV24" s="306" t="e">
        <f>IF(S24="-","-",VLOOKUP($A24,AMABat!$A$10:$AS$1137,BV$9,FALSE)-S24)</f>
        <v>#N/A</v>
      </c>
      <c r="BW24" s="306" t="e">
        <f>IF(T24="-","-",VLOOKUP($A24,AMABat!$A$10:$AS$1137,BW$9,FALSE)-T24)</f>
        <v>#N/A</v>
      </c>
      <c r="BX24" s="306" t="e">
        <f>IF(U24="-","-",VLOOKUP($A24,AMABat!$A$10:$AS$1137,BX$9,FALSE)-U24)</f>
        <v>#N/A</v>
      </c>
      <c r="BY24" s="306" t="e">
        <f>IF(V24="-","-",VLOOKUP($A24,AMABat!$A$10:$AS$1137,BY$9,FALSE)-V24)</f>
        <v>#N/A</v>
      </c>
      <c r="BZ24" s="306" t="e">
        <f>IF(W24="-","-",VLOOKUP($A24,AMABat!$A$10:$AS$1137,BZ$9,FALSE)-W24)</f>
        <v>#N/A</v>
      </c>
      <c r="CA24" s="306" t="e">
        <f>IF(X24="-","-",VLOOKUP($A24,AMABat!$A$10:$AS$1137,CA$9,FALSE)-X24)</f>
        <v>#N/A</v>
      </c>
      <c r="CB24" s="306" t="e">
        <f>IF(Y24="-","-",VLOOKUP($A24,AMABat!$A$10:$AS$1137,CB$9,FALSE)-Y24)</f>
        <v>#N/A</v>
      </c>
      <c r="CC24" s="306" t="e">
        <f>IF(Z24="-","-",VLOOKUP($A24,AMABat!$A$10:$AS$1137,CC$9,FALSE)-Z24)</f>
        <v>#N/A</v>
      </c>
      <c r="CD24" s="306" t="e">
        <f>IF(AA24="-","-",VLOOKUP($A24,AMABat!$A$10:$AS$1137,CD$9,FALSE)-AA24)</f>
        <v>#N/A</v>
      </c>
      <c r="CE24" s="306" t="e">
        <f>IF(AB24="-","-",VLOOKUP($A24,AMABat!$A$10:$AS$1137,CE$9,FALSE)-AB24)</f>
        <v>#N/A</v>
      </c>
      <c r="CF24" s="306" t="e">
        <f>IF(AC24="-","-",VLOOKUP($A24,AMABat!$A$10:$AS$1137,CF$9,FALSE)-AC24)</f>
        <v>#N/A</v>
      </c>
      <c r="CG24" s="306" t="e">
        <f>IF(AD24="-","-",VLOOKUP($A24,AMABat!$A$10:$AS$1137,CG$9,FALSE)-AD24)</f>
        <v>#N/A</v>
      </c>
      <c r="CH24" s="306" t="e">
        <f>IF(AE24="-","-",VLOOKUP($A24,AMABat!$A$10:$AS$1137,CH$9,FALSE)-AE24)</f>
        <v>#N/A</v>
      </c>
      <c r="CI24" s="306" t="str">
        <f>IF(AG24="-","-",VLOOKUP($A24,AMABat!$A$10:$AS$1137,CI$9,FALSE)-AG24)</f>
        <v>-</v>
      </c>
      <c r="CJ24" s="306" t="e">
        <f>IF(AH24="-","-",VLOOKUP($A24,AMABat!$A$10:$AS$1137,CJ$9,FALSE)-AH24)</f>
        <v>#N/A</v>
      </c>
      <c r="CK24" s="306" t="str">
        <f>IF(AI24="-","-",VLOOKUP($A24,AMABat!$A$10:$AS$1137,CK$9,FALSE)-AI24)</f>
        <v>-</v>
      </c>
      <c r="CL24" s="306" t="str">
        <f>IF(AJ24="-","-",VLOOKUP($A24,AMABat!$A$10:$AS$1137,CL$9,FALSE)-AJ24)</f>
        <v>-</v>
      </c>
      <c r="CM24" s="306" t="str">
        <f>IF(AK24="-","-",VLOOKUP($A24,AMABat!$A$10:$AS$1137,CM$9,FALSE)-AK24)</f>
        <v>-</v>
      </c>
      <c r="CN24" s="306" t="e">
        <f>IF(AL24="-","-",VLOOKUP($A24,AMABat!$A$10:$AS$1137,CN$9,FALSE)-AL24)</f>
        <v>#N/A</v>
      </c>
      <c r="CO24" s="306" t="str">
        <f>IF(AM24="-","-",VLOOKUP($A24,AMABat!$A$10:$AS$1137,CO$9,FALSE)-AM24)</f>
        <v>-</v>
      </c>
      <c r="CP24" s="306" t="e">
        <f>IF(AN24="-","-",VLOOKUP($A24,AMABat!$A$10:$AS$1137,CP$9,FALSE)-AN24)</f>
        <v>#N/A</v>
      </c>
      <c r="CQ24" s="306" t="e">
        <f>IF(AO24="-","-",VLOOKUP($A24,AMABat!$A$10:$AS$1137,CQ$9,FALSE)-AO24)</f>
        <v>#N/A</v>
      </c>
      <c r="CR24" s="306" t="e">
        <f>IF(AP24="-","-",VLOOKUP($A24,AMABat!$A$10:$AS$1137,CR$9,FALSE)-AP24)</f>
        <v>#N/A</v>
      </c>
      <c r="CS24" s="306" t="e">
        <f>IF(AQ24="-","-",VLOOKUP($A24,AMABat!$A$10:$AS$1137,CS$9,FALSE)-AQ24)</f>
        <v>#N/A</v>
      </c>
      <c r="CT24" s="84" t="e">
        <f t="shared" si="29"/>
        <v>#N/A</v>
      </c>
      <c r="CU24" s="84" t="e">
        <f t="shared" si="30"/>
        <v>#N/A</v>
      </c>
      <c r="CV24" s="84" t="e">
        <f t="shared" si="31"/>
        <v>#N/A</v>
      </c>
      <c r="CW24" s="84" t="e">
        <f t="shared" si="32"/>
        <v>#N/A</v>
      </c>
      <c r="CX24" s="84" t="e">
        <f t="shared" si="33"/>
        <v>#N/A</v>
      </c>
    </row>
    <row r="25" spans="1:102" s="96" customFormat="1" x14ac:dyDescent="0.25">
      <c r="A25" s="306" t="s">
        <v>624</v>
      </c>
      <c r="B25" s="305" t="s">
        <v>534</v>
      </c>
      <c r="C25" s="305"/>
      <c r="D25" s="305">
        <v>7</v>
      </c>
      <c r="E25" s="305" t="s">
        <v>32</v>
      </c>
      <c r="F25" s="305" t="s">
        <v>81</v>
      </c>
      <c r="G25" t="s">
        <v>71</v>
      </c>
      <c r="H25" t="s">
        <v>1204</v>
      </c>
      <c r="I25" s="305" t="s">
        <v>1205</v>
      </c>
      <c r="J25" t="s">
        <v>763</v>
      </c>
      <c r="K25" t="s">
        <v>402</v>
      </c>
      <c r="L25">
        <v>29</v>
      </c>
      <c r="M25" t="s">
        <v>83</v>
      </c>
      <c r="N25" t="s">
        <v>83</v>
      </c>
      <c r="O25" t="s">
        <v>768</v>
      </c>
      <c r="P25" s="235" t="s">
        <v>768</v>
      </c>
      <c r="Q25" t="s">
        <v>201</v>
      </c>
      <c r="R25" s="235" t="s">
        <v>200</v>
      </c>
      <c r="S25">
        <v>6</v>
      </c>
      <c r="T25">
        <v>7</v>
      </c>
      <c r="U25">
        <v>6</v>
      </c>
      <c r="V25">
        <v>2</v>
      </c>
      <c r="W25" s="235">
        <v>5</v>
      </c>
      <c r="X25">
        <v>7</v>
      </c>
      <c r="Y25">
        <v>8</v>
      </c>
      <c r="Z25">
        <v>6</v>
      </c>
      <c r="AA25">
        <v>3</v>
      </c>
      <c r="AB25" s="235">
        <v>6</v>
      </c>
      <c r="AC25">
        <v>4</v>
      </c>
      <c r="AD25">
        <v>3</v>
      </c>
      <c r="AE25">
        <v>7</v>
      </c>
      <c r="AF25" s="305">
        <v>7</v>
      </c>
      <c r="AG25">
        <v>7</v>
      </c>
      <c r="AH25" t="s">
        <v>32</v>
      </c>
      <c r="AI25" t="s">
        <v>32</v>
      </c>
      <c r="AJ25" t="s">
        <v>32</v>
      </c>
      <c r="AK25" t="s">
        <v>32</v>
      </c>
      <c r="AL25" t="s">
        <v>32</v>
      </c>
      <c r="AM25" t="s">
        <v>32</v>
      </c>
      <c r="AN25" s="235" t="s">
        <v>32</v>
      </c>
      <c r="AO25">
        <v>1</v>
      </c>
      <c r="AP25">
        <v>1</v>
      </c>
      <c r="AQ25" s="235">
        <v>1</v>
      </c>
      <c r="AR25" s="78">
        <v>510000</v>
      </c>
      <c r="AS25" s="235" t="s">
        <v>33</v>
      </c>
      <c r="AT25" s="372" t="s">
        <v>199</v>
      </c>
      <c r="AU25" s="6">
        <f t="shared" si="2"/>
        <v>4.666666666666667</v>
      </c>
      <c r="AV25" s="9" t="str">
        <f t="shared" si="3"/>
        <v>Bench</v>
      </c>
      <c r="AW25" s="6">
        <f t="shared" si="4"/>
        <v>5.333333333333333</v>
      </c>
      <c r="AX25" s="6" t="str">
        <f t="shared" si="5"/>
        <v>Reg</v>
      </c>
      <c r="AY25" s="9">
        <f t="shared" si="6"/>
        <v>4.666666666666667</v>
      </c>
      <c r="AZ25" s="9" t="str">
        <f t="shared" si="7"/>
        <v>Bench</v>
      </c>
      <c r="BA25" s="46">
        <f t="shared" si="8"/>
        <v>0</v>
      </c>
      <c r="BB25" s="234">
        <f t="shared" si="9"/>
        <v>0</v>
      </c>
      <c r="BC25" s="234">
        <f t="shared" si="10"/>
        <v>0</v>
      </c>
      <c r="BD25" s="234">
        <f t="shared" si="11"/>
        <v>0</v>
      </c>
      <c r="BE25" s="234">
        <f t="shared" si="12"/>
        <v>0</v>
      </c>
      <c r="BF25" s="234">
        <f t="shared" si="13"/>
        <v>0</v>
      </c>
      <c r="BG25" s="234">
        <f t="shared" si="14"/>
        <v>0</v>
      </c>
      <c r="BH25" s="234">
        <f t="shared" si="15"/>
        <v>1</v>
      </c>
      <c r="BI25" s="235">
        <f t="shared" si="16"/>
        <v>1</v>
      </c>
      <c r="BJ25" s="46">
        <f t="shared" si="17"/>
        <v>0</v>
      </c>
      <c r="BK25" s="234">
        <f t="shared" si="18"/>
        <v>0</v>
      </c>
      <c r="BL25" s="234">
        <f t="shared" si="19"/>
        <v>0</v>
      </c>
      <c r="BM25" s="234">
        <f t="shared" si="20"/>
        <v>0</v>
      </c>
      <c r="BN25" s="234">
        <f t="shared" si="21"/>
        <v>0</v>
      </c>
      <c r="BO25" s="234">
        <f t="shared" si="22"/>
        <v>1</v>
      </c>
      <c r="BP25" s="234">
        <f t="shared" si="23"/>
        <v>1</v>
      </c>
      <c r="BQ25" s="234">
        <f t="shared" si="24"/>
        <v>1</v>
      </c>
      <c r="BR25" s="235">
        <f t="shared" si="25"/>
        <v>1</v>
      </c>
      <c r="BS25" s="235">
        <f t="shared" si="26"/>
        <v>0</v>
      </c>
      <c r="BT25" s="7">
        <f t="shared" si="27"/>
        <v>2</v>
      </c>
      <c r="BU25" t="str">
        <f t="shared" si="28"/>
        <v/>
      </c>
      <c r="BV25" s="306" t="e">
        <f>IF(S25="-","-",VLOOKUP($A25,AMABat!$A$10:$AS$1137,BV$9,FALSE)-S25)</f>
        <v>#N/A</v>
      </c>
      <c r="BW25" s="306" t="e">
        <f>IF(T25="-","-",VLOOKUP($A25,AMABat!$A$10:$AS$1137,BW$9,FALSE)-T25)</f>
        <v>#N/A</v>
      </c>
      <c r="BX25" s="306" t="e">
        <f>IF(U25="-","-",VLOOKUP($A25,AMABat!$A$10:$AS$1137,BX$9,FALSE)-U25)</f>
        <v>#N/A</v>
      </c>
      <c r="BY25" s="306" t="e">
        <f>IF(V25="-","-",VLOOKUP($A25,AMABat!$A$10:$AS$1137,BY$9,FALSE)-V25)</f>
        <v>#N/A</v>
      </c>
      <c r="BZ25" s="306" t="e">
        <f>IF(W25="-","-",VLOOKUP($A25,AMABat!$A$10:$AS$1137,BZ$9,FALSE)-W25)</f>
        <v>#N/A</v>
      </c>
      <c r="CA25" s="306" t="e">
        <f>IF(X25="-","-",VLOOKUP($A25,AMABat!$A$10:$AS$1137,CA$9,FALSE)-X25)</f>
        <v>#N/A</v>
      </c>
      <c r="CB25" s="306" t="e">
        <f>IF(Y25="-","-",VLOOKUP($A25,AMABat!$A$10:$AS$1137,CB$9,FALSE)-Y25)</f>
        <v>#N/A</v>
      </c>
      <c r="CC25" s="306" t="e">
        <f>IF(Z25="-","-",VLOOKUP($A25,AMABat!$A$10:$AS$1137,CC$9,FALSE)-Z25)</f>
        <v>#N/A</v>
      </c>
      <c r="CD25" s="306" t="e">
        <f>IF(AA25="-","-",VLOOKUP($A25,AMABat!$A$10:$AS$1137,CD$9,FALSE)-AA25)</f>
        <v>#N/A</v>
      </c>
      <c r="CE25" s="306" t="e">
        <f>IF(AB25="-","-",VLOOKUP($A25,AMABat!$A$10:$AS$1137,CE$9,FALSE)-AB25)</f>
        <v>#N/A</v>
      </c>
      <c r="CF25" s="306" t="e">
        <f>IF(AC25="-","-",VLOOKUP($A25,AMABat!$A$10:$AS$1137,CF$9,FALSE)-AC25)</f>
        <v>#N/A</v>
      </c>
      <c r="CG25" s="306" t="e">
        <f>IF(AD25="-","-",VLOOKUP($A25,AMABat!$A$10:$AS$1137,CG$9,FALSE)-AD25)</f>
        <v>#N/A</v>
      </c>
      <c r="CH25" s="306" t="e">
        <f>IF(AE25="-","-",VLOOKUP($A25,AMABat!$A$10:$AS$1137,CH$9,FALSE)-AE25)</f>
        <v>#N/A</v>
      </c>
      <c r="CI25" s="306" t="e">
        <f>IF(AG25="-","-",VLOOKUP($A25,AMABat!$A$10:$AS$1137,CI$9,FALSE)-AG25)</f>
        <v>#N/A</v>
      </c>
      <c r="CJ25" s="306" t="str">
        <f>IF(AH25="-","-",VLOOKUP($A25,AMABat!$A$10:$AS$1137,CJ$9,FALSE)-AH25)</f>
        <v>-</v>
      </c>
      <c r="CK25" s="306" t="str">
        <f>IF(AI25="-","-",VLOOKUP($A25,AMABat!$A$10:$AS$1137,CK$9,FALSE)-AI25)</f>
        <v>-</v>
      </c>
      <c r="CL25" s="306" t="str">
        <f>IF(AJ25="-","-",VLOOKUP($A25,AMABat!$A$10:$AS$1137,CL$9,FALSE)-AJ25)</f>
        <v>-</v>
      </c>
      <c r="CM25" s="306" t="str">
        <f>IF(AK25="-","-",VLOOKUP($A25,AMABat!$A$10:$AS$1137,CM$9,FALSE)-AK25)</f>
        <v>-</v>
      </c>
      <c r="CN25" s="306" t="str">
        <f>IF(AL25="-","-",VLOOKUP($A25,AMABat!$A$10:$AS$1137,CN$9,FALSE)-AL25)</f>
        <v>-</v>
      </c>
      <c r="CO25" s="306" t="str">
        <f>IF(AM25="-","-",VLOOKUP($A25,AMABat!$A$10:$AS$1137,CO$9,FALSE)-AM25)</f>
        <v>-</v>
      </c>
      <c r="CP25" s="306" t="str">
        <f>IF(AN25="-","-",VLOOKUP($A25,AMABat!$A$10:$AS$1137,CP$9,FALSE)-AN25)</f>
        <v>-</v>
      </c>
      <c r="CQ25" s="306" t="e">
        <f>IF(AO25="-","-",VLOOKUP($A25,AMABat!$A$10:$AS$1137,CQ$9,FALSE)-AO25)</f>
        <v>#N/A</v>
      </c>
      <c r="CR25" s="306" t="e">
        <f>IF(AP25="-","-",VLOOKUP($A25,AMABat!$A$10:$AS$1137,CR$9,FALSE)-AP25)</f>
        <v>#N/A</v>
      </c>
      <c r="CS25" s="306" t="e">
        <f>IF(AQ25="-","-",VLOOKUP($A25,AMABat!$A$10:$AS$1137,CS$9,FALSE)-AQ25)</f>
        <v>#N/A</v>
      </c>
      <c r="CT25" s="84" t="e">
        <f t="shared" si="29"/>
        <v>#N/A</v>
      </c>
      <c r="CU25" s="84" t="e">
        <f t="shared" si="30"/>
        <v>#N/A</v>
      </c>
      <c r="CV25" s="84" t="e">
        <f t="shared" si="31"/>
        <v>#N/A</v>
      </c>
      <c r="CW25" s="84" t="e">
        <f t="shared" si="32"/>
        <v>#N/A</v>
      </c>
      <c r="CX25" s="84" t="e">
        <f t="shared" si="33"/>
        <v>#N/A</v>
      </c>
    </row>
    <row r="26" spans="1:102" s="96" customFormat="1" x14ac:dyDescent="0.25">
      <c r="A26" s="306" t="s">
        <v>625</v>
      </c>
      <c r="B26" s="305" t="s">
        <v>534</v>
      </c>
      <c r="C26" s="305"/>
      <c r="D26" s="305" t="s">
        <v>32</v>
      </c>
      <c r="E26" s="305" t="s">
        <v>32</v>
      </c>
      <c r="F26" s="305" t="s">
        <v>81</v>
      </c>
      <c r="G26" t="s">
        <v>75</v>
      </c>
      <c r="H26" t="s">
        <v>786</v>
      </c>
      <c r="I26" s="305" t="s">
        <v>466</v>
      </c>
      <c r="J26" t="s">
        <v>783</v>
      </c>
      <c r="K26" t="s">
        <v>185</v>
      </c>
      <c r="L26">
        <v>35</v>
      </c>
      <c r="M26" t="s">
        <v>83</v>
      </c>
      <c r="N26" t="s">
        <v>83</v>
      </c>
      <c r="O26" t="s">
        <v>764</v>
      </c>
      <c r="P26" s="3" t="s">
        <v>764</v>
      </c>
      <c r="Q26" t="s">
        <v>200</v>
      </c>
      <c r="R26" s="3" t="s">
        <v>200</v>
      </c>
      <c r="S26">
        <v>6</v>
      </c>
      <c r="T26">
        <v>6</v>
      </c>
      <c r="U26">
        <v>4</v>
      </c>
      <c r="V26">
        <v>4</v>
      </c>
      <c r="W26" s="3">
        <v>10</v>
      </c>
      <c r="X26">
        <v>6</v>
      </c>
      <c r="Y26">
        <v>6</v>
      </c>
      <c r="Z26">
        <v>4</v>
      </c>
      <c r="AA26">
        <v>4</v>
      </c>
      <c r="AB26" s="3">
        <v>10</v>
      </c>
      <c r="AC26">
        <v>8</v>
      </c>
      <c r="AD26">
        <v>2</v>
      </c>
      <c r="AE26">
        <v>1</v>
      </c>
      <c r="AF26" s="305">
        <v>1</v>
      </c>
      <c r="AG26" t="s">
        <v>32</v>
      </c>
      <c r="AH26">
        <v>8</v>
      </c>
      <c r="AI26">
        <v>3</v>
      </c>
      <c r="AJ26">
        <v>6</v>
      </c>
      <c r="AK26" t="s">
        <v>32</v>
      </c>
      <c r="AL26" t="s">
        <v>32</v>
      </c>
      <c r="AM26" t="s">
        <v>32</v>
      </c>
      <c r="AN26" s="3" t="s">
        <v>32</v>
      </c>
      <c r="AO26">
        <v>4</v>
      </c>
      <c r="AP26">
        <v>7</v>
      </c>
      <c r="AQ26" s="3">
        <v>4</v>
      </c>
      <c r="AR26" s="78" t="s">
        <v>32</v>
      </c>
      <c r="AS26" s="3" t="s">
        <v>34</v>
      </c>
      <c r="AT26" s="372" t="s">
        <v>529</v>
      </c>
      <c r="AU26" s="6">
        <f t="shared" si="2"/>
        <v>4.666666666666667</v>
      </c>
      <c r="AV26" s="9" t="str">
        <f t="shared" si="3"/>
        <v>Bench</v>
      </c>
      <c r="AW26" s="6">
        <f t="shared" si="4"/>
        <v>4.666666666666667</v>
      </c>
      <c r="AX26" s="6" t="str">
        <f t="shared" si="5"/>
        <v>Bench</v>
      </c>
      <c r="AY26" s="9">
        <f t="shared" si="6"/>
        <v>4.666666666666667</v>
      </c>
      <c r="AZ26" s="9" t="str">
        <f t="shared" si="7"/>
        <v>Bench</v>
      </c>
      <c r="BA26" s="46">
        <f t="shared" si="8"/>
        <v>0</v>
      </c>
      <c r="BB26" s="5">
        <f t="shared" si="9"/>
        <v>0</v>
      </c>
      <c r="BC26" s="5">
        <f t="shared" si="10"/>
        <v>0</v>
      </c>
      <c r="BD26" s="5">
        <f t="shared" si="11"/>
        <v>0</v>
      </c>
      <c r="BE26" s="5">
        <f t="shared" si="12"/>
        <v>0</v>
      </c>
      <c r="BF26" s="5">
        <f t="shared" si="13"/>
        <v>0</v>
      </c>
      <c r="BG26" s="5">
        <f t="shared" si="14"/>
        <v>0</v>
      </c>
      <c r="BH26" s="5">
        <f t="shared" si="15"/>
        <v>0</v>
      </c>
      <c r="BI26" s="3">
        <f t="shared" si="16"/>
        <v>1</v>
      </c>
      <c r="BJ26" s="46">
        <f t="shared" si="17"/>
        <v>0</v>
      </c>
      <c r="BK26" s="5">
        <f t="shared" si="18"/>
        <v>0</v>
      </c>
      <c r="BL26" s="5">
        <f t="shared" si="19"/>
        <v>0</v>
      </c>
      <c r="BM26" s="5">
        <f t="shared" si="20"/>
        <v>0</v>
      </c>
      <c r="BN26" s="5">
        <f t="shared" si="21"/>
        <v>0</v>
      </c>
      <c r="BO26" s="5">
        <f t="shared" si="22"/>
        <v>0</v>
      </c>
      <c r="BP26" s="5">
        <f t="shared" si="23"/>
        <v>0</v>
      </c>
      <c r="BQ26" s="5">
        <f t="shared" si="24"/>
        <v>0</v>
      </c>
      <c r="BR26" s="3">
        <f t="shared" si="25"/>
        <v>1</v>
      </c>
      <c r="BS26" s="3">
        <f t="shared" si="26"/>
        <v>0</v>
      </c>
      <c r="BT26" s="7">
        <f t="shared" si="27"/>
        <v>2</v>
      </c>
      <c r="BU26" t="str">
        <f t="shared" si="28"/>
        <v/>
      </c>
      <c r="BV26" s="306" t="e">
        <f>IF(S26="-","-",VLOOKUP($A26,AMABat!$A$10:$AS$1137,BV$9,FALSE)-S26)</f>
        <v>#N/A</v>
      </c>
      <c r="BW26" s="306" t="e">
        <f>IF(T26="-","-",VLOOKUP($A26,AMABat!$A$10:$AS$1137,BW$9,FALSE)-T26)</f>
        <v>#N/A</v>
      </c>
      <c r="BX26" s="306" t="e">
        <f>IF(U26="-","-",VLOOKUP($A26,AMABat!$A$10:$AS$1137,BX$9,FALSE)-U26)</f>
        <v>#N/A</v>
      </c>
      <c r="BY26" s="306" t="e">
        <f>IF(V26="-","-",VLOOKUP($A26,AMABat!$A$10:$AS$1137,BY$9,FALSE)-V26)</f>
        <v>#N/A</v>
      </c>
      <c r="BZ26" s="306" t="e">
        <f>IF(W26="-","-",VLOOKUP($A26,AMABat!$A$10:$AS$1137,BZ$9,FALSE)-W26)</f>
        <v>#N/A</v>
      </c>
      <c r="CA26" s="306" t="e">
        <f>IF(X26="-","-",VLOOKUP($A26,AMABat!$A$10:$AS$1137,CA$9,FALSE)-X26)</f>
        <v>#N/A</v>
      </c>
      <c r="CB26" s="306" t="e">
        <f>IF(Y26="-","-",VLOOKUP($A26,AMABat!$A$10:$AS$1137,CB$9,FALSE)-Y26)</f>
        <v>#N/A</v>
      </c>
      <c r="CC26" s="306" t="e">
        <f>IF(Z26="-","-",VLOOKUP($A26,AMABat!$A$10:$AS$1137,CC$9,FALSE)-Z26)</f>
        <v>#N/A</v>
      </c>
      <c r="CD26" s="306" t="e">
        <f>IF(AA26="-","-",VLOOKUP($A26,AMABat!$A$10:$AS$1137,CD$9,FALSE)-AA26)</f>
        <v>#N/A</v>
      </c>
      <c r="CE26" s="306" t="e">
        <f>IF(AB26="-","-",VLOOKUP($A26,AMABat!$A$10:$AS$1137,CE$9,FALSE)-AB26)</f>
        <v>#N/A</v>
      </c>
      <c r="CF26" s="306" t="e">
        <f>IF(AC26="-","-",VLOOKUP($A26,AMABat!$A$10:$AS$1137,CF$9,FALSE)-AC26)</f>
        <v>#N/A</v>
      </c>
      <c r="CG26" s="306" t="e">
        <f>IF(AD26="-","-",VLOOKUP($A26,AMABat!$A$10:$AS$1137,CG$9,FALSE)-AD26)</f>
        <v>#N/A</v>
      </c>
      <c r="CH26" s="306" t="e">
        <f>IF(AE26="-","-",VLOOKUP($A26,AMABat!$A$10:$AS$1137,CH$9,FALSE)-AE26)</f>
        <v>#N/A</v>
      </c>
      <c r="CI26" s="306" t="str">
        <f>IF(AG26="-","-",VLOOKUP($A26,AMABat!$A$10:$AS$1137,CI$9,FALSE)-AG26)</f>
        <v>-</v>
      </c>
      <c r="CJ26" s="306" t="e">
        <f>IF(AH26="-","-",VLOOKUP($A26,AMABat!$A$10:$AS$1137,CJ$9,FALSE)-AH26)</f>
        <v>#N/A</v>
      </c>
      <c r="CK26" s="306" t="e">
        <f>IF(AI26="-","-",VLOOKUP($A26,AMABat!$A$10:$AS$1137,CK$9,FALSE)-AI26)</f>
        <v>#N/A</v>
      </c>
      <c r="CL26" s="306" t="e">
        <f>IF(AJ26="-","-",VLOOKUP($A26,AMABat!$A$10:$AS$1137,CL$9,FALSE)-AJ26)</f>
        <v>#N/A</v>
      </c>
      <c r="CM26" s="306" t="str">
        <f>IF(AK26="-","-",VLOOKUP($A26,AMABat!$A$10:$AS$1137,CM$9,FALSE)-AK26)</f>
        <v>-</v>
      </c>
      <c r="CN26" s="306" t="str">
        <f>IF(AL26="-","-",VLOOKUP($A26,AMABat!$A$10:$AS$1137,CN$9,FALSE)-AL26)</f>
        <v>-</v>
      </c>
      <c r="CO26" s="306" t="str">
        <f>IF(AM26="-","-",VLOOKUP($A26,AMABat!$A$10:$AS$1137,CO$9,FALSE)-AM26)</f>
        <v>-</v>
      </c>
      <c r="CP26" s="306" t="str">
        <f>IF(AN26="-","-",VLOOKUP($A26,AMABat!$A$10:$AS$1137,CP$9,FALSE)-AN26)</f>
        <v>-</v>
      </c>
      <c r="CQ26" s="306" t="e">
        <f>IF(AO26="-","-",VLOOKUP($A26,AMABat!$A$10:$AS$1137,CQ$9,FALSE)-AO26)</f>
        <v>#N/A</v>
      </c>
      <c r="CR26" s="306" t="e">
        <f>IF(AP26="-","-",VLOOKUP($A26,AMABat!$A$10:$AS$1137,CR$9,FALSE)-AP26)</f>
        <v>#N/A</v>
      </c>
      <c r="CS26" s="306" t="e">
        <f>IF(AQ26="-","-",VLOOKUP($A26,AMABat!$A$10:$AS$1137,CS$9,FALSE)-AQ26)</f>
        <v>#N/A</v>
      </c>
      <c r="CT26" s="84" t="e">
        <f t="shared" si="29"/>
        <v>#N/A</v>
      </c>
      <c r="CU26" s="84" t="e">
        <f t="shared" si="30"/>
        <v>#N/A</v>
      </c>
      <c r="CV26" s="84" t="e">
        <f t="shared" si="31"/>
        <v>#N/A</v>
      </c>
      <c r="CW26" s="84" t="e">
        <f t="shared" si="32"/>
        <v>#N/A</v>
      </c>
      <c r="CX26" s="84" t="e">
        <f t="shared" si="33"/>
        <v>#N/A</v>
      </c>
    </row>
    <row r="27" spans="1:102" x14ac:dyDescent="0.25">
      <c r="A27" s="306" t="s">
        <v>488</v>
      </c>
      <c r="B27" s="305" t="s">
        <v>186</v>
      </c>
      <c r="C27" s="305"/>
      <c r="D27" s="305">
        <v>5</v>
      </c>
      <c r="E27" s="305" t="s">
        <v>32</v>
      </c>
      <c r="F27" s="305" t="s">
        <v>81</v>
      </c>
      <c r="G27" t="s">
        <v>77</v>
      </c>
      <c r="H27" t="s">
        <v>431</v>
      </c>
      <c r="I27" s="305" t="s">
        <v>820</v>
      </c>
      <c r="J27" t="s">
        <v>783</v>
      </c>
      <c r="K27" t="s">
        <v>185</v>
      </c>
      <c r="L27">
        <v>30</v>
      </c>
      <c r="M27" t="s">
        <v>82</v>
      </c>
      <c r="N27" t="s">
        <v>82</v>
      </c>
      <c r="O27" t="s">
        <v>773</v>
      </c>
      <c r="P27" s="3" t="s">
        <v>773</v>
      </c>
      <c r="Q27" t="s">
        <v>199</v>
      </c>
      <c r="R27" s="3" t="s">
        <v>200</v>
      </c>
      <c r="S27">
        <v>4</v>
      </c>
      <c r="T27">
        <v>3</v>
      </c>
      <c r="U27">
        <v>6</v>
      </c>
      <c r="V27">
        <v>7</v>
      </c>
      <c r="W27" s="3">
        <v>6</v>
      </c>
      <c r="X27">
        <v>4</v>
      </c>
      <c r="Y27">
        <v>3</v>
      </c>
      <c r="Z27">
        <v>6</v>
      </c>
      <c r="AA27">
        <v>7</v>
      </c>
      <c r="AB27" s="3">
        <v>6</v>
      </c>
      <c r="AC27">
        <v>4</v>
      </c>
      <c r="AD27">
        <v>5</v>
      </c>
      <c r="AE27">
        <v>1</v>
      </c>
      <c r="AF27" s="305">
        <v>1</v>
      </c>
      <c r="AG27" t="s">
        <v>32</v>
      </c>
      <c r="AH27">
        <v>2</v>
      </c>
      <c r="AI27" t="s">
        <v>32</v>
      </c>
      <c r="AJ27" t="s">
        <v>32</v>
      </c>
      <c r="AK27" t="s">
        <v>32</v>
      </c>
      <c r="AL27">
        <v>3</v>
      </c>
      <c r="AM27" t="s">
        <v>32</v>
      </c>
      <c r="AN27" s="3">
        <v>1</v>
      </c>
      <c r="AO27">
        <v>9</v>
      </c>
      <c r="AP27">
        <v>9</v>
      </c>
      <c r="AQ27" s="3">
        <v>5</v>
      </c>
      <c r="AR27" s="78" t="s">
        <v>32</v>
      </c>
      <c r="AS27" s="3" t="s">
        <v>33</v>
      </c>
      <c r="AT27" s="372" t="s">
        <v>529</v>
      </c>
      <c r="AU27" s="6">
        <f t="shared" si="2"/>
        <v>4.666666666666667</v>
      </c>
      <c r="AV27" s="9" t="str">
        <f t="shared" si="3"/>
        <v>Bench</v>
      </c>
      <c r="AW27" s="6">
        <f t="shared" si="4"/>
        <v>4.666666666666667</v>
      </c>
      <c r="AX27" s="6" t="str">
        <f t="shared" si="5"/>
        <v>Bench</v>
      </c>
      <c r="AY27" s="9">
        <f t="shared" si="6"/>
        <v>4.666666666666667</v>
      </c>
      <c r="AZ27" s="9" t="str">
        <f t="shared" si="7"/>
        <v>Bench</v>
      </c>
      <c r="BA27" s="46">
        <f t="shared" si="8"/>
        <v>0</v>
      </c>
      <c r="BB27" s="5">
        <f t="shared" si="9"/>
        <v>0</v>
      </c>
      <c r="BC27" s="5">
        <f t="shared" si="10"/>
        <v>0</v>
      </c>
      <c r="BD27" s="5">
        <f t="shared" si="11"/>
        <v>0</v>
      </c>
      <c r="BE27" s="5">
        <f t="shared" si="12"/>
        <v>0</v>
      </c>
      <c r="BF27" s="5">
        <f t="shared" si="13"/>
        <v>0</v>
      </c>
      <c r="BG27" s="5">
        <f t="shared" si="14"/>
        <v>0</v>
      </c>
      <c r="BH27" s="5">
        <f t="shared" si="15"/>
        <v>0</v>
      </c>
      <c r="BI27" s="3">
        <f t="shared" si="16"/>
        <v>0</v>
      </c>
      <c r="BJ27" s="46">
        <f t="shared" si="17"/>
        <v>0</v>
      </c>
      <c r="BK27" s="5">
        <f t="shared" si="18"/>
        <v>0</v>
      </c>
      <c r="BL27" s="5">
        <f t="shared" si="19"/>
        <v>0</v>
      </c>
      <c r="BM27" s="5">
        <f t="shared" si="20"/>
        <v>0</v>
      </c>
      <c r="BN27" s="5">
        <f t="shared" si="21"/>
        <v>0</v>
      </c>
      <c r="BO27" s="5">
        <f t="shared" si="22"/>
        <v>0</v>
      </c>
      <c r="BP27" s="5">
        <f t="shared" si="23"/>
        <v>0</v>
      </c>
      <c r="BQ27" s="5">
        <f t="shared" si="24"/>
        <v>0</v>
      </c>
      <c r="BR27" s="3">
        <f t="shared" si="25"/>
        <v>0</v>
      </c>
      <c r="BS27" s="3">
        <f t="shared" si="26"/>
        <v>3</v>
      </c>
      <c r="BT27" s="7">
        <f t="shared" si="27"/>
        <v>0</v>
      </c>
      <c r="BU27" t="str">
        <f t="shared" si="28"/>
        <v/>
      </c>
      <c r="BV27" s="306" t="e">
        <f>IF(S27="-","-",VLOOKUP($A27,AMABat!$A$10:$AS$1137,BV$9,FALSE)-S27)</f>
        <v>#N/A</v>
      </c>
      <c r="BW27" s="306" t="e">
        <f>IF(T27="-","-",VLOOKUP($A27,AMABat!$A$10:$AS$1137,BW$9,FALSE)-T27)</f>
        <v>#N/A</v>
      </c>
      <c r="BX27" s="306" t="e">
        <f>IF(U27="-","-",VLOOKUP($A27,AMABat!$A$10:$AS$1137,BX$9,FALSE)-U27)</f>
        <v>#N/A</v>
      </c>
      <c r="BY27" s="306" t="e">
        <f>IF(V27="-","-",VLOOKUP($A27,AMABat!$A$10:$AS$1137,BY$9,FALSE)-V27)</f>
        <v>#N/A</v>
      </c>
      <c r="BZ27" s="306" t="e">
        <f>IF(W27="-","-",VLOOKUP($A27,AMABat!$A$10:$AS$1137,BZ$9,FALSE)-W27)</f>
        <v>#N/A</v>
      </c>
      <c r="CA27" s="306" t="e">
        <f>IF(X27="-","-",VLOOKUP($A27,AMABat!$A$10:$AS$1137,CA$9,FALSE)-X27)</f>
        <v>#N/A</v>
      </c>
      <c r="CB27" s="306" t="e">
        <f>IF(Y27="-","-",VLOOKUP($A27,AMABat!$A$10:$AS$1137,CB$9,FALSE)-Y27)</f>
        <v>#N/A</v>
      </c>
      <c r="CC27" s="306" t="e">
        <f>IF(Z27="-","-",VLOOKUP($A27,AMABat!$A$10:$AS$1137,CC$9,FALSE)-Z27)</f>
        <v>#N/A</v>
      </c>
      <c r="CD27" s="306" t="e">
        <f>IF(AA27="-","-",VLOOKUP($A27,AMABat!$A$10:$AS$1137,CD$9,FALSE)-AA27)</f>
        <v>#N/A</v>
      </c>
      <c r="CE27" s="306" t="e">
        <f>IF(AB27="-","-",VLOOKUP($A27,AMABat!$A$10:$AS$1137,CE$9,FALSE)-AB27)</f>
        <v>#N/A</v>
      </c>
      <c r="CF27" s="306" t="e">
        <f>IF(AC27="-","-",VLOOKUP($A27,AMABat!$A$10:$AS$1137,CF$9,FALSE)-AC27)</f>
        <v>#N/A</v>
      </c>
      <c r="CG27" s="306" t="e">
        <f>IF(AD27="-","-",VLOOKUP($A27,AMABat!$A$10:$AS$1137,CG$9,FALSE)-AD27)</f>
        <v>#N/A</v>
      </c>
      <c r="CH27" s="306" t="e">
        <f>IF(AE27="-","-",VLOOKUP($A27,AMABat!$A$10:$AS$1137,CH$9,FALSE)-AE27)</f>
        <v>#N/A</v>
      </c>
      <c r="CI27" s="306" t="str">
        <f>IF(AG27="-","-",VLOOKUP($A27,AMABat!$A$10:$AS$1137,CI$9,FALSE)-AG27)</f>
        <v>-</v>
      </c>
      <c r="CJ27" s="306" t="e">
        <f>IF(AH27="-","-",VLOOKUP($A27,AMABat!$A$10:$AS$1137,CJ$9,FALSE)-AH27)</f>
        <v>#N/A</v>
      </c>
      <c r="CK27" s="306" t="str">
        <f>IF(AI27="-","-",VLOOKUP($A27,AMABat!$A$10:$AS$1137,CK$9,FALSE)-AI27)</f>
        <v>-</v>
      </c>
      <c r="CL27" s="306" t="str">
        <f>IF(AJ27="-","-",VLOOKUP($A27,AMABat!$A$10:$AS$1137,CL$9,FALSE)-AJ27)</f>
        <v>-</v>
      </c>
      <c r="CM27" s="306" t="str">
        <f>IF(AK27="-","-",VLOOKUP($A27,AMABat!$A$10:$AS$1137,CM$9,FALSE)-AK27)</f>
        <v>-</v>
      </c>
      <c r="CN27" s="306" t="e">
        <f>IF(AL27="-","-",VLOOKUP($A27,AMABat!$A$10:$AS$1137,CN$9,FALSE)-AL27)</f>
        <v>#N/A</v>
      </c>
      <c r="CO27" s="306" t="str">
        <f>IF(AM27="-","-",VLOOKUP($A27,AMABat!$A$10:$AS$1137,CO$9,FALSE)-AM27)</f>
        <v>-</v>
      </c>
      <c r="CP27" s="306" t="e">
        <f>IF(AN27="-","-",VLOOKUP($A27,AMABat!$A$10:$AS$1137,CP$9,FALSE)-AN27)</f>
        <v>#N/A</v>
      </c>
      <c r="CQ27" s="306" t="e">
        <f>IF(AO27="-","-",VLOOKUP($A27,AMABat!$A$10:$AS$1137,CQ$9,FALSE)-AO27)</f>
        <v>#N/A</v>
      </c>
      <c r="CR27" s="306" t="e">
        <f>IF(AP27="-","-",VLOOKUP($A27,AMABat!$A$10:$AS$1137,CR$9,FALSE)-AP27)</f>
        <v>#N/A</v>
      </c>
      <c r="CS27" s="306" t="e">
        <f>IF(AQ27="-","-",VLOOKUP($A27,AMABat!$A$10:$AS$1137,CS$9,FALSE)-AQ27)</f>
        <v>#N/A</v>
      </c>
      <c r="CT27" s="84" t="e">
        <f t="shared" si="29"/>
        <v>#N/A</v>
      </c>
      <c r="CU27" s="84" t="e">
        <f t="shared" si="30"/>
        <v>#N/A</v>
      </c>
      <c r="CV27" s="84" t="e">
        <f t="shared" si="31"/>
        <v>#N/A</v>
      </c>
      <c r="CW27" s="84" t="e">
        <f t="shared" si="32"/>
        <v>#N/A</v>
      </c>
      <c r="CX27" s="84" t="e">
        <f t="shared" si="33"/>
        <v>#N/A</v>
      </c>
    </row>
    <row r="28" spans="1:102" x14ac:dyDescent="0.25">
      <c r="A28" s="306" t="s">
        <v>626</v>
      </c>
      <c r="B28" s="305"/>
      <c r="C28" s="305"/>
      <c r="D28" s="305" t="s">
        <v>32</v>
      </c>
      <c r="E28" s="305" t="s">
        <v>32</v>
      </c>
      <c r="F28" s="305" t="s">
        <v>81</v>
      </c>
      <c r="G28" t="s">
        <v>78</v>
      </c>
      <c r="H28" t="s">
        <v>524</v>
      </c>
      <c r="I28" s="305" t="s">
        <v>774</v>
      </c>
      <c r="J28" t="s">
        <v>763</v>
      </c>
      <c r="K28" t="s">
        <v>402</v>
      </c>
      <c r="L28">
        <v>29</v>
      </c>
      <c r="M28" t="s">
        <v>83</v>
      </c>
      <c r="N28" t="s">
        <v>83</v>
      </c>
      <c r="O28" t="s">
        <v>764</v>
      </c>
      <c r="P28" s="224" t="s">
        <v>768</v>
      </c>
      <c r="Q28" t="s">
        <v>199</v>
      </c>
      <c r="R28" s="224" t="s">
        <v>201</v>
      </c>
      <c r="S28">
        <v>5</v>
      </c>
      <c r="T28">
        <v>3</v>
      </c>
      <c r="U28">
        <v>7</v>
      </c>
      <c r="V28">
        <v>3</v>
      </c>
      <c r="W28" s="224">
        <v>3</v>
      </c>
      <c r="X28">
        <v>6</v>
      </c>
      <c r="Y28">
        <v>4</v>
      </c>
      <c r="Z28">
        <v>8</v>
      </c>
      <c r="AA28">
        <v>4</v>
      </c>
      <c r="AB28" s="224">
        <v>4</v>
      </c>
      <c r="AC28">
        <v>1</v>
      </c>
      <c r="AD28">
        <v>7</v>
      </c>
      <c r="AE28">
        <v>1</v>
      </c>
      <c r="AF28" s="305">
        <v>1</v>
      </c>
      <c r="AG28" t="s">
        <v>32</v>
      </c>
      <c r="AH28" t="s">
        <v>32</v>
      </c>
      <c r="AI28" t="s">
        <v>32</v>
      </c>
      <c r="AJ28" t="s">
        <v>32</v>
      </c>
      <c r="AK28" t="s">
        <v>32</v>
      </c>
      <c r="AL28">
        <v>10</v>
      </c>
      <c r="AM28">
        <v>7</v>
      </c>
      <c r="AN28" s="224">
        <v>9</v>
      </c>
      <c r="AO28">
        <v>7</v>
      </c>
      <c r="AP28">
        <v>10</v>
      </c>
      <c r="AQ28" s="224">
        <v>10</v>
      </c>
      <c r="AR28">
        <v>767000</v>
      </c>
      <c r="AS28" s="224" t="s">
        <v>34</v>
      </c>
      <c r="AT28" s="372" t="s">
        <v>199</v>
      </c>
      <c r="AU28" s="6">
        <f t="shared" si="2"/>
        <v>4.5</v>
      </c>
      <c r="AV28" s="9" t="str">
        <f t="shared" si="3"/>
        <v>Bench</v>
      </c>
      <c r="AW28" s="6">
        <f t="shared" si="4"/>
        <v>6.25</v>
      </c>
      <c r="AX28" s="6" t="str">
        <f t="shared" si="5"/>
        <v>Reg</v>
      </c>
      <c r="AY28" s="9">
        <f t="shared" si="6"/>
        <v>4.5</v>
      </c>
      <c r="AZ28" s="9" t="str">
        <f t="shared" si="7"/>
        <v>Bench</v>
      </c>
      <c r="BA28" s="46">
        <f t="shared" si="8"/>
        <v>0</v>
      </c>
      <c r="BB28" s="223">
        <f t="shared" si="9"/>
        <v>0</v>
      </c>
      <c r="BC28" s="223">
        <f t="shared" si="10"/>
        <v>0</v>
      </c>
      <c r="BD28" s="223">
        <f t="shared" si="11"/>
        <v>0</v>
      </c>
      <c r="BE28" s="223">
        <f t="shared" si="12"/>
        <v>0</v>
      </c>
      <c r="BF28" s="223">
        <f t="shared" si="13"/>
        <v>0</v>
      </c>
      <c r="BG28" s="223">
        <f t="shared" si="14"/>
        <v>1</v>
      </c>
      <c r="BH28" s="223">
        <f t="shared" si="15"/>
        <v>1</v>
      </c>
      <c r="BI28" s="224">
        <f t="shared" si="16"/>
        <v>1</v>
      </c>
      <c r="BJ28" s="46">
        <f t="shared" si="17"/>
        <v>0</v>
      </c>
      <c r="BK28" s="223">
        <f t="shared" si="18"/>
        <v>0</v>
      </c>
      <c r="BL28" s="223">
        <f t="shared" si="19"/>
        <v>0</v>
      </c>
      <c r="BM28" s="223">
        <f t="shared" si="20"/>
        <v>0</v>
      </c>
      <c r="BN28" s="223">
        <f t="shared" si="21"/>
        <v>0</v>
      </c>
      <c r="BO28" s="223">
        <f t="shared" si="22"/>
        <v>0</v>
      </c>
      <c r="BP28" s="223">
        <f t="shared" si="23"/>
        <v>1</v>
      </c>
      <c r="BQ28" s="223">
        <f t="shared" si="24"/>
        <v>1</v>
      </c>
      <c r="BR28" s="224">
        <f t="shared" si="25"/>
        <v>1</v>
      </c>
      <c r="BS28" s="224">
        <f t="shared" si="26"/>
        <v>4</v>
      </c>
      <c r="BT28" s="7">
        <f t="shared" si="27"/>
        <v>2</v>
      </c>
      <c r="BU28" t="str">
        <f t="shared" si="28"/>
        <v/>
      </c>
      <c r="BV28" s="306" t="e">
        <f>IF(S28="-","-",VLOOKUP($A28,AMABat!$A$10:$AS$1137,BV$9,FALSE)-S28)</f>
        <v>#N/A</v>
      </c>
      <c r="BW28" s="306" t="e">
        <f>IF(T28="-","-",VLOOKUP($A28,AMABat!$A$10:$AS$1137,BW$9,FALSE)-T28)</f>
        <v>#N/A</v>
      </c>
      <c r="BX28" s="306" t="e">
        <f>IF(U28="-","-",VLOOKUP($A28,AMABat!$A$10:$AS$1137,BX$9,FALSE)-U28)</f>
        <v>#N/A</v>
      </c>
      <c r="BY28" s="306" t="e">
        <f>IF(V28="-","-",VLOOKUP($A28,AMABat!$A$10:$AS$1137,BY$9,FALSE)-V28)</f>
        <v>#N/A</v>
      </c>
      <c r="BZ28" s="306" t="e">
        <f>IF(W28="-","-",VLOOKUP($A28,AMABat!$A$10:$AS$1137,BZ$9,FALSE)-W28)</f>
        <v>#N/A</v>
      </c>
      <c r="CA28" s="306" t="e">
        <f>IF(X28="-","-",VLOOKUP($A28,AMABat!$A$10:$AS$1137,CA$9,FALSE)-X28)</f>
        <v>#N/A</v>
      </c>
      <c r="CB28" s="306" t="e">
        <f>IF(Y28="-","-",VLOOKUP($A28,AMABat!$A$10:$AS$1137,CB$9,FALSE)-Y28)</f>
        <v>#N/A</v>
      </c>
      <c r="CC28" s="306" t="e">
        <f>IF(Z28="-","-",VLOOKUP($A28,AMABat!$A$10:$AS$1137,CC$9,FALSE)-Z28)</f>
        <v>#N/A</v>
      </c>
      <c r="CD28" s="306" t="e">
        <f>IF(AA28="-","-",VLOOKUP($A28,AMABat!$A$10:$AS$1137,CD$9,FALSE)-AA28)</f>
        <v>#N/A</v>
      </c>
      <c r="CE28" s="306" t="e">
        <f>IF(AB28="-","-",VLOOKUP($A28,AMABat!$A$10:$AS$1137,CE$9,FALSE)-AB28)</f>
        <v>#N/A</v>
      </c>
      <c r="CF28" s="306" t="e">
        <f>IF(AC28="-","-",VLOOKUP($A28,AMABat!$A$10:$AS$1137,CF$9,FALSE)-AC28)</f>
        <v>#N/A</v>
      </c>
      <c r="CG28" s="306" t="e">
        <f>IF(AD28="-","-",VLOOKUP($A28,AMABat!$A$10:$AS$1137,CG$9,FALSE)-AD28)</f>
        <v>#N/A</v>
      </c>
      <c r="CH28" s="306" t="e">
        <f>IF(AE28="-","-",VLOOKUP($A28,AMABat!$A$10:$AS$1137,CH$9,FALSE)-AE28)</f>
        <v>#N/A</v>
      </c>
      <c r="CI28" s="306" t="str">
        <f>IF(AG28="-","-",VLOOKUP($A28,AMABat!$A$10:$AS$1137,CI$9,FALSE)-AG28)</f>
        <v>-</v>
      </c>
      <c r="CJ28" s="306" t="str">
        <f>IF(AH28="-","-",VLOOKUP($A28,AMABat!$A$10:$AS$1137,CJ$9,FALSE)-AH28)</f>
        <v>-</v>
      </c>
      <c r="CK28" s="306" t="str">
        <f>IF(AI28="-","-",VLOOKUP($A28,AMABat!$A$10:$AS$1137,CK$9,FALSE)-AI28)</f>
        <v>-</v>
      </c>
      <c r="CL28" s="306" t="str">
        <f>IF(AJ28="-","-",VLOOKUP($A28,AMABat!$A$10:$AS$1137,CL$9,FALSE)-AJ28)</f>
        <v>-</v>
      </c>
      <c r="CM28" s="306" t="str">
        <f>IF(AK28="-","-",VLOOKUP($A28,AMABat!$A$10:$AS$1137,CM$9,FALSE)-AK28)</f>
        <v>-</v>
      </c>
      <c r="CN28" s="306" t="e">
        <f>IF(AL28="-","-",VLOOKUP($A28,AMABat!$A$10:$AS$1137,CN$9,FALSE)-AL28)</f>
        <v>#N/A</v>
      </c>
      <c r="CO28" s="306" t="e">
        <f>IF(AM28="-","-",VLOOKUP($A28,AMABat!$A$10:$AS$1137,CO$9,FALSE)-AM28)</f>
        <v>#N/A</v>
      </c>
      <c r="CP28" s="306" t="e">
        <f>IF(AN28="-","-",VLOOKUP($A28,AMABat!$A$10:$AS$1137,CP$9,FALSE)-AN28)</f>
        <v>#N/A</v>
      </c>
      <c r="CQ28" s="306" t="e">
        <f>IF(AO28="-","-",VLOOKUP($A28,AMABat!$A$10:$AS$1137,CQ$9,FALSE)-AO28)</f>
        <v>#N/A</v>
      </c>
      <c r="CR28" s="306" t="e">
        <f>IF(AP28="-","-",VLOOKUP($A28,AMABat!$A$10:$AS$1137,CR$9,FALSE)-AP28)</f>
        <v>#N/A</v>
      </c>
      <c r="CS28" s="306" t="e">
        <f>IF(AQ28="-","-",VLOOKUP($A28,AMABat!$A$10:$AS$1137,CS$9,FALSE)-AQ28)</f>
        <v>#N/A</v>
      </c>
      <c r="CT28" s="84" t="e">
        <f t="shared" si="29"/>
        <v>#N/A</v>
      </c>
      <c r="CU28" s="84" t="e">
        <f t="shared" si="30"/>
        <v>#N/A</v>
      </c>
      <c r="CV28" s="84" t="e">
        <f t="shared" si="31"/>
        <v>#N/A</v>
      </c>
      <c r="CW28" s="84" t="e">
        <f t="shared" si="32"/>
        <v>#N/A</v>
      </c>
      <c r="CX28" s="84" t="e">
        <f t="shared" si="33"/>
        <v>#N/A</v>
      </c>
    </row>
    <row r="29" spans="1:102" x14ac:dyDescent="0.25">
      <c r="A29" s="306" t="s">
        <v>506</v>
      </c>
      <c r="B29" s="305" t="s">
        <v>187</v>
      </c>
      <c r="C29" s="305"/>
      <c r="D29" s="305">
        <v>7</v>
      </c>
      <c r="E29" s="305" t="s">
        <v>32</v>
      </c>
      <c r="F29" s="305" t="s">
        <v>81</v>
      </c>
      <c r="G29" t="s">
        <v>77</v>
      </c>
      <c r="H29" t="s">
        <v>771</v>
      </c>
      <c r="I29" s="305" t="s">
        <v>772</v>
      </c>
      <c r="J29" t="s">
        <v>763</v>
      </c>
      <c r="K29" t="s">
        <v>402</v>
      </c>
      <c r="L29">
        <v>33</v>
      </c>
      <c r="M29" t="s">
        <v>83</v>
      </c>
      <c r="N29" t="s">
        <v>83</v>
      </c>
      <c r="O29" t="s">
        <v>764</v>
      </c>
      <c r="P29" s="206" t="s">
        <v>764</v>
      </c>
      <c r="Q29" t="s">
        <v>201</v>
      </c>
      <c r="R29" s="206" t="s">
        <v>200</v>
      </c>
      <c r="S29">
        <v>5</v>
      </c>
      <c r="T29">
        <v>3</v>
      </c>
      <c r="U29">
        <v>7</v>
      </c>
      <c r="V29">
        <v>3</v>
      </c>
      <c r="W29" s="206">
        <v>3</v>
      </c>
      <c r="X29">
        <v>5</v>
      </c>
      <c r="Y29">
        <v>3</v>
      </c>
      <c r="Z29">
        <v>7</v>
      </c>
      <c r="AA29">
        <v>3</v>
      </c>
      <c r="AB29" s="206">
        <v>3</v>
      </c>
      <c r="AC29">
        <v>1</v>
      </c>
      <c r="AD29">
        <v>7</v>
      </c>
      <c r="AE29">
        <v>1</v>
      </c>
      <c r="AF29" s="305">
        <v>1</v>
      </c>
      <c r="AG29" t="s">
        <v>32</v>
      </c>
      <c r="AH29" t="s">
        <v>32</v>
      </c>
      <c r="AI29" t="s">
        <v>32</v>
      </c>
      <c r="AJ29" t="s">
        <v>32</v>
      </c>
      <c r="AK29" t="s">
        <v>32</v>
      </c>
      <c r="AL29">
        <v>6</v>
      </c>
      <c r="AM29" t="s">
        <v>32</v>
      </c>
      <c r="AN29" s="206" t="s">
        <v>32</v>
      </c>
      <c r="AO29">
        <v>5</v>
      </c>
      <c r="AP29">
        <v>10</v>
      </c>
      <c r="AQ29" s="206">
        <v>10</v>
      </c>
      <c r="AR29" s="78">
        <v>1000000</v>
      </c>
      <c r="AS29" s="206" t="s">
        <v>33</v>
      </c>
      <c r="AT29" s="372" t="s">
        <v>529</v>
      </c>
      <c r="AU29" s="6">
        <f t="shared" si="2"/>
        <v>4.5</v>
      </c>
      <c r="AV29" s="9" t="str">
        <f t="shared" si="3"/>
        <v>Bench</v>
      </c>
      <c r="AW29" s="6">
        <f t="shared" si="4"/>
        <v>4.5</v>
      </c>
      <c r="AX29" s="6" t="str">
        <f t="shared" si="5"/>
        <v>Bench</v>
      </c>
      <c r="AY29" s="9">
        <f t="shared" si="6"/>
        <v>4.5</v>
      </c>
      <c r="AZ29" s="9" t="str">
        <f t="shared" si="7"/>
        <v>Bench</v>
      </c>
      <c r="BA29" s="46">
        <f t="shared" si="8"/>
        <v>0</v>
      </c>
      <c r="BB29" s="205">
        <f t="shared" si="9"/>
        <v>0</v>
      </c>
      <c r="BC29" s="205">
        <f t="shared" si="10"/>
        <v>0</v>
      </c>
      <c r="BD29" s="205">
        <f t="shared" si="11"/>
        <v>0</v>
      </c>
      <c r="BE29" s="205">
        <f t="shared" si="12"/>
        <v>0</v>
      </c>
      <c r="BF29" s="205">
        <f t="shared" si="13"/>
        <v>0</v>
      </c>
      <c r="BG29" s="205">
        <f t="shared" si="14"/>
        <v>1</v>
      </c>
      <c r="BH29" s="205">
        <f t="shared" si="15"/>
        <v>1</v>
      </c>
      <c r="BI29" s="206">
        <f t="shared" si="16"/>
        <v>1</v>
      </c>
      <c r="BJ29" s="46">
        <f t="shared" si="17"/>
        <v>0</v>
      </c>
      <c r="BK29" s="205">
        <f t="shared" si="18"/>
        <v>0</v>
      </c>
      <c r="BL29" s="205">
        <f t="shared" si="19"/>
        <v>0</v>
      </c>
      <c r="BM29" s="205">
        <f t="shared" si="20"/>
        <v>0</v>
      </c>
      <c r="BN29" s="205">
        <f t="shared" si="21"/>
        <v>0</v>
      </c>
      <c r="BO29" s="205">
        <f t="shared" si="22"/>
        <v>0</v>
      </c>
      <c r="BP29" s="205">
        <f t="shared" si="23"/>
        <v>1</v>
      </c>
      <c r="BQ29" s="205">
        <f t="shared" si="24"/>
        <v>1</v>
      </c>
      <c r="BR29" s="206">
        <f t="shared" si="25"/>
        <v>1</v>
      </c>
      <c r="BS29" s="206">
        <f t="shared" si="26"/>
        <v>4</v>
      </c>
      <c r="BT29" s="7">
        <f t="shared" si="27"/>
        <v>1</v>
      </c>
      <c r="BU29" t="str">
        <f t="shared" si="28"/>
        <v/>
      </c>
      <c r="BV29" s="306" t="e">
        <f>IF(S29="-","-",VLOOKUP($A29,AMABat!$A$10:$AS$1137,BV$9,FALSE)-S29)</f>
        <v>#N/A</v>
      </c>
      <c r="BW29" s="306" t="e">
        <f>IF(T29="-","-",VLOOKUP($A29,AMABat!$A$10:$AS$1137,BW$9,FALSE)-T29)</f>
        <v>#N/A</v>
      </c>
      <c r="BX29" s="306" t="e">
        <f>IF(U29="-","-",VLOOKUP($A29,AMABat!$A$10:$AS$1137,BX$9,FALSE)-U29)</f>
        <v>#N/A</v>
      </c>
      <c r="BY29" s="306" t="e">
        <f>IF(V29="-","-",VLOOKUP($A29,AMABat!$A$10:$AS$1137,BY$9,FALSE)-V29)</f>
        <v>#N/A</v>
      </c>
      <c r="BZ29" s="306" t="e">
        <f>IF(W29="-","-",VLOOKUP($A29,AMABat!$A$10:$AS$1137,BZ$9,FALSE)-W29)</f>
        <v>#N/A</v>
      </c>
      <c r="CA29" s="306" t="e">
        <f>IF(X29="-","-",VLOOKUP($A29,AMABat!$A$10:$AS$1137,CA$9,FALSE)-X29)</f>
        <v>#N/A</v>
      </c>
      <c r="CB29" s="306" t="e">
        <f>IF(Y29="-","-",VLOOKUP($A29,AMABat!$A$10:$AS$1137,CB$9,FALSE)-Y29)</f>
        <v>#N/A</v>
      </c>
      <c r="CC29" s="306" t="e">
        <f>IF(Z29="-","-",VLOOKUP($A29,AMABat!$A$10:$AS$1137,CC$9,FALSE)-Z29)</f>
        <v>#N/A</v>
      </c>
      <c r="CD29" s="306" t="e">
        <f>IF(AA29="-","-",VLOOKUP($A29,AMABat!$A$10:$AS$1137,CD$9,FALSE)-AA29)</f>
        <v>#N/A</v>
      </c>
      <c r="CE29" s="306" t="e">
        <f>IF(AB29="-","-",VLOOKUP($A29,AMABat!$A$10:$AS$1137,CE$9,FALSE)-AB29)</f>
        <v>#N/A</v>
      </c>
      <c r="CF29" s="306" t="e">
        <f>IF(AC29="-","-",VLOOKUP($A29,AMABat!$A$10:$AS$1137,CF$9,FALSE)-AC29)</f>
        <v>#N/A</v>
      </c>
      <c r="CG29" s="306" t="e">
        <f>IF(AD29="-","-",VLOOKUP($A29,AMABat!$A$10:$AS$1137,CG$9,FALSE)-AD29)</f>
        <v>#N/A</v>
      </c>
      <c r="CH29" s="306" t="e">
        <f>IF(AE29="-","-",VLOOKUP($A29,AMABat!$A$10:$AS$1137,CH$9,FALSE)-AE29)</f>
        <v>#N/A</v>
      </c>
      <c r="CI29" s="306" t="str">
        <f>IF(AG29="-","-",VLOOKUP($A29,AMABat!$A$10:$AS$1137,CI$9,FALSE)-AG29)</f>
        <v>-</v>
      </c>
      <c r="CJ29" s="306" t="str">
        <f>IF(AH29="-","-",VLOOKUP($A29,AMABat!$A$10:$AS$1137,CJ$9,FALSE)-AH29)</f>
        <v>-</v>
      </c>
      <c r="CK29" s="306" t="str">
        <f>IF(AI29="-","-",VLOOKUP($A29,AMABat!$A$10:$AS$1137,CK$9,FALSE)-AI29)</f>
        <v>-</v>
      </c>
      <c r="CL29" s="306" t="str">
        <f>IF(AJ29="-","-",VLOOKUP($A29,AMABat!$A$10:$AS$1137,CL$9,FALSE)-AJ29)</f>
        <v>-</v>
      </c>
      <c r="CM29" s="306" t="str">
        <f>IF(AK29="-","-",VLOOKUP($A29,AMABat!$A$10:$AS$1137,CM$9,FALSE)-AK29)</f>
        <v>-</v>
      </c>
      <c r="CN29" s="306" t="e">
        <f>IF(AL29="-","-",VLOOKUP($A29,AMABat!$A$10:$AS$1137,CN$9,FALSE)-AL29)</f>
        <v>#N/A</v>
      </c>
      <c r="CO29" s="306" t="str">
        <f>IF(AM29="-","-",VLOOKUP($A29,AMABat!$A$10:$AS$1137,CO$9,FALSE)-AM29)</f>
        <v>-</v>
      </c>
      <c r="CP29" s="306" t="str">
        <f>IF(AN29="-","-",VLOOKUP($A29,AMABat!$A$10:$AS$1137,CP$9,FALSE)-AN29)</f>
        <v>-</v>
      </c>
      <c r="CQ29" s="306" t="e">
        <f>IF(AO29="-","-",VLOOKUP($A29,AMABat!$A$10:$AS$1137,CQ$9,FALSE)-AO29)</f>
        <v>#N/A</v>
      </c>
      <c r="CR29" s="306" t="e">
        <f>IF(AP29="-","-",VLOOKUP($A29,AMABat!$A$10:$AS$1137,CR$9,FALSE)-AP29)</f>
        <v>#N/A</v>
      </c>
      <c r="CS29" s="306" t="e">
        <f>IF(AQ29="-","-",VLOOKUP($A29,AMABat!$A$10:$AS$1137,CS$9,FALSE)-AQ29)</f>
        <v>#N/A</v>
      </c>
      <c r="CT29" s="84" t="e">
        <f t="shared" si="29"/>
        <v>#N/A</v>
      </c>
      <c r="CU29" s="84" t="e">
        <f t="shared" si="30"/>
        <v>#N/A</v>
      </c>
      <c r="CV29" s="84" t="e">
        <f t="shared" si="31"/>
        <v>#N/A</v>
      </c>
      <c r="CW29" s="84" t="e">
        <f t="shared" si="32"/>
        <v>#N/A</v>
      </c>
      <c r="CX29" s="84" t="e">
        <f t="shared" si="33"/>
        <v>#N/A</v>
      </c>
    </row>
    <row r="30" spans="1:102" x14ac:dyDescent="0.25">
      <c r="A30" s="306" t="s">
        <v>627</v>
      </c>
      <c r="B30" s="305" t="s">
        <v>534</v>
      </c>
      <c r="C30" s="305"/>
      <c r="D30" s="305" t="s">
        <v>32</v>
      </c>
      <c r="E30" s="305" t="s">
        <v>32</v>
      </c>
      <c r="F30" s="305" t="s">
        <v>81</v>
      </c>
      <c r="G30" t="s">
        <v>74</v>
      </c>
      <c r="H30" t="s">
        <v>781</v>
      </c>
      <c r="I30" s="305" t="s">
        <v>782</v>
      </c>
      <c r="J30" t="s">
        <v>783</v>
      </c>
      <c r="K30" t="s">
        <v>185</v>
      </c>
      <c r="L30">
        <v>36</v>
      </c>
      <c r="M30" t="s">
        <v>83</v>
      </c>
      <c r="N30" t="s">
        <v>83</v>
      </c>
      <c r="O30" t="s">
        <v>764</v>
      </c>
      <c r="P30" s="3" t="s">
        <v>764</v>
      </c>
      <c r="Q30" t="s">
        <v>200</v>
      </c>
      <c r="R30" s="3" t="s">
        <v>200</v>
      </c>
      <c r="S30">
        <v>5</v>
      </c>
      <c r="T30">
        <v>6</v>
      </c>
      <c r="U30">
        <v>2</v>
      </c>
      <c r="V30">
        <v>8</v>
      </c>
      <c r="W30" s="3">
        <v>3</v>
      </c>
      <c r="X30">
        <v>5</v>
      </c>
      <c r="Y30">
        <v>6</v>
      </c>
      <c r="Z30">
        <v>2</v>
      </c>
      <c r="AA30">
        <v>8</v>
      </c>
      <c r="AB30" s="3">
        <v>3</v>
      </c>
      <c r="AC30">
        <v>5</v>
      </c>
      <c r="AD30">
        <v>3</v>
      </c>
      <c r="AE30">
        <v>1</v>
      </c>
      <c r="AF30" s="305">
        <v>1</v>
      </c>
      <c r="AG30" t="s">
        <v>32</v>
      </c>
      <c r="AH30" t="s">
        <v>32</v>
      </c>
      <c r="AI30">
        <v>7</v>
      </c>
      <c r="AJ30">
        <v>5</v>
      </c>
      <c r="AK30">
        <v>5</v>
      </c>
      <c r="AL30">
        <v>5</v>
      </c>
      <c r="AM30" t="s">
        <v>32</v>
      </c>
      <c r="AN30" s="3">
        <v>2</v>
      </c>
      <c r="AO30">
        <v>5</v>
      </c>
      <c r="AP30">
        <v>8</v>
      </c>
      <c r="AQ30" s="3">
        <v>7</v>
      </c>
      <c r="AR30" s="78" t="s">
        <v>32</v>
      </c>
      <c r="AS30" s="3">
        <v>1</v>
      </c>
      <c r="AT30" s="372" t="s">
        <v>529</v>
      </c>
      <c r="AU30" s="6">
        <f t="shared" si="2"/>
        <v>4.5</v>
      </c>
      <c r="AV30" s="9" t="str">
        <f t="shared" si="3"/>
        <v>Bench</v>
      </c>
      <c r="AW30" s="6">
        <f t="shared" si="4"/>
        <v>4.5</v>
      </c>
      <c r="AX30" s="6" t="str">
        <f t="shared" si="5"/>
        <v>Bench</v>
      </c>
      <c r="AY30" s="9">
        <f t="shared" si="6"/>
        <v>4.5</v>
      </c>
      <c r="AZ30" s="9" t="str">
        <f t="shared" si="7"/>
        <v>Bench</v>
      </c>
      <c r="BA30" s="46">
        <f t="shared" si="8"/>
        <v>0</v>
      </c>
      <c r="BB30" s="5">
        <f t="shared" si="9"/>
        <v>1</v>
      </c>
      <c r="BC30" s="5">
        <f t="shared" si="10"/>
        <v>0</v>
      </c>
      <c r="BD30" s="5">
        <f t="shared" si="11"/>
        <v>0</v>
      </c>
      <c r="BE30" s="5">
        <f t="shared" si="12"/>
        <v>0</v>
      </c>
      <c r="BF30" s="5">
        <f t="shared" si="13"/>
        <v>0</v>
      </c>
      <c r="BG30" s="5">
        <f t="shared" si="14"/>
        <v>1</v>
      </c>
      <c r="BH30" s="5">
        <f t="shared" si="15"/>
        <v>1</v>
      </c>
      <c r="BI30" s="3">
        <f t="shared" si="16"/>
        <v>1</v>
      </c>
      <c r="BJ30" s="46">
        <f t="shared" si="17"/>
        <v>0</v>
      </c>
      <c r="BK30" s="5">
        <f t="shared" si="18"/>
        <v>1</v>
      </c>
      <c r="BL30" s="5">
        <f t="shared" si="19"/>
        <v>0</v>
      </c>
      <c r="BM30" s="5">
        <f t="shared" si="20"/>
        <v>0</v>
      </c>
      <c r="BN30" s="5">
        <f t="shared" si="21"/>
        <v>0</v>
      </c>
      <c r="BO30" s="5">
        <f t="shared" si="22"/>
        <v>0</v>
      </c>
      <c r="BP30" s="5">
        <f t="shared" si="23"/>
        <v>1</v>
      </c>
      <c r="BQ30" s="5">
        <f t="shared" si="24"/>
        <v>1</v>
      </c>
      <c r="BR30" s="3">
        <f t="shared" si="25"/>
        <v>1</v>
      </c>
      <c r="BS30" s="3">
        <f t="shared" si="26"/>
        <v>2</v>
      </c>
      <c r="BT30" s="7">
        <f t="shared" si="27"/>
        <v>1</v>
      </c>
      <c r="BU30" t="str">
        <f t="shared" si="28"/>
        <v>Yes</v>
      </c>
      <c r="BV30" s="306" t="e">
        <f>IF(S30="-","-",VLOOKUP($A30,AMABat!$A$10:$AS$1137,BV$9,FALSE)-S30)</f>
        <v>#N/A</v>
      </c>
      <c r="BW30" s="306" t="e">
        <f>IF(T30="-","-",VLOOKUP($A30,AMABat!$A$10:$AS$1137,BW$9,FALSE)-T30)</f>
        <v>#N/A</v>
      </c>
      <c r="BX30" s="306" t="e">
        <f>IF(U30="-","-",VLOOKUP($A30,AMABat!$A$10:$AS$1137,BX$9,FALSE)-U30)</f>
        <v>#N/A</v>
      </c>
      <c r="BY30" s="306" t="e">
        <f>IF(V30="-","-",VLOOKUP($A30,AMABat!$A$10:$AS$1137,BY$9,FALSE)-V30)</f>
        <v>#N/A</v>
      </c>
      <c r="BZ30" s="306" t="e">
        <f>IF(W30="-","-",VLOOKUP($A30,AMABat!$A$10:$AS$1137,BZ$9,FALSE)-W30)</f>
        <v>#N/A</v>
      </c>
      <c r="CA30" s="306" t="e">
        <f>IF(X30="-","-",VLOOKUP($A30,AMABat!$A$10:$AS$1137,CA$9,FALSE)-X30)</f>
        <v>#N/A</v>
      </c>
      <c r="CB30" s="306" t="e">
        <f>IF(Y30="-","-",VLOOKUP($A30,AMABat!$A$10:$AS$1137,CB$9,FALSE)-Y30)</f>
        <v>#N/A</v>
      </c>
      <c r="CC30" s="306" t="e">
        <f>IF(Z30="-","-",VLOOKUP($A30,AMABat!$A$10:$AS$1137,CC$9,FALSE)-Z30)</f>
        <v>#N/A</v>
      </c>
      <c r="CD30" s="306" t="e">
        <f>IF(AA30="-","-",VLOOKUP($A30,AMABat!$A$10:$AS$1137,CD$9,FALSE)-AA30)</f>
        <v>#N/A</v>
      </c>
      <c r="CE30" s="306" t="e">
        <f>IF(AB30="-","-",VLOOKUP($A30,AMABat!$A$10:$AS$1137,CE$9,FALSE)-AB30)</f>
        <v>#N/A</v>
      </c>
      <c r="CF30" s="306" t="e">
        <f>IF(AC30="-","-",VLOOKUP($A30,AMABat!$A$10:$AS$1137,CF$9,FALSE)-AC30)</f>
        <v>#N/A</v>
      </c>
      <c r="CG30" s="306" t="e">
        <f>IF(AD30="-","-",VLOOKUP($A30,AMABat!$A$10:$AS$1137,CG$9,FALSE)-AD30)</f>
        <v>#N/A</v>
      </c>
      <c r="CH30" s="306" t="e">
        <f>IF(AE30="-","-",VLOOKUP($A30,AMABat!$A$10:$AS$1137,CH$9,FALSE)-AE30)</f>
        <v>#N/A</v>
      </c>
      <c r="CI30" s="306" t="str">
        <f>IF(AG30="-","-",VLOOKUP($A30,AMABat!$A$10:$AS$1137,CI$9,FALSE)-AG30)</f>
        <v>-</v>
      </c>
      <c r="CJ30" s="306" t="str">
        <f>IF(AH30="-","-",VLOOKUP($A30,AMABat!$A$10:$AS$1137,CJ$9,FALSE)-AH30)</f>
        <v>-</v>
      </c>
      <c r="CK30" s="306" t="e">
        <f>IF(AI30="-","-",VLOOKUP($A30,AMABat!$A$10:$AS$1137,CK$9,FALSE)-AI30)</f>
        <v>#N/A</v>
      </c>
      <c r="CL30" s="306" t="e">
        <f>IF(AJ30="-","-",VLOOKUP($A30,AMABat!$A$10:$AS$1137,CL$9,FALSE)-AJ30)</f>
        <v>#N/A</v>
      </c>
      <c r="CM30" s="306" t="e">
        <f>IF(AK30="-","-",VLOOKUP($A30,AMABat!$A$10:$AS$1137,CM$9,FALSE)-AK30)</f>
        <v>#N/A</v>
      </c>
      <c r="CN30" s="306" t="e">
        <f>IF(AL30="-","-",VLOOKUP($A30,AMABat!$A$10:$AS$1137,CN$9,FALSE)-AL30)</f>
        <v>#N/A</v>
      </c>
      <c r="CO30" s="306" t="str">
        <f>IF(AM30="-","-",VLOOKUP($A30,AMABat!$A$10:$AS$1137,CO$9,FALSE)-AM30)</f>
        <v>-</v>
      </c>
      <c r="CP30" s="306" t="e">
        <f>IF(AN30="-","-",VLOOKUP($A30,AMABat!$A$10:$AS$1137,CP$9,FALSE)-AN30)</f>
        <v>#N/A</v>
      </c>
      <c r="CQ30" s="306" t="e">
        <f>IF(AO30="-","-",VLOOKUP($A30,AMABat!$A$10:$AS$1137,CQ$9,FALSE)-AO30)</f>
        <v>#N/A</v>
      </c>
      <c r="CR30" s="306" t="e">
        <f>IF(AP30="-","-",VLOOKUP($A30,AMABat!$A$10:$AS$1137,CR$9,FALSE)-AP30)</f>
        <v>#N/A</v>
      </c>
      <c r="CS30" s="306" t="e">
        <f>IF(AQ30="-","-",VLOOKUP($A30,AMABat!$A$10:$AS$1137,CS$9,FALSE)-AQ30)</f>
        <v>#N/A</v>
      </c>
      <c r="CT30" s="84" t="e">
        <f t="shared" si="29"/>
        <v>#N/A</v>
      </c>
      <c r="CU30" s="84" t="e">
        <f t="shared" si="30"/>
        <v>#N/A</v>
      </c>
      <c r="CV30" s="84" t="e">
        <f t="shared" si="31"/>
        <v>#N/A</v>
      </c>
      <c r="CW30" s="84" t="e">
        <f t="shared" si="32"/>
        <v>#N/A</v>
      </c>
      <c r="CX30" s="84" t="e">
        <f t="shared" si="33"/>
        <v>#N/A</v>
      </c>
    </row>
    <row r="31" spans="1:102" x14ac:dyDescent="0.25">
      <c r="A31" s="306" t="s">
        <v>460</v>
      </c>
      <c r="B31" s="305" t="s">
        <v>184</v>
      </c>
      <c r="C31" s="305"/>
      <c r="D31" s="305">
        <v>2</v>
      </c>
      <c r="E31" s="305" t="s">
        <v>32</v>
      </c>
      <c r="F31" s="305" t="s">
        <v>81</v>
      </c>
      <c r="G31" t="s">
        <v>71</v>
      </c>
      <c r="H31" t="s">
        <v>788</v>
      </c>
      <c r="I31" s="305" t="s">
        <v>789</v>
      </c>
      <c r="J31" t="s">
        <v>763</v>
      </c>
      <c r="K31" t="s">
        <v>402</v>
      </c>
      <c r="L31">
        <v>32</v>
      </c>
      <c r="M31" t="s">
        <v>83</v>
      </c>
      <c r="N31" t="s">
        <v>83</v>
      </c>
      <c r="O31" t="s">
        <v>764</v>
      </c>
      <c r="P31" s="233" t="s">
        <v>764</v>
      </c>
      <c r="Q31" t="s">
        <v>200</v>
      </c>
      <c r="R31" s="233" t="s">
        <v>200</v>
      </c>
      <c r="S31">
        <v>5</v>
      </c>
      <c r="T31">
        <v>2</v>
      </c>
      <c r="U31">
        <v>5</v>
      </c>
      <c r="V31">
        <v>5</v>
      </c>
      <c r="W31" s="233">
        <v>4</v>
      </c>
      <c r="X31">
        <v>5</v>
      </c>
      <c r="Y31">
        <v>2</v>
      </c>
      <c r="Z31">
        <v>5</v>
      </c>
      <c r="AA31">
        <v>5</v>
      </c>
      <c r="AB31" s="233">
        <v>4</v>
      </c>
      <c r="AC31">
        <v>5</v>
      </c>
      <c r="AD31">
        <v>5</v>
      </c>
      <c r="AE31">
        <v>8</v>
      </c>
      <c r="AF31" s="305">
        <v>6</v>
      </c>
      <c r="AG31">
        <v>8</v>
      </c>
      <c r="AH31" t="s">
        <v>32</v>
      </c>
      <c r="AI31" t="s">
        <v>32</v>
      </c>
      <c r="AJ31" t="s">
        <v>32</v>
      </c>
      <c r="AK31" t="s">
        <v>32</v>
      </c>
      <c r="AL31" t="s">
        <v>32</v>
      </c>
      <c r="AM31" t="s">
        <v>32</v>
      </c>
      <c r="AN31" s="233" t="s">
        <v>32</v>
      </c>
      <c r="AO31">
        <v>1</v>
      </c>
      <c r="AP31">
        <v>1</v>
      </c>
      <c r="AQ31" s="233">
        <v>1</v>
      </c>
      <c r="AR31" s="78">
        <v>510000</v>
      </c>
      <c r="AS31" s="233" t="s">
        <v>33</v>
      </c>
      <c r="AT31" s="372" t="s">
        <v>529</v>
      </c>
      <c r="AU31" s="6">
        <f t="shared" si="2"/>
        <v>4.5</v>
      </c>
      <c r="AV31" s="9" t="str">
        <f t="shared" si="3"/>
        <v>Bench</v>
      </c>
      <c r="AW31" s="6">
        <f t="shared" si="4"/>
        <v>4.5</v>
      </c>
      <c r="AX31" s="6" t="str">
        <f t="shared" si="5"/>
        <v>Bench</v>
      </c>
      <c r="AY31" s="9">
        <f t="shared" si="6"/>
        <v>4.5</v>
      </c>
      <c r="AZ31" s="9" t="str">
        <f t="shared" si="7"/>
        <v>Bench</v>
      </c>
      <c r="BA31" s="46">
        <f t="shared" si="8"/>
        <v>0</v>
      </c>
      <c r="BB31" s="232">
        <f t="shared" si="9"/>
        <v>0</v>
      </c>
      <c r="BC31" s="232">
        <f t="shared" si="10"/>
        <v>0</v>
      </c>
      <c r="BD31" s="232">
        <f t="shared" si="11"/>
        <v>0</v>
      </c>
      <c r="BE31" s="232">
        <f t="shared" si="12"/>
        <v>0</v>
      </c>
      <c r="BF31" s="232">
        <f t="shared" si="13"/>
        <v>0</v>
      </c>
      <c r="BG31" s="232">
        <f t="shared" si="14"/>
        <v>0</v>
      </c>
      <c r="BH31" s="232">
        <f t="shared" si="15"/>
        <v>0</v>
      </c>
      <c r="BI31" s="233">
        <f t="shared" si="16"/>
        <v>0</v>
      </c>
      <c r="BJ31" s="46">
        <f t="shared" si="17"/>
        <v>0</v>
      </c>
      <c r="BK31" s="232">
        <f t="shared" si="18"/>
        <v>0</v>
      </c>
      <c r="BL31" s="232">
        <f t="shared" si="19"/>
        <v>0</v>
      </c>
      <c r="BM31" s="232">
        <f t="shared" si="20"/>
        <v>0</v>
      </c>
      <c r="BN31" s="232">
        <f t="shared" si="21"/>
        <v>0</v>
      </c>
      <c r="BO31" s="232">
        <f t="shared" si="22"/>
        <v>0</v>
      </c>
      <c r="BP31" s="232">
        <f t="shared" si="23"/>
        <v>0</v>
      </c>
      <c r="BQ31" s="232">
        <f t="shared" si="24"/>
        <v>0</v>
      </c>
      <c r="BR31" s="233">
        <f t="shared" si="25"/>
        <v>0</v>
      </c>
      <c r="BS31" s="233">
        <f t="shared" si="26"/>
        <v>0</v>
      </c>
      <c r="BT31" s="7">
        <f t="shared" si="27"/>
        <v>2</v>
      </c>
      <c r="BU31" t="str">
        <f t="shared" si="28"/>
        <v/>
      </c>
      <c r="BV31" s="306" t="e">
        <f>IF(S31="-","-",VLOOKUP($A31,AMABat!$A$10:$AS$1137,BV$9,FALSE)-S31)</f>
        <v>#N/A</v>
      </c>
      <c r="BW31" s="306" t="e">
        <f>IF(T31="-","-",VLOOKUP($A31,AMABat!$A$10:$AS$1137,BW$9,FALSE)-T31)</f>
        <v>#N/A</v>
      </c>
      <c r="BX31" s="306" t="e">
        <f>IF(U31="-","-",VLOOKUP($A31,AMABat!$A$10:$AS$1137,BX$9,FALSE)-U31)</f>
        <v>#N/A</v>
      </c>
      <c r="BY31" s="306" t="e">
        <f>IF(V31="-","-",VLOOKUP($A31,AMABat!$A$10:$AS$1137,BY$9,FALSE)-V31)</f>
        <v>#N/A</v>
      </c>
      <c r="BZ31" s="306" t="e">
        <f>IF(W31="-","-",VLOOKUP($A31,AMABat!$A$10:$AS$1137,BZ$9,FALSE)-W31)</f>
        <v>#N/A</v>
      </c>
      <c r="CA31" s="306" t="e">
        <f>IF(X31="-","-",VLOOKUP($A31,AMABat!$A$10:$AS$1137,CA$9,FALSE)-X31)</f>
        <v>#N/A</v>
      </c>
      <c r="CB31" s="306" t="e">
        <f>IF(Y31="-","-",VLOOKUP($A31,AMABat!$A$10:$AS$1137,CB$9,FALSE)-Y31)</f>
        <v>#N/A</v>
      </c>
      <c r="CC31" s="306" t="e">
        <f>IF(Z31="-","-",VLOOKUP($A31,AMABat!$A$10:$AS$1137,CC$9,FALSE)-Z31)</f>
        <v>#N/A</v>
      </c>
      <c r="CD31" s="306" t="e">
        <f>IF(AA31="-","-",VLOOKUP($A31,AMABat!$A$10:$AS$1137,CD$9,FALSE)-AA31)</f>
        <v>#N/A</v>
      </c>
      <c r="CE31" s="306" t="e">
        <f>IF(AB31="-","-",VLOOKUP($A31,AMABat!$A$10:$AS$1137,CE$9,FALSE)-AB31)</f>
        <v>#N/A</v>
      </c>
      <c r="CF31" s="306" t="e">
        <f>IF(AC31="-","-",VLOOKUP($A31,AMABat!$A$10:$AS$1137,CF$9,FALSE)-AC31)</f>
        <v>#N/A</v>
      </c>
      <c r="CG31" s="306" t="e">
        <f>IF(AD31="-","-",VLOOKUP($A31,AMABat!$A$10:$AS$1137,CG$9,FALSE)-AD31)</f>
        <v>#N/A</v>
      </c>
      <c r="CH31" s="306" t="e">
        <f>IF(AE31="-","-",VLOOKUP($A31,AMABat!$A$10:$AS$1137,CH$9,FALSE)-AE31)</f>
        <v>#N/A</v>
      </c>
      <c r="CI31" s="306" t="e">
        <f>IF(AG31="-","-",VLOOKUP($A31,AMABat!$A$10:$AS$1137,CI$9,FALSE)-AG31)</f>
        <v>#N/A</v>
      </c>
      <c r="CJ31" s="306" t="str">
        <f>IF(AH31="-","-",VLOOKUP($A31,AMABat!$A$10:$AS$1137,CJ$9,FALSE)-AH31)</f>
        <v>-</v>
      </c>
      <c r="CK31" s="306" t="str">
        <f>IF(AI31="-","-",VLOOKUP($A31,AMABat!$A$10:$AS$1137,CK$9,FALSE)-AI31)</f>
        <v>-</v>
      </c>
      <c r="CL31" s="306" t="str">
        <f>IF(AJ31="-","-",VLOOKUP($A31,AMABat!$A$10:$AS$1137,CL$9,FALSE)-AJ31)</f>
        <v>-</v>
      </c>
      <c r="CM31" s="306" t="str">
        <f>IF(AK31="-","-",VLOOKUP($A31,AMABat!$A$10:$AS$1137,CM$9,FALSE)-AK31)</f>
        <v>-</v>
      </c>
      <c r="CN31" s="306" t="str">
        <f>IF(AL31="-","-",VLOOKUP($A31,AMABat!$A$10:$AS$1137,CN$9,FALSE)-AL31)</f>
        <v>-</v>
      </c>
      <c r="CO31" s="306" t="str">
        <f>IF(AM31="-","-",VLOOKUP($A31,AMABat!$A$10:$AS$1137,CO$9,FALSE)-AM31)</f>
        <v>-</v>
      </c>
      <c r="CP31" s="306" t="str">
        <f>IF(AN31="-","-",VLOOKUP($A31,AMABat!$A$10:$AS$1137,CP$9,FALSE)-AN31)</f>
        <v>-</v>
      </c>
      <c r="CQ31" s="306" t="e">
        <f>IF(AO31="-","-",VLOOKUP($A31,AMABat!$A$10:$AS$1137,CQ$9,FALSE)-AO31)</f>
        <v>#N/A</v>
      </c>
      <c r="CR31" s="306" t="e">
        <f>IF(AP31="-","-",VLOOKUP($A31,AMABat!$A$10:$AS$1137,CR$9,FALSE)-AP31)</f>
        <v>#N/A</v>
      </c>
      <c r="CS31" s="306" t="e">
        <f>IF(AQ31="-","-",VLOOKUP($A31,AMABat!$A$10:$AS$1137,CS$9,FALSE)-AQ31)</f>
        <v>#N/A</v>
      </c>
      <c r="CT31" s="84" t="e">
        <f t="shared" si="29"/>
        <v>#N/A</v>
      </c>
      <c r="CU31" s="84" t="e">
        <f t="shared" si="30"/>
        <v>#N/A</v>
      </c>
      <c r="CV31" s="84" t="e">
        <f t="shared" si="31"/>
        <v>#N/A</v>
      </c>
      <c r="CW31" s="84" t="e">
        <f t="shared" si="32"/>
        <v>#N/A</v>
      </c>
      <c r="CX31" s="84" t="e">
        <f t="shared" si="33"/>
        <v>#N/A</v>
      </c>
    </row>
    <row r="32" spans="1:102" x14ac:dyDescent="0.25">
      <c r="A32" s="306" t="s">
        <v>628</v>
      </c>
      <c r="B32" s="305" t="s">
        <v>534</v>
      </c>
      <c r="C32" s="305"/>
      <c r="D32" s="305" t="s">
        <v>32</v>
      </c>
      <c r="E32" s="305" t="s">
        <v>32</v>
      </c>
      <c r="F32" s="305" t="s">
        <v>81</v>
      </c>
      <c r="G32" t="s">
        <v>71</v>
      </c>
      <c r="H32" t="s">
        <v>775</v>
      </c>
      <c r="I32" s="305" t="s">
        <v>776</v>
      </c>
      <c r="J32" t="s">
        <v>763</v>
      </c>
      <c r="K32" t="s">
        <v>402</v>
      </c>
      <c r="L32">
        <v>26</v>
      </c>
      <c r="M32" t="s">
        <v>83</v>
      </c>
      <c r="N32" t="s">
        <v>83</v>
      </c>
      <c r="O32" t="s">
        <v>764</v>
      </c>
      <c r="P32" s="3" t="s">
        <v>764</v>
      </c>
      <c r="Q32" t="s">
        <v>199</v>
      </c>
      <c r="R32" s="3" t="s">
        <v>200</v>
      </c>
      <c r="S32">
        <v>5</v>
      </c>
      <c r="T32">
        <v>8</v>
      </c>
      <c r="U32">
        <v>6</v>
      </c>
      <c r="V32">
        <v>3</v>
      </c>
      <c r="W32" s="3">
        <v>7</v>
      </c>
      <c r="X32">
        <v>5</v>
      </c>
      <c r="Y32">
        <v>8</v>
      </c>
      <c r="Z32">
        <v>6</v>
      </c>
      <c r="AA32">
        <v>4</v>
      </c>
      <c r="AB32" s="3">
        <v>7</v>
      </c>
      <c r="AC32">
        <v>4</v>
      </c>
      <c r="AD32">
        <v>5</v>
      </c>
      <c r="AE32">
        <v>7</v>
      </c>
      <c r="AF32" s="305">
        <v>4</v>
      </c>
      <c r="AG32">
        <v>5</v>
      </c>
      <c r="AH32" t="s">
        <v>32</v>
      </c>
      <c r="AI32" t="s">
        <v>32</v>
      </c>
      <c r="AJ32" t="s">
        <v>32</v>
      </c>
      <c r="AK32" t="s">
        <v>32</v>
      </c>
      <c r="AL32" t="s">
        <v>32</v>
      </c>
      <c r="AM32" t="s">
        <v>32</v>
      </c>
      <c r="AN32" s="3" t="s">
        <v>32</v>
      </c>
      <c r="AO32">
        <v>1</v>
      </c>
      <c r="AP32">
        <v>5</v>
      </c>
      <c r="AQ32" s="3">
        <v>1</v>
      </c>
      <c r="AR32" s="78">
        <v>510000</v>
      </c>
      <c r="AS32" s="3" t="s">
        <v>33</v>
      </c>
      <c r="AT32" s="372" t="s">
        <v>529</v>
      </c>
      <c r="AU32" s="6">
        <f t="shared" si="2"/>
        <v>4.166666666666667</v>
      </c>
      <c r="AV32" s="9" t="str">
        <f t="shared" si="3"/>
        <v>Bench</v>
      </c>
      <c r="AW32" s="6">
        <f t="shared" si="4"/>
        <v>4.5</v>
      </c>
      <c r="AX32" s="6" t="str">
        <f t="shared" si="5"/>
        <v>Bench</v>
      </c>
      <c r="AY32" s="9">
        <f t="shared" si="6"/>
        <v>4.166666666666667</v>
      </c>
      <c r="AZ32" s="9" t="str">
        <f t="shared" si="7"/>
        <v>Bench</v>
      </c>
      <c r="BA32" s="46">
        <f t="shared" si="8"/>
        <v>0</v>
      </c>
      <c r="BB32" s="5">
        <f t="shared" si="9"/>
        <v>0</v>
      </c>
      <c r="BC32" s="5">
        <f t="shared" si="10"/>
        <v>0</v>
      </c>
      <c r="BD32" s="5">
        <f t="shared" si="11"/>
        <v>0</v>
      </c>
      <c r="BE32" s="5">
        <f t="shared" si="12"/>
        <v>0</v>
      </c>
      <c r="BF32" s="5">
        <f t="shared" si="13"/>
        <v>0</v>
      </c>
      <c r="BG32" s="5">
        <f t="shared" si="14"/>
        <v>0</v>
      </c>
      <c r="BH32" s="5">
        <f t="shared" si="15"/>
        <v>1</v>
      </c>
      <c r="BI32" s="3">
        <f t="shared" si="16"/>
        <v>1</v>
      </c>
      <c r="BJ32" s="46">
        <f t="shared" si="17"/>
        <v>0</v>
      </c>
      <c r="BK32" s="5">
        <f t="shared" si="18"/>
        <v>0</v>
      </c>
      <c r="BL32" s="5">
        <f t="shared" si="19"/>
        <v>0</v>
      </c>
      <c r="BM32" s="5">
        <f t="shared" si="20"/>
        <v>0</v>
      </c>
      <c r="BN32" s="5">
        <f t="shared" si="21"/>
        <v>0</v>
      </c>
      <c r="BO32" s="5">
        <f t="shared" si="22"/>
        <v>0</v>
      </c>
      <c r="BP32" s="5">
        <f t="shared" si="23"/>
        <v>0</v>
      </c>
      <c r="BQ32" s="5">
        <f t="shared" si="24"/>
        <v>1</v>
      </c>
      <c r="BR32" s="3">
        <f t="shared" si="25"/>
        <v>1</v>
      </c>
      <c r="BS32" s="3">
        <f t="shared" si="26"/>
        <v>0</v>
      </c>
      <c r="BT32" s="7">
        <f t="shared" si="27"/>
        <v>1</v>
      </c>
      <c r="BU32" t="str">
        <f t="shared" si="28"/>
        <v/>
      </c>
      <c r="BV32" s="306" t="e">
        <f>IF(S32="-","-",VLOOKUP($A32,AMABat!$A$10:$AS$1137,BV$9,FALSE)-S32)</f>
        <v>#N/A</v>
      </c>
      <c r="BW32" s="306" t="e">
        <f>IF(T32="-","-",VLOOKUP($A32,AMABat!$A$10:$AS$1137,BW$9,FALSE)-T32)</f>
        <v>#N/A</v>
      </c>
      <c r="BX32" s="306" t="e">
        <f>IF(U32="-","-",VLOOKUP($A32,AMABat!$A$10:$AS$1137,BX$9,FALSE)-U32)</f>
        <v>#N/A</v>
      </c>
      <c r="BY32" s="306" t="e">
        <f>IF(V32="-","-",VLOOKUP($A32,AMABat!$A$10:$AS$1137,BY$9,FALSE)-V32)</f>
        <v>#N/A</v>
      </c>
      <c r="BZ32" s="306" t="e">
        <f>IF(W32="-","-",VLOOKUP($A32,AMABat!$A$10:$AS$1137,BZ$9,FALSE)-W32)</f>
        <v>#N/A</v>
      </c>
      <c r="CA32" s="306" t="e">
        <f>IF(X32="-","-",VLOOKUP($A32,AMABat!$A$10:$AS$1137,CA$9,FALSE)-X32)</f>
        <v>#N/A</v>
      </c>
      <c r="CB32" s="306" t="e">
        <f>IF(Y32="-","-",VLOOKUP($A32,AMABat!$A$10:$AS$1137,CB$9,FALSE)-Y32)</f>
        <v>#N/A</v>
      </c>
      <c r="CC32" s="306" t="e">
        <f>IF(Z32="-","-",VLOOKUP($A32,AMABat!$A$10:$AS$1137,CC$9,FALSE)-Z32)</f>
        <v>#N/A</v>
      </c>
      <c r="CD32" s="306" t="e">
        <f>IF(AA32="-","-",VLOOKUP($A32,AMABat!$A$10:$AS$1137,CD$9,FALSE)-AA32)</f>
        <v>#N/A</v>
      </c>
      <c r="CE32" s="306" t="e">
        <f>IF(AB32="-","-",VLOOKUP($A32,AMABat!$A$10:$AS$1137,CE$9,FALSE)-AB32)</f>
        <v>#N/A</v>
      </c>
      <c r="CF32" s="306" t="e">
        <f>IF(AC32="-","-",VLOOKUP($A32,AMABat!$A$10:$AS$1137,CF$9,FALSE)-AC32)</f>
        <v>#N/A</v>
      </c>
      <c r="CG32" s="306" t="e">
        <f>IF(AD32="-","-",VLOOKUP($A32,AMABat!$A$10:$AS$1137,CG$9,FALSE)-AD32)</f>
        <v>#N/A</v>
      </c>
      <c r="CH32" s="306" t="e">
        <f>IF(AE32="-","-",VLOOKUP($A32,AMABat!$A$10:$AS$1137,CH$9,FALSE)-AE32)</f>
        <v>#N/A</v>
      </c>
      <c r="CI32" s="306" t="e">
        <f>IF(AG32="-","-",VLOOKUP($A32,AMABat!$A$10:$AS$1137,CI$9,FALSE)-AG32)</f>
        <v>#N/A</v>
      </c>
      <c r="CJ32" s="306" t="str">
        <f>IF(AH32="-","-",VLOOKUP($A32,AMABat!$A$10:$AS$1137,CJ$9,FALSE)-AH32)</f>
        <v>-</v>
      </c>
      <c r="CK32" s="306" t="str">
        <f>IF(AI32="-","-",VLOOKUP($A32,AMABat!$A$10:$AS$1137,CK$9,FALSE)-AI32)</f>
        <v>-</v>
      </c>
      <c r="CL32" s="306" t="str">
        <f>IF(AJ32="-","-",VLOOKUP($A32,AMABat!$A$10:$AS$1137,CL$9,FALSE)-AJ32)</f>
        <v>-</v>
      </c>
      <c r="CM32" s="306" t="str">
        <f>IF(AK32="-","-",VLOOKUP($A32,AMABat!$A$10:$AS$1137,CM$9,FALSE)-AK32)</f>
        <v>-</v>
      </c>
      <c r="CN32" s="306" t="str">
        <f>IF(AL32="-","-",VLOOKUP($A32,AMABat!$A$10:$AS$1137,CN$9,FALSE)-AL32)</f>
        <v>-</v>
      </c>
      <c r="CO32" s="306" t="str">
        <f>IF(AM32="-","-",VLOOKUP($A32,AMABat!$A$10:$AS$1137,CO$9,FALSE)-AM32)</f>
        <v>-</v>
      </c>
      <c r="CP32" s="306" t="str">
        <f>IF(AN32="-","-",VLOOKUP($A32,AMABat!$A$10:$AS$1137,CP$9,FALSE)-AN32)</f>
        <v>-</v>
      </c>
      <c r="CQ32" s="306" t="e">
        <f>IF(AO32="-","-",VLOOKUP($A32,AMABat!$A$10:$AS$1137,CQ$9,FALSE)-AO32)</f>
        <v>#N/A</v>
      </c>
      <c r="CR32" s="306" t="e">
        <f>IF(AP32="-","-",VLOOKUP($A32,AMABat!$A$10:$AS$1137,CR$9,FALSE)-AP32)</f>
        <v>#N/A</v>
      </c>
      <c r="CS32" s="306" t="e">
        <f>IF(AQ32="-","-",VLOOKUP($A32,AMABat!$A$10:$AS$1137,CS$9,FALSE)-AQ32)</f>
        <v>#N/A</v>
      </c>
      <c r="CT32" s="84" t="e">
        <f t="shared" si="29"/>
        <v>#N/A</v>
      </c>
      <c r="CU32" s="84" t="e">
        <f t="shared" si="30"/>
        <v>#N/A</v>
      </c>
      <c r="CV32" s="84" t="e">
        <f t="shared" si="31"/>
        <v>#N/A</v>
      </c>
      <c r="CW32" s="84" t="e">
        <f t="shared" si="32"/>
        <v>#N/A</v>
      </c>
      <c r="CX32" s="84" t="e">
        <f t="shared" si="33"/>
        <v>#N/A</v>
      </c>
    </row>
    <row r="33" spans="1:102" x14ac:dyDescent="0.25">
      <c r="A33" s="306" t="s">
        <v>519</v>
      </c>
      <c r="B33" s="305" t="s">
        <v>186</v>
      </c>
      <c r="C33" s="305"/>
      <c r="D33" s="305">
        <v>2</v>
      </c>
      <c r="E33" s="305" t="s">
        <v>32</v>
      </c>
      <c r="F33" s="305" t="s">
        <v>72</v>
      </c>
      <c r="G33" t="s">
        <v>78</v>
      </c>
      <c r="H33" t="s">
        <v>866</v>
      </c>
      <c r="I33" s="305" t="s">
        <v>867</v>
      </c>
      <c r="J33" t="s">
        <v>769</v>
      </c>
      <c r="K33" t="s">
        <v>186</v>
      </c>
      <c r="L33">
        <v>31</v>
      </c>
      <c r="M33" t="s">
        <v>82</v>
      </c>
      <c r="N33" t="s">
        <v>82</v>
      </c>
      <c r="O33" t="s">
        <v>773</v>
      </c>
      <c r="P33" s="293" t="s">
        <v>773</v>
      </c>
      <c r="Q33" t="s">
        <v>201</v>
      </c>
      <c r="R33" s="293" t="s">
        <v>200</v>
      </c>
      <c r="S33">
        <v>3</v>
      </c>
      <c r="T33">
        <v>3</v>
      </c>
      <c r="U33">
        <v>5</v>
      </c>
      <c r="V33">
        <v>9</v>
      </c>
      <c r="W33" s="293">
        <v>7</v>
      </c>
      <c r="X33">
        <v>3</v>
      </c>
      <c r="Y33">
        <v>3</v>
      </c>
      <c r="Z33">
        <v>5</v>
      </c>
      <c r="AA33">
        <v>9</v>
      </c>
      <c r="AB33" s="293">
        <v>7</v>
      </c>
      <c r="AC33">
        <v>1</v>
      </c>
      <c r="AD33">
        <v>6</v>
      </c>
      <c r="AE33">
        <v>1</v>
      </c>
      <c r="AF33" s="305">
        <v>1</v>
      </c>
      <c r="AG33" t="s">
        <v>32</v>
      </c>
      <c r="AH33" t="s">
        <v>32</v>
      </c>
      <c r="AI33" t="s">
        <v>32</v>
      </c>
      <c r="AJ33" t="s">
        <v>32</v>
      </c>
      <c r="AK33" t="s">
        <v>32</v>
      </c>
      <c r="AL33">
        <v>7</v>
      </c>
      <c r="AM33">
        <v>4</v>
      </c>
      <c r="AN33" s="293">
        <v>4</v>
      </c>
      <c r="AO33">
        <v>4</v>
      </c>
      <c r="AP33">
        <v>8</v>
      </c>
      <c r="AQ33" s="293">
        <v>7</v>
      </c>
      <c r="AR33" s="78" t="s">
        <v>32</v>
      </c>
      <c r="AS33" s="293" t="s">
        <v>33</v>
      </c>
      <c r="AT33" s="372" t="s">
        <v>199</v>
      </c>
      <c r="AU33" s="6">
        <f t="shared" si="2"/>
        <v>4.166666666666667</v>
      </c>
      <c r="AV33" s="9" t="str">
        <f t="shared" si="3"/>
        <v>Bench</v>
      </c>
      <c r="AW33" s="6">
        <f t="shared" si="4"/>
        <v>4.166666666666667</v>
      </c>
      <c r="AX33" s="6" t="str">
        <f t="shared" si="5"/>
        <v>Bench</v>
      </c>
      <c r="AY33" s="9">
        <f t="shared" si="6"/>
        <v>4.166666666666667</v>
      </c>
      <c r="AZ33" s="9" t="str">
        <f t="shared" si="7"/>
        <v>Bench</v>
      </c>
      <c r="BA33" s="297">
        <f t="shared" si="8"/>
        <v>0</v>
      </c>
      <c r="BB33" s="292">
        <f t="shared" si="9"/>
        <v>0</v>
      </c>
      <c r="BC33" s="292">
        <f t="shared" si="10"/>
        <v>0</v>
      </c>
      <c r="BD33" s="292">
        <f t="shared" si="11"/>
        <v>0</v>
      </c>
      <c r="BE33" s="292">
        <f t="shared" si="12"/>
        <v>0</v>
      </c>
      <c r="BF33" s="292">
        <f t="shared" si="13"/>
        <v>0</v>
      </c>
      <c r="BG33" s="292">
        <f t="shared" si="14"/>
        <v>0</v>
      </c>
      <c r="BH33" s="292">
        <f t="shared" si="15"/>
        <v>0</v>
      </c>
      <c r="BI33" s="293">
        <f t="shared" si="16"/>
        <v>0</v>
      </c>
      <c r="BJ33" s="297">
        <f t="shared" si="17"/>
        <v>0</v>
      </c>
      <c r="BK33" s="292">
        <f t="shared" si="18"/>
        <v>0</v>
      </c>
      <c r="BL33" s="292">
        <f t="shared" si="19"/>
        <v>0</v>
      </c>
      <c r="BM33" s="292">
        <f t="shared" si="20"/>
        <v>0</v>
      </c>
      <c r="BN33" s="292">
        <f t="shared" si="21"/>
        <v>0</v>
      </c>
      <c r="BO33" s="292">
        <f t="shared" si="22"/>
        <v>0</v>
      </c>
      <c r="BP33" s="292">
        <f t="shared" si="23"/>
        <v>0</v>
      </c>
      <c r="BQ33" s="292">
        <f t="shared" si="24"/>
        <v>0</v>
      </c>
      <c r="BR33" s="293">
        <f t="shared" si="25"/>
        <v>0</v>
      </c>
      <c r="BS33" s="293">
        <f t="shared" si="26"/>
        <v>2</v>
      </c>
      <c r="BT33" s="7">
        <f t="shared" si="27"/>
        <v>2</v>
      </c>
      <c r="BU33" t="str">
        <f t="shared" si="28"/>
        <v/>
      </c>
      <c r="BV33" s="306" t="e">
        <f>IF(S33="-","-",VLOOKUP($A33,AMABat!$A$10:$AS$1137,BV$9,FALSE)-S33)</f>
        <v>#N/A</v>
      </c>
      <c r="BW33" s="306" t="e">
        <f>IF(T33="-","-",VLOOKUP($A33,AMABat!$A$10:$AS$1137,BW$9,FALSE)-T33)</f>
        <v>#N/A</v>
      </c>
      <c r="BX33" s="306" t="e">
        <f>IF(U33="-","-",VLOOKUP($A33,AMABat!$A$10:$AS$1137,BX$9,FALSE)-U33)</f>
        <v>#N/A</v>
      </c>
      <c r="BY33" s="306" t="e">
        <f>IF(V33="-","-",VLOOKUP($A33,AMABat!$A$10:$AS$1137,BY$9,FALSE)-V33)</f>
        <v>#N/A</v>
      </c>
      <c r="BZ33" s="306" t="e">
        <f>IF(W33="-","-",VLOOKUP($A33,AMABat!$A$10:$AS$1137,BZ$9,FALSE)-W33)</f>
        <v>#N/A</v>
      </c>
      <c r="CA33" s="306" t="e">
        <f>IF(X33="-","-",VLOOKUP($A33,AMABat!$A$10:$AS$1137,CA$9,FALSE)-X33)</f>
        <v>#N/A</v>
      </c>
      <c r="CB33" s="306" t="e">
        <f>IF(Y33="-","-",VLOOKUP($A33,AMABat!$A$10:$AS$1137,CB$9,FALSE)-Y33)</f>
        <v>#N/A</v>
      </c>
      <c r="CC33" s="306" t="e">
        <f>IF(Z33="-","-",VLOOKUP($A33,AMABat!$A$10:$AS$1137,CC$9,FALSE)-Z33)</f>
        <v>#N/A</v>
      </c>
      <c r="CD33" s="306" t="e">
        <f>IF(AA33="-","-",VLOOKUP($A33,AMABat!$A$10:$AS$1137,CD$9,FALSE)-AA33)</f>
        <v>#N/A</v>
      </c>
      <c r="CE33" s="306" t="e">
        <f>IF(AB33="-","-",VLOOKUP($A33,AMABat!$A$10:$AS$1137,CE$9,FALSE)-AB33)</f>
        <v>#N/A</v>
      </c>
      <c r="CF33" s="306" t="e">
        <f>IF(AC33="-","-",VLOOKUP($A33,AMABat!$A$10:$AS$1137,CF$9,FALSE)-AC33)</f>
        <v>#N/A</v>
      </c>
      <c r="CG33" s="306" t="e">
        <f>IF(AD33="-","-",VLOOKUP($A33,AMABat!$A$10:$AS$1137,CG$9,FALSE)-AD33)</f>
        <v>#N/A</v>
      </c>
      <c r="CH33" s="306" t="e">
        <f>IF(AE33="-","-",VLOOKUP($A33,AMABat!$A$10:$AS$1137,CH$9,FALSE)-AE33)</f>
        <v>#N/A</v>
      </c>
      <c r="CI33" s="306" t="str">
        <f>IF(AG33="-","-",VLOOKUP($A33,AMABat!$A$10:$AS$1137,CI$9,FALSE)-AG33)</f>
        <v>-</v>
      </c>
      <c r="CJ33" s="306" t="str">
        <f>IF(AH33="-","-",VLOOKUP($A33,AMABat!$A$10:$AS$1137,CJ$9,FALSE)-AH33)</f>
        <v>-</v>
      </c>
      <c r="CK33" s="306" t="str">
        <f>IF(AI33="-","-",VLOOKUP($A33,AMABat!$A$10:$AS$1137,CK$9,FALSE)-AI33)</f>
        <v>-</v>
      </c>
      <c r="CL33" s="306" t="str">
        <f>IF(AJ33="-","-",VLOOKUP($A33,AMABat!$A$10:$AS$1137,CL$9,FALSE)-AJ33)</f>
        <v>-</v>
      </c>
      <c r="CM33" s="306" t="str">
        <f>IF(AK33="-","-",VLOOKUP($A33,AMABat!$A$10:$AS$1137,CM$9,FALSE)-AK33)</f>
        <v>-</v>
      </c>
      <c r="CN33" s="306" t="e">
        <f>IF(AL33="-","-",VLOOKUP($A33,AMABat!$A$10:$AS$1137,CN$9,FALSE)-AL33)</f>
        <v>#N/A</v>
      </c>
      <c r="CO33" s="306" t="e">
        <f>IF(AM33="-","-",VLOOKUP($A33,AMABat!$A$10:$AS$1137,CO$9,FALSE)-AM33)</f>
        <v>#N/A</v>
      </c>
      <c r="CP33" s="306" t="e">
        <f>IF(AN33="-","-",VLOOKUP($A33,AMABat!$A$10:$AS$1137,CP$9,FALSE)-AN33)</f>
        <v>#N/A</v>
      </c>
      <c r="CQ33" s="306" t="e">
        <f>IF(AO33="-","-",VLOOKUP($A33,AMABat!$A$10:$AS$1137,CQ$9,FALSE)-AO33)</f>
        <v>#N/A</v>
      </c>
      <c r="CR33" s="306" t="e">
        <f>IF(AP33="-","-",VLOOKUP($A33,AMABat!$A$10:$AS$1137,CR$9,FALSE)-AP33)</f>
        <v>#N/A</v>
      </c>
      <c r="CS33" s="306" t="e">
        <f>IF(AQ33="-","-",VLOOKUP($A33,AMABat!$A$10:$AS$1137,CS$9,FALSE)-AQ33)</f>
        <v>#N/A</v>
      </c>
      <c r="CT33" s="84" t="e">
        <f t="shared" si="29"/>
        <v>#N/A</v>
      </c>
      <c r="CU33" s="84" t="e">
        <f t="shared" si="30"/>
        <v>#N/A</v>
      </c>
      <c r="CV33" s="84" t="e">
        <f t="shared" si="31"/>
        <v>#N/A</v>
      </c>
      <c r="CW33" s="84" t="e">
        <f t="shared" si="32"/>
        <v>#N/A</v>
      </c>
      <c r="CX33" s="84" t="e">
        <f t="shared" si="33"/>
        <v>#N/A</v>
      </c>
    </row>
    <row r="34" spans="1:102" x14ac:dyDescent="0.25">
      <c r="A34" s="306" t="s">
        <v>629</v>
      </c>
      <c r="B34" s="305"/>
      <c r="C34" s="305"/>
      <c r="D34" s="305">
        <v>9</v>
      </c>
      <c r="E34" s="305" t="s">
        <v>32</v>
      </c>
      <c r="F34" s="305" t="s">
        <v>72</v>
      </c>
      <c r="G34" s="84" t="s">
        <v>77</v>
      </c>
      <c r="H34" s="84" t="s">
        <v>712</v>
      </c>
      <c r="I34" s="306" t="s">
        <v>807</v>
      </c>
      <c r="J34" s="84" t="s">
        <v>769</v>
      </c>
      <c r="K34" s="84" t="s">
        <v>186</v>
      </c>
      <c r="L34" s="84">
        <v>26</v>
      </c>
      <c r="M34" s="84" t="s">
        <v>83</v>
      </c>
      <c r="N34" s="84" t="s">
        <v>83</v>
      </c>
      <c r="O34" s="84" t="s">
        <v>773</v>
      </c>
      <c r="P34" s="296" t="s">
        <v>773</v>
      </c>
      <c r="Q34" s="84" t="s">
        <v>199</v>
      </c>
      <c r="R34" s="296" t="s">
        <v>200</v>
      </c>
      <c r="S34" s="84">
        <v>4</v>
      </c>
      <c r="T34" s="84">
        <v>5</v>
      </c>
      <c r="U34" s="84">
        <v>5</v>
      </c>
      <c r="V34" s="84">
        <v>6</v>
      </c>
      <c r="W34" s="296">
        <v>3</v>
      </c>
      <c r="X34" s="84">
        <v>4</v>
      </c>
      <c r="Y34" s="84">
        <v>6</v>
      </c>
      <c r="Z34" s="84">
        <v>6</v>
      </c>
      <c r="AA34" s="84">
        <v>6</v>
      </c>
      <c r="AB34" s="296">
        <v>4</v>
      </c>
      <c r="AC34" s="84">
        <v>4</v>
      </c>
      <c r="AD34" s="84">
        <v>7</v>
      </c>
      <c r="AE34" s="84">
        <v>1</v>
      </c>
      <c r="AF34" s="306">
        <v>1</v>
      </c>
      <c r="AG34" s="84" t="s">
        <v>32</v>
      </c>
      <c r="AH34" s="84" t="s">
        <v>32</v>
      </c>
      <c r="AI34" s="84" t="s">
        <v>32</v>
      </c>
      <c r="AJ34" s="84" t="s">
        <v>32</v>
      </c>
      <c r="AK34" s="84" t="s">
        <v>32</v>
      </c>
      <c r="AL34" s="84">
        <v>2</v>
      </c>
      <c r="AM34" s="84" t="s">
        <v>32</v>
      </c>
      <c r="AN34" s="296">
        <v>4</v>
      </c>
      <c r="AO34" s="84">
        <v>1</v>
      </c>
      <c r="AP34" s="84">
        <v>1</v>
      </c>
      <c r="AQ34" s="296">
        <v>2</v>
      </c>
      <c r="AR34" s="85" t="s">
        <v>32</v>
      </c>
      <c r="AS34" s="296">
        <v>0</v>
      </c>
      <c r="AT34" s="377" t="s">
        <v>529</v>
      </c>
      <c r="AU34" s="86">
        <f t="shared" si="2"/>
        <v>4</v>
      </c>
      <c r="AV34" s="87" t="str">
        <f t="shared" si="3"/>
        <v>Minors</v>
      </c>
      <c r="AW34" s="86">
        <f t="shared" si="4"/>
        <v>4.333333333333333</v>
      </c>
      <c r="AX34" s="86" t="str">
        <f t="shared" si="5"/>
        <v>Bench</v>
      </c>
      <c r="AY34" s="87">
        <f t="shared" si="6"/>
        <v>4</v>
      </c>
      <c r="AZ34" s="87" t="str">
        <f t="shared" si="7"/>
        <v>Minors</v>
      </c>
      <c r="BA34" s="294">
        <f t="shared" si="8"/>
        <v>0</v>
      </c>
      <c r="BB34" s="295">
        <f t="shared" si="9"/>
        <v>0</v>
      </c>
      <c r="BC34" s="295">
        <f t="shared" si="10"/>
        <v>0</v>
      </c>
      <c r="BD34" s="295">
        <f t="shared" si="11"/>
        <v>0</v>
      </c>
      <c r="BE34" s="295">
        <f t="shared" si="12"/>
        <v>0</v>
      </c>
      <c r="BF34" s="295">
        <f t="shared" si="13"/>
        <v>0</v>
      </c>
      <c r="BG34" s="295">
        <f t="shared" si="14"/>
        <v>0</v>
      </c>
      <c r="BH34" s="295">
        <f t="shared" si="15"/>
        <v>0</v>
      </c>
      <c r="BI34" s="296">
        <f t="shared" si="16"/>
        <v>0</v>
      </c>
      <c r="BJ34" s="294">
        <f t="shared" si="17"/>
        <v>0</v>
      </c>
      <c r="BK34" s="295">
        <f t="shared" si="18"/>
        <v>0</v>
      </c>
      <c r="BL34" s="295">
        <f t="shared" si="19"/>
        <v>0</v>
      </c>
      <c r="BM34" s="295">
        <f t="shared" si="20"/>
        <v>0</v>
      </c>
      <c r="BN34" s="295">
        <f t="shared" si="21"/>
        <v>0</v>
      </c>
      <c r="BO34" s="295">
        <f t="shared" si="22"/>
        <v>0</v>
      </c>
      <c r="BP34" s="295">
        <f t="shared" si="23"/>
        <v>0</v>
      </c>
      <c r="BQ34" s="295">
        <f t="shared" si="24"/>
        <v>0</v>
      </c>
      <c r="BR34" s="296">
        <f t="shared" si="25"/>
        <v>0</v>
      </c>
      <c r="BS34" s="296">
        <f t="shared" si="26"/>
        <v>0</v>
      </c>
      <c r="BT34" s="89">
        <f t="shared" si="27"/>
        <v>0</v>
      </c>
      <c r="BU34" s="84" t="str">
        <f t="shared" si="28"/>
        <v/>
      </c>
      <c r="BV34" s="306" t="e">
        <f>IF(S34="-","-",VLOOKUP($A34,AMABat!$A$10:$AS$1137,BV$9,FALSE)-S34)</f>
        <v>#N/A</v>
      </c>
      <c r="BW34" s="306" t="e">
        <f>IF(T34="-","-",VLOOKUP($A34,AMABat!$A$10:$AS$1137,BW$9,FALSE)-T34)</f>
        <v>#N/A</v>
      </c>
      <c r="BX34" s="306" t="e">
        <f>IF(U34="-","-",VLOOKUP($A34,AMABat!$A$10:$AS$1137,BX$9,FALSE)-U34)</f>
        <v>#N/A</v>
      </c>
      <c r="BY34" s="306" t="e">
        <f>IF(V34="-","-",VLOOKUP($A34,AMABat!$A$10:$AS$1137,BY$9,FALSE)-V34)</f>
        <v>#N/A</v>
      </c>
      <c r="BZ34" s="306" t="e">
        <f>IF(W34="-","-",VLOOKUP($A34,AMABat!$A$10:$AS$1137,BZ$9,FALSE)-W34)</f>
        <v>#N/A</v>
      </c>
      <c r="CA34" s="306" t="e">
        <f>IF(X34="-","-",VLOOKUP($A34,AMABat!$A$10:$AS$1137,CA$9,FALSE)-X34)</f>
        <v>#N/A</v>
      </c>
      <c r="CB34" s="306" t="e">
        <f>IF(Y34="-","-",VLOOKUP($A34,AMABat!$A$10:$AS$1137,CB$9,FALSE)-Y34)</f>
        <v>#N/A</v>
      </c>
      <c r="CC34" s="306" t="e">
        <f>IF(Z34="-","-",VLOOKUP($A34,AMABat!$A$10:$AS$1137,CC$9,FALSE)-Z34)</f>
        <v>#N/A</v>
      </c>
      <c r="CD34" s="306" t="e">
        <f>IF(AA34="-","-",VLOOKUP($A34,AMABat!$A$10:$AS$1137,CD$9,FALSE)-AA34)</f>
        <v>#N/A</v>
      </c>
      <c r="CE34" s="306" t="e">
        <f>IF(AB34="-","-",VLOOKUP($A34,AMABat!$A$10:$AS$1137,CE$9,FALSE)-AB34)</f>
        <v>#N/A</v>
      </c>
      <c r="CF34" s="306" t="e">
        <f>IF(AC34="-","-",VLOOKUP($A34,AMABat!$A$10:$AS$1137,CF$9,FALSE)-AC34)</f>
        <v>#N/A</v>
      </c>
      <c r="CG34" s="306" t="e">
        <f>IF(AD34="-","-",VLOOKUP($A34,AMABat!$A$10:$AS$1137,CG$9,FALSE)-AD34)</f>
        <v>#N/A</v>
      </c>
      <c r="CH34" s="306" t="e">
        <f>IF(AE34="-","-",VLOOKUP($A34,AMABat!$A$10:$AS$1137,CH$9,FALSE)-AE34)</f>
        <v>#N/A</v>
      </c>
      <c r="CI34" s="306" t="str">
        <f>IF(AG34="-","-",VLOOKUP($A34,AMABat!$A$10:$AS$1137,CI$9,FALSE)-AG34)</f>
        <v>-</v>
      </c>
      <c r="CJ34" s="306" t="str">
        <f>IF(AH34="-","-",VLOOKUP($A34,AMABat!$A$10:$AS$1137,CJ$9,FALSE)-AH34)</f>
        <v>-</v>
      </c>
      <c r="CK34" s="306" t="str">
        <f>IF(AI34="-","-",VLOOKUP($A34,AMABat!$A$10:$AS$1137,CK$9,FALSE)-AI34)</f>
        <v>-</v>
      </c>
      <c r="CL34" s="306" t="str">
        <f>IF(AJ34="-","-",VLOOKUP($A34,AMABat!$A$10:$AS$1137,CL$9,FALSE)-AJ34)</f>
        <v>-</v>
      </c>
      <c r="CM34" s="306" t="str">
        <f>IF(AK34="-","-",VLOOKUP($A34,AMABat!$A$10:$AS$1137,CM$9,FALSE)-AK34)</f>
        <v>-</v>
      </c>
      <c r="CN34" s="306" t="e">
        <f>IF(AL34="-","-",VLOOKUP($A34,AMABat!$A$10:$AS$1137,CN$9,FALSE)-AL34)</f>
        <v>#N/A</v>
      </c>
      <c r="CO34" s="306" t="str">
        <f>IF(AM34="-","-",VLOOKUP($A34,AMABat!$A$10:$AS$1137,CO$9,FALSE)-AM34)</f>
        <v>-</v>
      </c>
      <c r="CP34" s="306" t="e">
        <f>IF(AN34="-","-",VLOOKUP($A34,AMABat!$A$10:$AS$1137,CP$9,FALSE)-AN34)</f>
        <v>#N/A</v>
      </c>
      <c r="CQ34" s="306" t="e">
        <f>IF(AO34="-","-",VLOOKUP($A34,AMABat!$A$10:$AS$1137,CQ$9,FALSE)-AO34)</f>
        <v>#N/A</v>
      </c>
      <c r="CR34" s="306" t="e">
        <f>IF(AP34="-","-",VLOOKUP($A34,AMABat!$A$10:$AS$1137,CR$9,FALSE)-AP34)</f>
        <v>#N/A</v>
      </c>
      <c r="CS34" s="306" t="e">
        <f>IF(AQ34="-","-",VLOOKUP($A34,AMABat!$A$10:$AS$1137,CS$9,FALSE)-AQ34)</f>
        <v>#N/A</v>
      </c>
      <c r="CT34" s="84" t="e">
        <f t="shared" si="29"/>
        <v>#N/A</v>
      </c>
      <c r="CU34" s="84" t="e">
        <f t="shared" si="30"/>
        <v>#N/A</v>
      </c>
      <c r="CV34" s="84" t="e">
        <f t="shared" si="31"/>
        <v>#N/A</v>
      </c>
      <c r="CW34" s="84" t="e">
        <f t="shared" si="32"/>
        <v>#N/A</v>
      </c>
      <c r="CX34" s="84" t="e">
        <f t="shared" si="33"/>
        <v>#N/A</v>
      </c>
    </row>
    <row r="35" spans="1:102" x14ac:dyDescent="0.25">
      <c r="A35" s="306" t="s">
        <v>459</v>
      </c>
      <c r="B35" s="305" t="s">
        <v>185</v>
      </c>
      <c r="C35" s="305"/>
      <c r="D35" s="305" t="s">
        <v>32</v>
      </c>
      <c r="E35" s="305" t="s">
        <v>32</v>
      </c>
      <c r="F35" s="305" t="s">
        <v>81</v>
      </c>
      <c r="G35" t="s">
        <v>74</v>
      </c>
      <c r="H35" t="s">
        <v>415</v>
      </c>
      <c r="I35" s="305" t="s">
        <v>799</v>
      </c>
      <c r="J35" t="s">
        <v>769</v>
      </c>
      <c r="K35" t="s">
        <v>186</v>
      </c>
      <c r="L35">
        <v>36</v>
      </c>
      <c r="M35" t="s">
        <v>83</v>
      </c>
      <c r="N35" t="s">
        <v>83</v>
      </c>
      <c r="O35" t="s">
        <v>773</v>
      </c>
      <c r="P35" s="293" t="s">
        <v>773</v>
      </c>
      <c r="Q35" t="s">
        <v>200</v>
      </c>
      <c r="R35" s="293" t="s">
        <v>201</v>
      </c>
      <c r="S35">
        <v>4</v>
      </c>
      <c r="T35">
        <v>6</v>
      </c>
      <c r="U35">
        <v>3</v>
      </c>
      <c r="V35">
        <v>8</v>
      </c>
      <c r="W35" s="293">
        <v>4</v>
      </c>
      <c r="X35">
        <v>4</v>
      </c>
      <c r="Y35">
        <v>6</v>
      </c>
      <c r="Z35">
        <v>3</v>
      </c>
      <c r="AA35">
        <v>8</v>
      </c>
      <c r="AB35" s="293">
        <v>4</v>
      </c>
      <c r="AC35">
        <v>2</v>
      </c>
      <c r="AD35">
        <v>2</v>
      </c>
      <c r="AE35">
        <v>1</v>
      </c>
      <c r="AF35" s="305">
        <v>1</v>
      </c>
      <c r="AG35" t="s">
        <v>32</v>
      </c>
      <c r="AH35" t="s">
        <v>32</v>
      </c>
      <c r="AI35">
        <v>1</v>
      </c>
      <c r="AJ35" t="s">
        <v>32</v>
      </c>
      <c r="AK35" t="s">
        <v>32</v>
      </c>
      <c r="AL35" t="s">
        <v>32</v>
      </c>
      <c r="AM35" t="s">
        <v>32</v>
      </c>
      <c r="AN35" s="293" t="s">
        <v>32</v>
      </c>
      <c r="AO35">
        <v>3</v>
      </c>
      <c r="AP35">
        <v>7</v>
      </c>
      <c r="AQ35" s="293">
        <v>10</v>
      </c>
      <c r="AR35" t="s">
        <v>32</v>
      </c>
      <c r="AS35" s="293" t="s">
        <v>33</v>
      </c>
      <c r="AT35" s="372" t="s">
        <v>529</v>
      </c>
      <c r="AU35" s="6">
        <f t="shared" si="2"/>
        <v>4</v>
      </c>
      <c r="AV35" s="9" t="str">
        <f t="shared" si="3"/>
        <v>Minors</v>
      </c>
      <c r="AW35" s="6">
        <f t="shared" si="4"/>
        <v>4</v>
      </c>
      <c r="AX35" s="6" t="str">
        <f t="shared" si="5"/>
        <v>Minors</v>
      </c>
      <c r="AY35" s="9">
        <f t="shared" si="6"/>
        <v>4</v>
      </c>
      <c r="AZ35" s="9" t="str">
        <f t="shared" si="7"/>
        <v>Minors</v>
      </c>
      <c r="BA35" s="297">
        <f t="shared" si="8"/>
        <v>0</v>
      </c>
      <c r="BB35" s="292">
        <f t="shared" si="9"/>
        <v>0</v>
      </c>
      <c r="BC35" s="292">
        <f t="shared" si="10"/>
        <v>0</v>
      </c>
      <c r="BD35" s="292">
        <f t="shared" si="11"/>
        <v>0</v>
      </c>
      <c r="BE35" s="292">
        <f t="shared" si="12"/>
        <v>0</v>
      </c>
      <c r="BF35" s="292">
        <f t="shared" si="13"/>
        <v>0</v>
      </c>
      <c r="BG35" s="292">
        <f t="shared" si="14"/>
        <v>0</v>
      </c>
      <c r="BH35" s="292">
        <f t="shared" si="15"/>
        <v>0</v>
      </c>
      <c r="BI35" s="293">
        <f t="shared" si="16"/>
        <v>0</v>
      </c>
      <c r="BJ35" s="297">
        <f t="shared" si="17"/>
        <v>0</v>
      </c>
      <c r="BK35" s="292">
        <f t="shared" si="18"/>
        <v>0</v>
      </c>
      <c r="BL35" s="292">
        <f t="shared" si="19"/>
        <v>0</v>
      </c>
      <c r="BM35" s="292">
        <f t="shared" si="20"/>
        <v>0</v>
      </c>
      <c r="BN35" s="292">
        <f t="shared" si="21"/>
        <v>0</v>
      </c>
      <c r="BO35" s="292">
        <f t="shared" si="22"/>
        <v>0</v>
      </c>
      <c r="BP35" s="292">
        <f t="shared" si="23"/>
        <v>0</v>
      </c>
      <c r="BQ35" s="292">
        <f t="shared" si="24"/>
        <v>0</v>
      </c>
      <c r="BR35" s="293">
        <f t="shared" si="25"/>
        <v>0</v>
      </c>
      <c r="BS35" s="293">
        <f t="shared" si="26"/>
        <v>2</v>
      </c>
      <c r="BT35" s="7">
        <f t="shared" si="27"/>
        <v>0</v>
      </c>
      <c r="BU35" t="str">
        <f t="shared" si="28"/>
        <v/>
      </c>
      <c r="BV35" s="306" t="e">
        <f>IF(S35="-","-",VLOOKUP($A35,AMABat!$A$10:$AS$1137,BV$9,FALSE)-S35)</f>
        <v>#N/A</v>
      </c>
      <c r="BW35" s="306" t="e">
        <f>IF(T35="-","-",VLOOKUP($A35,AMABat!$A$10:$AS$1137,BW$9,FALSE)-T35)</f>
        <v>#N/A</v>
      </c>
      <c r="BX35" s="306" t="e">
        <f>IF(U35="-","-",VLOOKUP($A35,AMABat!$A$10:$AS$1137,BX$9,FALSE)-U35)</f>
        <v>#N/A</v>
      </c>
      <c r="BY35" s="306" t="e">
        <f>IF(V35="-","-",VLOOKUP($A35,AMABat!$A$10:$AS$1137,BY$9,FALSE)-V35)</f>
        <v>#N/A</v>
      </c>
      <c r="BZ35" s="306" t="e">
        <f>IF(W35="-","-",VLOOKUP($A35,AMABat!$A$10:$AS$1137,BZ$9,FALSE)-W35)</f>
        <v>#N/A</v>
      </c>
      <c r="CA35" s="306" t="e">
        <f>IF(X35="-","-",VLOOKUP($A35,AMABat!$A$10:$AS$1137,CA$9,FALSE)-X35)</f>
        <v>#N/A</v>
      </c>
      <c r="CB35" s="306" t="e">
        <f>IF(Y35="-","-",VLOOKUP($A35,AMABat!$A$10:$AS$1137,CB$9,FALSE)-Y35)</f>
        <v>#N/A</v>
      </c>
      <c r="CC35" s="306" t="e">
        <f>IF(Z35="-","-",VLOOKUP($A35,AMABat!$A$10:$AS$1137,CC$9,FALSE)-Z35)</f>
        <v>#N/A</v>
      </c>
      <c r="CD35" s="306" t="e">
        <f>IF(AA35="-","-",VLOOKUP($A35,AMABat!$A$10:$AS$1137,CD$9,FALSE)-AA35)</f>
        <v>#N/A</v>
      </c>
      <c r="CE35" s="306" t="e">
        <f>IF(AB35="-","-",VLOOKUP($A35,AMABat!$A$10:$AS$1137,CE$9,FALSE)-AB35)</f>
        <v>#N/A</v>
      </c>
      <c r="CF35" s="306" t="e">
        <f>IF(AC35="-","-",VLOOKUP($A35,AMABat!$A$10:$AS$1137,CF$9,FALSE)-AC35)</f>
        <v>#N/A</v>
      </c>
      <c r="CG35" s="306" t="e">
        <f>IF(AD35="-","-",VLOOKUP($A35,AMABat!$A$10:$AS$1137,CG$9,FALSE)-AD35)</f>
        <v>#N/A</v>
      </c>
      <c r="CH35" s="306" t="e">
        <f>IF(AE35="-","-",VLOOKUP($A35,AMABat!$A$10:$AS$1137,CH$9,FALSE)-AE35)</f>
        <v>#N/A</v>
      </c>
      <c r="CI35" s="306" t="str">
        <f>IF(AG35="-","-",VLOOKUP($A35,AMABat!$A$10:$AS$1137,CI$9,FALSE)-AG35)</f>
        <v>-</v>
      </c>
      <c r="CJ35" s="306" t="str">
        <f>IF(AH35="-","-",VLOOKUP($A35,AMABat!$A$10:$AS$1137,CJ$9,FALSE)-AH35)</f>
        <v>-</v>
      </c>
      <c r="CK35" s="306" t="e">
        <f>IF(AI35="-","-",VLOOKUP($A35,AMABat!$A$10:$AS$1137,CK$9,FALSE)-AI35)</f>
        <v>#N/A</v>
      </c>
      <c r="CL35" s="306" t="str">
        <f>IF(AJ35="-","-",VLOOKUP($A35,AMABat!$A$10:$AS$1137,CL$9,FALSE)-AJ35)</f>
        <v>-</v>
      </c>
      <c r="CM35" s="306" t="str">
        <f>IF(AK35="-","-",VLOOKUP($A35,AMABat!$A$10:$AS$1137,CM$9,FALSE)-AK35)</f>
        <v>-</v>
      </c>
      <c r="CN35" s="306" t="str">
        <f>IF(AL35="-","-",VLOOKUP($A35,AMABat!$A$10:$AS$1137,CN$9,FALSE)-AL35)</f>
        <v>-</v>
      </c>
      <c r="CO35" s="306" t="str">
        <f>IF(AM35="-","-",VLOOKUP($A35,AMABat!$A$10:$AS$1137,CO$9,FALSE)-AM35)</f>
        <v>-</v>
      </c>
      <c r="CP35" s="306" t="str">
        <f>IF(AN35="-","-",VLOOKUP($A35,AMABat!$A$10:$AS$1137,CP$9,FALSE)-AN35)</f>
        <v>-</v>
      </c>
      <c r="CQ35" s="306" t="e">
        <f>IF(AO35="-","-",VLOOKUP($A35,AMABat!$A$10:$AS$1137,CQ$9,FALSE)-AO35)</f>
        <v>#N/A</v>
      </c>
      <c r="CR35" s="306" t="e">
        <f>IF(AP35="-","-",VLOOKUP($A35,AMABat!$A$10:$AS$1137,CR$9,FALSE)-AP35)</f>
        <v>#N/A</v>
      </c>
      <c r="CS35" s="306" t="e">
        <f>IF(AQ35="-","-",VLOOKUP($A35,AMABat!$A$10:$AS$1137,CS$9,FALSE)-AQ35)</f>
        <v>#N/A</v>
      </c>
      <c r="CT35" s="84" t="e">
        <f t="shared" si="29"/>
        <v>#N/A</v>
      </c>
      <c r="CU35" s="84" t="e">
        <f t="shared" si="30"/>
        <v>#N/A</v>
      </c>
      <c r="CV35" s="84" t="e">
        <f t="shared" si="31"/>
        <v>#N/A</v>
      </c>
      <c r="CW35" s="84" t="e">
        <f t="shared" si="32"/>
        <v>#N/A</v>
      </c>
      <c r="CX35" s="84" t="e">
        <f t="shared" si="33"/>
        <v>#N/A</v>
      </c>
    </row>
    <row r="36" spans="1:102" x14ac:dyDescent="0.25">
      <c r="A36" s="306" t="s">
        <v>518</v>
      </c>
      <c r="B36" s="305" t="s">
        <v>185</v>
      </c>
      <c r="C36" s="305"/>
      <c r="D36" s="305">
        <v>2</v>
      </c>
      <c r="E36" s="305">
        <v>2</v>
      </c>
      <c r="F36" s="305" t="s">
        <v>81</v>
      </c>
      <c r="G36" s="84" t="s">
        <v>75</v>
      </c>
      <c r="H36" s="84" t="s">
        <v>717</v>
      </c>
      <c r="I36" s="306" t="s">
        <v>806</v>
      </c>
      <c r="J36" s="84" t="s">
        <v>763</v>
      </c>
      <c r="K36" s="84" t="s">
        <v>402</v>
      </c>
      <c r="L36" s="84">
        <v>33</v>
      </c>
      <c r="M36" s="84" t="s">
        <v>83</v>
      </c>
      <c r="N36" s="84" t="s">
        <v>83</v>
      </c>
      <c r="O36" s="84" t="s">
        <v>764</v>
      </c>
      <c r="P36" s="296" t="s">
        <v>764</v>
      </c>
      <c r="Q36" s="84" t="s">
        <v>200</v>
      </c>
      <c r="R36" s="296" t="s">
        <v>200</v>
      </c>
      <c r="S36" s="84">
        <v>4</v>
      </c>
      <c r="T36" s="84">
        <v>2</v>
      </c>
      <c r="U36" s="84">
        <v>6</v>
      </c>
      <c r="V36" s="84">
        <v>5</v>
      </c>
      <c r="W36" s="296">
        <v>3</v>
      </c>
      <c r="X36" s="84">
        <v>4</v>
      </c>
      <c r="Y36" s="84">
        <v>2</v>
      </c>
      <c r="Z36" s="84">
        <v>6</v>
      </c>
      <c r="AA36" s="84">
        <v>5</v>
      </c>
      <c r="AB36" s="296">
        <v>3</v>
      </c>
      <c r="AC36" s="84">
        <v>9</v>
      </c>
      <c r="AD36" s="84">
        <v>7</v>
      </c>
      <c r="AE36" s="84">
        <v>1</v>
      </c>
      <c r="AF36" s="306">
        <v>1</v>
      </c>
      <c r="AG36" s="84" t="s">
        <v>32</v>
      </c>
      <c r="AH36" s="84">
        <v>3</v>
      </c>
      <c r="AI36" s="84">
        <v>8</v>
      </c>
      <c r="AJ36" s="84">
        <v>8</v>
      </c>
      <c r="AK36" s="84">
        <v>6</v>
      </c>
      <c r="AL36" s="84">
        <v>6</v>
      </c>
      <c r="AM36" s="84">
        <v>2</v>
      </c>
      <c r="AN36" s="296">
        <v>5</v>
      </c>
      <c r="AO36" s="84">
        <v>9</v>
      </c>
      <c r="AP36" s="84">
        <v>10</v>
      </c>
      <c r="AQ36" s="296">
        <v>10</v>
      </c>
      <c r="AR36" s="85">
        <v>510000</v>
      </c>
      <c r="AS36" s="296" t="s">
        <v>33</v>
      </c>
      <c r="AT36" s="377" t="s">
        <v>529</v>
      </c>
      <c r="AU36" s="86">
        <f t="shared" si="2"/>
        <v>4</v>
      </c>
      <c r="AV36" s="87" t="str">
        <f t="shared" si="3"/>
        <v>Minors</v>
      </c>
      <c r="AW36" s="86">
        <f t="shared" si="4"/>
        <v>4</v>
      </c>
      <c r="AX36" s="86" t="str">
        <f t="shared" si="5"/>
        <v>Minors</v>
      </c>
      <c r="AY36" s="87">
        <f t="shared" si="6"/>
        <v>4</v>
      </c>
      <c r="AZ36" s="87" t="str">
        <f t="shared" si="7"/>
        <v>Minors</v>
      </c>
      <c r="BA36" s="294">
        <f t="shared" si="8"/>
        <v>0</v>
      </c>
      <c r="BB36" s="295">
        <f t="shared" si="9"/>
        <v>0</v>
      </c>
      <c r="BC36" s="295">
        <f t="shared" si="10"/>
        <v>0</v>
      </c>
      <c r="BD36" s="295">
        <f t="shared" si="11"/>
        <v>0</v>
      </c>
      <c r="BE36" s="295">
        <f t="shared" si="12"/>
        <v>0</v>
      </c>
      <c r="BF36" s="295">
        <f t="shared" si="13"/>
        <v>0</v>
      </c>
      <c r="BG36" s="295">
        <f t="shared" si="14"/>
        <v>0</v>
      </c>
      <c r="BH36" s="295">
        <f t="shared" si="15"/>
        <v>0</v>
      </c>
      <c r="BI36" s="296">
        <f t="shared" si="16"/>
        <v>0</v>
      </c>
      <c r="BJ36" s="294">
        <f t="shared" si="17"/>
        <v>0</v>
      </c>
      <c r="BK36" s="295">
        <f t="shared" si="18"/>
        <v>0</v>
      </c>
      <c r="BL36" s="295">
        <f t="shared" si="19"/>
        <v>0</v>
      </c>
      <c r="BM36" s="295">
        <f t="shared" si="20"/>
        <v>0</v>
      </c>
      <c r="BN36" s="295">
        <f t="shared" si="21"/>
        <v>0</v>
      </c>
      <c r="BO36" s="295">
        <f t="shared" si="22"/>
        <v>0</v>
      </c>
      <c r="BP36" s="295">
        <f t="shared" si="23"/>
        <v>0</v>
      </c>
      <c r="BQ36" s="295">
        <f t="shared" si="24"/>
        <v>0</v>
      </c>
      <c r="BR36" s="296">
        <f t="shared" si="25"/>
        <v>0</v>
      </c>
      <c r="BS36" s="296">
        <f t="shared" si="26"/>
        <v>6</v>
      </c>
      <c r="BT36" s="89">
        <f t="shared" si="27"/>
        <v>2</v>
      </c>
      <c r="BU36" s="84" t="str">
        <f t="shared" si="28"/>
        <v/>
      </c>
      <c r="BV36" s="306" t="e">
        <f>IF(S36="-","-",VLOOKUP($A36,AMABat!$A$10:$AS$1137,BV$9,FALSE)-S36)</f>
        <v>#N/A</v>
      </c>
      <c r="BW36" s="306" t="e">
        <f>IF(T36="-","-",VLOOKUP($A36,AMABat!$A$10:$AS$1137,BW$9,FALSE)-T36)</f>
        <v>#N/A</v>
      </c>
      <c r="BX36" s="306" t="e">
        <f>IF(U36="-","-",VLOOKUP($A36,AMABat!$A$10:$AS$1137,BX$9,FALSE)-U36)</f>
        <v>#N/A</v>
      </c>
      <c r="BY36" s="306" t="e">
        <f>IF(V36="-","-",VLOOKUP($A36,AMABat!$A$10:$AS$1137,BY$9,FALSE)-V36)</f>
        <v>#N/A</v>
      </c>
      <c r="BZ36" s="306" t="e">
        <f>IF(W36="-","-",VLOOKUP($A36,AMABat!$A$10:$AS$1137,BZ$9,FALSE)-W36)</f>
        <v>#N/A</v>
      </c>
      <c r="CA36" s="306" t="e">
        <f>IF(X36="-","-",VLOOKUP($A36,AMABat!$A$10:$AS$1137,CA$9,FALSE)-X36)</f>
        <v>#N/A</v>
      </c>
      <c r="CB36" s="306" t="e">
        <f>IF(Y36="-","-",VLOOKUP($A36,AMABat!$A$10:$AS$1137,CB$9,FALSE)-Y36)</f>
        <v>#N/A</v>
      </c>
      <c r="CC36" s="306" t="e">
        <f>IF(Z36="-","-",VLOOKUP($A36,AMABat!$A$10:$AS$1137,CC$9,FALSE)-Z36)</f>
        <v>#N/A</v>
      </c>
      <c r="CD36" s="306" t="e">
        <f>IF(AA36="-","-",VLOOKUP($A36,AMABat!$A$10:$AS$1137,CD$9,FALSE)-AA36)</f>
        <v>#N/A</v>
      </c>
      <c r="CE36" s="306" t="e">
        <f>IF(AB36="-","-",VLOOKUP($A36,AMABat!$A$10:$AS$1137,CE$9,FALSE)-AB36)</f>
        <v>#N/A</v>
      </c>
      <c r="CF36" s="306" t="e">
        <f>IF(AC36="-","-",VLOOKUP($A36,AMABat!$A$10:$AS$1137,CF$9,FALSE)-AC36)</f>
        <v>#N/A</v>
      </c>
      <c r="CG36" s="306" t="e">
        <f>IF(AD36="-","-",VLOOKUP($A36,AMABat!$A$10:$AS$1137,CG$9,FALSE)-AD36)</f>
        <v>#N/A</v>
      </c>
      <c r="CH36" s="306" t="e">
        <f>IF(AE36="-","-",VLOOKUP($A36,AMABat!$A$10:$AS$1137,CH$9,FALSE)-AE36)</f>
        <v>#N/A</v>
      </c>
      <c r="CI36" s="306" t="str">
        <f>IF(AG36="-","-",VLOOKUP($A36,AMABat!$A$10:$AS$1137,CI$9,FALSE)-AG36)</f>
        <v>-</v>
      </c>
      <c r="CJ36" s="306" t="e">
        <f>IF(AH36="-","-",VLOOKUP($A36,AMABat!$A$10:$AS$1137,CJ$9,FALSE)-AH36)</f>
        <v>#N/A</v>
      </c>
      <c r="CK36" s="306" t="e">
        <f>IF(AI36="-","-",VLOOKUP($A36,AMABat!$A$10:$AS$1137,CK$9,FALSE)-AI36)</f>
        <v>#N/A</v>
      </c>
      <c r="CL36" s="306" t="e">
        <f>IF(AJ36="-","-",VLOOKUP($A36,AMABat!$A$10:$AS$1137,CL$9,FALSE)-AJ36)</f>
        <v>#N/A</v>
      </c>
      <c r="CM36" s="306" t="e">
        <f>IF(AK36="-","-",VLOOKUP($A36,AMABat!$A$10:$AS$1137,CM$9,FALSE)-AK36)</f>
        <v>#N/A</v>
      </c>
      <c r="CN36" s="306" t="e">
        <f>IF(AL36="-","-",VLOOKUP($A36,AMABat!$A$10:$AS$1137,CN$9,FALSE)-AL36)</f>
        <v>#N/A</v>
      </c>
      <c r="CO36" s="306" t="e">
        <f>IF(AM36="-","-",VLOOKUP($A36,AMABat!$A$10:$AS$1137,CO$9,FALSE)-AM36)</f>
        <v>#N/A</v>
      </c>
      <c r="CP36" s="306" t="e">
        <f>IF(AN36="-","-",VLOOKUP($A36,AMABat!$A$10:$AS$1137,CP$9,FALSE)-AN36)</f>
        <v>#N/A</v>
      </c>
      <c r="CQ36" s="306" t="e">
        <f>IF(AO36="-","-",VLOOKUP($A36,AMABat!$A$10:$AS$1137,CQ$9,FALSE)-AO36)</f>
        <v>#N/A</v>
      </c>
      <c r="CR36" s="306" t="e">
        <f>IF(AP36="-","-",VLOOKUP($A36,AMABat!$A$10:$AS$1137,CR$9,FALSE)-AP36)</f>
        <v>#N/A</v>
      </c>
      <c r="CS36" s="306" t="e">
        <f>IF(AQ36="-","-",VLOOKUP($A36,AMABat!$A$10:$AS$1137,CS$9,FALSE)-AQ36)</f>
        <v>#N/A</v>
      </c>
      <c r="CT36" s="84" t="e">
        <f t="shared" si="29"/>
        <v>#N/A</v>
      </c>
      <c r="CU36" s="84" t="e">
        <f t="shared" si="30"/>
        <v>#N/A</v>
      </c>
      <c r="CV36" s="84" t="e">
        <f t="shared" si="31"/>
        <v>#N/A</v>
      </c>
      <c r="CW36" s="84" t="e">
        <f t="shared" si="32"/>
        <v>#N/A</v>
      </c>
      <c r="CX36" s="84" t="e">
        <f t="shared" si="33"/>
        <v>#N/A</v>
      </c>
    </row>
    <row r="37" spans="1:102" x14ac:dyDescent="0.25">
      <c r="A37" s="306" t="s">
        <v>630</v>
      </c>
      <c r="B37" s="305" t="s">
        <v>534</v>
      </c>
      <c r="C37" s="305"/>
      <c r="D37" s="305" t="s">
        <v>32</v>
      </c>
      <c r="E37" s="305" t="s">
        <v>32</v>
      </c>
      <c r="F37" s="305" t="s">
        <v>72</v>
      </c>
      <c r="G37" t="s">
        <v>75</v>
      </c>
      <c r="H37" t="s">
        <v>784</v>
      </c>
      <c r="I37" s="305" t="s">
        <v>785</v>
      </c>
      <c r="J37" t="s">
        <v>769</v>
      </c>
      <c r="K37" t="s">
        <v>186</v>
      </c>
      <c r="L37">
        <v>33</v>
      </c>
      <c r="M37" t="s">
        <v>83</v>
      </c>
      <c r="N37" t="s">
        <v>83</v>
      </c>
      <c r="O37" t="s">
        <v>764</v>
      </c>
      <c r="P37" s="268" t="s">
        <v>764</v>
      </c>
      <c r="Q37" t="s">
        <v>201</v>
      </c>
      <c r="R37" s="268" t="s">
        <v>200</v>
      </c>
      <c r="S37">
        <v>5</v>
      </c>
      <c r="T37">
        <v>3</v>
      </c>
      <c r="U37">
        <v>4</v>
      </c>
      <c r="V37">
        <v>4</v>
      </c>
      <c r="W37" s="268">
        <v>4</v>
      </c>
      <c r="X37">
        <v>5</v>
      </c>
      <c r="Y37">
        <v>3</v>
      </c>
      <c r="Z37">
        <v>4</v>
      </c>
      <c r="AA37">
        <v>4</v>
      </c>
      <c r="AB37" s="268">
        <v>4</v>
      </c>
      <c r="AC37">
        <v>9</v>
      </c>
      <c r="AD37">
        <v>1</v>
      </c>
      <c r="AE37">
        <v>1</v>
      </c>
      <c r="AF37" s="305">
        <v>1</v>
      </c>
      <c r="AG37" t="s">
        <v>32</v>
      </c>
      <c r="AH37" t="s">
        <v>32</v>
      </c>
      <c r="AI37">
        <v>6</v>
      </c>
      <c r="AJ37">
        <v>7</v>
      </c>
      <c r="AK37">
        <v>4</v>
      </c>
      <c r="AL37" t="s">
        <v>32</v>
      </c>
      <c r="AM37" t="s">
        <v>32</v>
      </c>
      <c r="AN37" s="268" t="s">
        <v>32</v>
      </c>
      <c r="AO37">
        <v>5</v>
      </c>
      <c r="AP37">
        <v>10</v>
      </c>
      <c r="AQ37" s="268">
        <v>10</v>
      </c>
      <c r="AR37" s="78" t="s">
        <v>32</v>
      </c>
      <c r="AS37" s="268" t="s">
        <v>34</v>
      </c>
      <c r="AT37" s="372" t="s">
        <v>529</v>
      </c>
      <c r="AU37" s="6">
        <f t="shared" si="2"/>
        <v>3.833333333333333</v>
      </c>
      <c r="AV37" s="9" t="str">
        <f t="shared" si="3"/>
        <v>Minors</v>
      </c>
      <c r="AW37" s="6">
        <f t="shared" si="4"/>
        <v>3.833333333333333</v>
      </c>
      <c r="AX37" s="6" t="str">
        <f t="shared" si="5"/>
        <v>Minors</v>
      </c>
      <c r="AY37" s="9">
        <f t="shared" si="6"/>
        <v>3.833333333333333</v>
      </c>
      <c r="AZ37" s="9" t="str">
        <f t="shared" si="7"/>
        <v>Minors</v>
      </c>
      <c r="BA37" s="266">
        <f t="shared" si="8"/>
        <v>0</v>
      </c>
      <c r="BB37" s="267">
        <f t="shared" si="9"/>
        <v>0</v>
      </c>
      <c r="BC37" s="267">
        <f t="shared" si="10"/>
        <v>0</v>
      </c>
      <c r="BD37" s="267">
        <f t="shared" si="11"/>
        <v>0</v>
      </c>
      <c r="BE37" s="267">
        <f t="shared" si="12"/>
        <v>0</v>
      </c>
      <c r="BF37" s="267">
        <f t="shared" si="13"/>
        <v>0</v>
      </c>
      <c r="BG37" s="267">
        <f t="shared" si="14"/>
        <v>0</v>
      </c>
      <c r="BH37" s="267">
        <f t="shared" si="15"/>
        <v>0</v>
      </c>
      <c r="BI37" s="268">
        <f t="shared" si="16"/>
        <v>0</v>
      </c>
      <c r="BJ37" s="266">
        <f t="shared" si="17"/>
        <v>0</v>
      </c>
      <c r="BK37" s="267">
        <f t="shared" si="18"/>
        <v>0</v>
      </c>
      <c r="BL37" s="267">
        <f t="shared" si="19"/>
        <v>0</v>
      </c>
      <c r="BM37" s="267">
        <f t="shared" si="20"/>
        <v>0</v>
      </c>
      <c r="BN37" s="267">
        <f t="shared" si="21"/>
        <v>0</v>
      </c>
      <c r="BO37" s="267">
        <f t="shared" si="22"/>
        <v>0</v>
      </c>
      <c r="BP37" s="267">
        <f t="shared" si="23"/>
        <v>0</v>
      </c>
      <c r="BQ37" s="267">
        <f t="shared" si="24"/>
        <v>0</v>
      </c>
      <c r="BR37" s="268">
        <f t="shared" si="25"/>
        <v>0</v>
      </c>
      <c r="BS37" s="268">
        <f t="shared" si="26"/>
        <v>4</v>
      </c>
      <c r="BT37" s="7">
        <f t="shared" si="27"/>
        <v>1</v>
      </c>
      <c r="BU37" t="str">
        <f t="shared" si="28"/>
        <v/>
      </c>
      <c r="BV37" s="306" t="e">
        <f>IF(S37="-","-",VLOOKUP($A37,AMABat!$A$10:$AS$1137,BV$9,FALSE)-S37)</f>
        <v>#N/A</v>
      </c>
      <c r="BW37" s="306" t="e">
        <f>IF(T37="-","-",VLOOKUP($A37,AMABat!$A$10:$AS$1137,BW$9,FALSE)-T37)</f>
        <v>#N/A</v>
      </c>
      <c r="BX37" s="306" t="e">
        <f>IF(U37="-","-",VLOOKUP($A37,AMABat!$A$10:$AS$1137,BX$9,FALSE)-U37)</f>
        <v>#N/A</v>
      </c>
      <c r="BY37" s="306" t="e">
        <f>IF(V37="-","-",VLOOKUP($A37,AMABat!$A$10:$AS$1137,BY$9,FALSE)-V37)</f>
        <v>#N/A</v>
      </c>
      <c r="BZ37" s="306" t="e">
        <f>IF(W37="-","-",VLOOKUP($A37,AMABat!$A$10:$AS$1137,BZ$9,FALSE)-W37)</f>
        <v>#N/A</v>
      </c>
      <c r="CA37" s="306" t="e">
        <f>IF(X37="-","-",VLOOKUP($A37,AMABat!$A$10:$AS$1137,CA$9,FALSE)-X37)</f>
        <v>#N/A</v>
      </c>
      <c r="CB37" s="306" t="e">
        <f>IF(Y37="-","-",VLOOKUP($A37,AMABat!$A$10:$AS$1137,CB$9,FALSE)-Y37)</f>
        <v>#N/A</v>
      </c>
      <c r="CC37" s="306" t="e">
        <f>IF(Z37="-","-",VLOOKUP($A37,AMABat!$A$10:$AS$1137,CC$9,FALSE)-Z37)</f>
        <v>#N/A</v>
      </c>
      <c r="CD37" s="306" t="e">
        <f>IF(AA37="-","-",VLOOKUP($A37,AMABat!$A$10:$AS$1137,CD$9,FALSE)-AA37)</f>
        <v>#N/A</v>
      </c>
      <c r="CE37" s="306" t="e">
        <f>IF(AB37="-","-",VLOOKUP($A37,AMABat!$A$10:$AS$1137,CE$9,FALSE)-AB37)</f>
        <v>#N/A</v>
      </c>
      <c r="CF37" s="306" t="e">
        <f>IF(AC37="-","-",VLOOKUP($A37,AMABat!$A$10:$AS$1137,CF$9,FALSE)-AC37)</f>
        <v>#N/A</v>
      </c>
      <c r="CG37" s="306" t="e">
        <f>IF(AD37="-","-",VLOOKUP($A37,AMABat!$A$10:$AS$1137,CG$9,FALSE)-AD37)</f>
        <v>#N/A</v>
      </c>
      <c r="CH37" s="306" t="e">
        <f>IF(AE37="-","-",VLOOKUP($A37,AMABat!$A$10:$AS$1137,CH$9,FALSE)-AE37)</f>
        <v>#N/A</v>
      </c>
      <c r="CI37" s="306" t="str">
        <f>IF(AG37="-","-",VLOOKUP($A37,AMABat!$A$10:$AS$1137,CI$9,FALSE)-AG37)</f>
        <v>-</v>
      </c>
      <c r="CJ37" s="306" t="str">
        <f>IF(AH37="-","-",VLOOKUP($A37,AMABat!$A$10:$AS$1137,CJ$9,FALSE)-AH37)</f>
        <v>-</v>
      </c>
      <c r="CK37" s="306" t="e">
        <f>IF(AI37="-","-",VLOOKUP($A37,AMABat!$A$10:$AS$1137,CK$9,FALSE)-AI37)</f>
        <v>#N/A</v>
      </c>
      <c r="CL37" s="306" t="e">
        <f>IF(AJ37="-","-",VLOOKUP($A37,AMABat!$A$10:$AS$1137,CL$9,FALSE)-AJ37)</f>
        <v>#N/A</v>
      </c>
      <c r="CM37" s="306" t="e">
        <f>IF(AK37="-","-",VLOOKUP($A37,AMABat!$A$10:$AS$1137,CM$9,FALSE)-AK37)</f>
        <v>#N/A</v>
      </c>
      <c r="CN37" s="306" t="str">
        <f>IF(AL37="-","-",VLOOKUP($A37,AMABat!$A$10:$AS$1137,CN$9,FALSE)-AL37)</f>
        <v>-</v>
      </c>
      <c r="CO37" s="306" t="str">
        <f>IF(AM37="-","-",VLOOKUP($A37,AMABat!$A$10:$AS$1137,CO$9,FALSE)-AM37)</f>
        <v>-</v>
      </c>
      <c r="CP37" s="306" t="str">
        <f>IF(AN37="-","-",VLOOKUP($A37,AMABat!$A$10:$AS$1137,CP$9,FALSE)-AN37)</f>
        <v>-</v>
      </c>
      <c r="CQ37" s="306" t="e">
        <f>IF(AO37="-","-",VLOOKUP($A37,AMABat!$A$10:$AS$1137,CQ$9,FALSE)-AO37)</f>
        <v>#N/A</v>
      </c>
      <c r="CR37" s="306" t="e">
        <f>IF(AP37="-","-",VLOOKUP($A37,AMABat!$A$10:$AS$1137,CR$9,FALSE)-AP37)</f>
        <v>#N/A</v>
      </c>
      <c r="CS37" s="306" t="e">
        <f>IF(AQ37="-","-",VLOOKUP($A37,AMABat!$A$10:$AS$1137,CS$9,FALSE)-AQ37)</f>
        <v>#N/A</v>
      </c>
      <c r="CT37" s="84" t="e">
        <f t="shared" si="29"/>
        <v>#N/A</v>
      </c>
      <c r="CU37" s="84" t="e">
        <f t="shared" si="30"/>
        <v>#N/A</v>
      </c>
      <c r="CV37" s="84" t="e">
        <f t="shared" si="31"/>
        <v>#N/A</v>
      </c>
      <c r="CW37" s="84" t="e">
        <f t="shared" si="32"/>
        <v>#N/A</v>
      </c>
      <c r="CX37" s="84" t="e">
        <f t="shared" si="33"/>
        <v>#N/A</v>
      </c>
    </row>
    <row r="38" spans="1:102" x14ac:dyDescent="0.25">
      <c r="A38" s="306" t="s">
        <v>631</v>
      </c>
      <c r="B38" s="305" t="s">
        <v>534</v>
      </c>
      <c r="C38" s="305"/>
      <c r="D38" s="305" t="s">
        <v>32</v>
      </c>
      <c r="E38" s="305" t="s">
        <v>32</v>
      </c>
      <c r="F38" s="305" t="s">
        <v>72</v>
      </c>
      <c r="G38" t="s">
        <v>77</v>
      </c>
      <c r="H38" t="s">
        <v>429</v>
      </c>
      <c r="I38" s="305" t="s">
        <v>824</v>
      </c>
      <c r="J38" t="s">
        <v>802</v>
      </c>
      <c r="K38" t="s">
        <v>277</v>
      </c>
      <c r="L38">
        <v>22</v>
      </c>
      <c r="M38" t="s">
        <v>82</v>
      </c>
      <c r="N38" t="s">
        <v>82</v>
      </c>
      <c r="O38" t="s">
        <v>803</v>
      </c>
      <c r="P38" s="235" t="s">
        <v>764</v>
      </c>
      <c r="Q38" t="s">
        <v>199</v>
      </c>
      <c r="R38" s="235" t="s">
        <v>200</v>
      </c>
      <c r="S38">
        <v>4</v>
      </c>
      <c r="T38">
        <v>5</v>
      </c>
      <c r="U38">
        <v>5</v>
      </c>
      <c r="V38">
        <v>5</v>
      </c>
      <c r="W38" s="235">
        <v>2</v>
      </c>
      <c r="X38">
        <v>5</v>
      </c>
      <c r="Y38">
        <v>6</v>
      </c>
      <c r="Z38">
        <v>7</v>
      </c>
      <c r="AA38">
        <v>6</v>
      </c>
      <c r="AB38" s="235">
        <v>4</v>
      </c>
      <c r="AC38">
        <v>6</v>
      </c>
      <c r="AD38">
        <v>8</v>
      </c>
      <c r="AE38">
        <v>1</v>
      </c>
      <c r="AF38" s="305">
        <v>1</v>
      </c>
      <c r="AG38" t="s">
        <v>32</v>
      </c>
      <c r="AH38" t="s">
        <v>32</v>
      </c>
      <c r="AI38" t="s">
        <v>32</v>
      </c>
      <c r="AJ38" t="s">
        <v>32</v>
      </c>
      <c r="AK38" t="s">
        <v>32</v>
      </c>
      <c r="AL38">
        <v>2</v>
      </c>
      <c r="AM38" t="s">
        <v>32</v>
      </c>
      <c r="AN38" s="235">
        <v>1</v>
      </c>
      <c r="AO38">
        <v>4</v>
      </c>
      <c r="AP38">
        <v>5</v>
      </c>
      <c r="AQ38" s="235">
        <v>4</v>
      </c>
      <c r="AR38" s="78" t="s">
        <v>32</v>
      </c>
      <c r="AS38" s="235" t="s">
        <v>33</v>
      </c>
      <c r="AT38" s="372" t="s">
        <v>199</v>
      </c>
      <c r="AU38" s="6">
        <f t="shared" si="2"/>
        <v>3.666666666666667</v>
      </c>
      <c r="AV38" s="9" t="str">
        <f t="shared" si="3"/>
        <v>Minors</v>
      </c>
      <c r="AW38" s="6">
        <f t="shared" si="4"/>
        <v>5.5</v>
      </c>
      <c r="AX38" s="6" t="str">
        <f t="shared" si="5"/>
        <v>Reg</v>
      </c>
      <c r="AY38" s="9">
        <f t="shared" si="6"/>
        <v>5.5</v>
      </c>
      <c r="AZ38" s="9" t="str">
        <f t="shared" si="7"/>
        <v>Reg</v>
      </c>
      <c r="BA38" s="46">
        <f t="shared" si="8"/>
        <v>0</v>
      </c>
      <c r="BB38" s="234">
        <f t="shared" si="9"/>
        <v>0</v>
      </c>
      <c r="BC38" s="234">
        <f t="shared" si="10"/>
        <v>0</v>
      </c>
      <c r="BD38" s="234">
        <f t="shared" si="11"/>
        <v>0</v>
      </c>
      <c r="BE38" s="234">
        <f t="shared" si="12"/>
        <v>0</v>
      </c>
      <c r="BF38" s="234">
        <f t="shared" si="13"/>
        <v>0</v>
      </c>
      <c r="BG38" s="234">
        <f t="shared" si="14"/>
        <v>0</v>
      </c>
      <c r="BH38" s="234">
        <f t="shared" si="15"/>
        <v>0</v>
      </c>
      <c r="BI38" s="235">
        <f t="shared" si="16"/>
        <v>0</v>
      </c>
      <c r="BJ38" s="46">
        <f t="shared" si="17"/>
        <v>0</v>
      </c>
      <c r="BK38" s="234">
        <f t="shared" si="18"/>
        <v>0</v>
      </c>
      <c r="BL38" s="234">
        <f t="shared" si="19"/>
        <v>0</v>
      </c>
      <c r="BM38" s="234">
        <f t="shared" si="20"/>
        <v>0</v>
      </c>
      <c r="BN38" s="234">
        <f t="shared" si="21"/>
        <v>0</v>
      </c>
      <c r="BO38" s="234">
        <f t="shared" si="22"/>
        <v>0</v>
      </c>
      <c r="BP38" s="234">
        <f t="shared" si="23"/>
        <v>1</v>
      </c>
      <c r="BQ38" s="234">
        <f t="shared" si="24"/>
        <v>1</v>
      </c>
      <c r="BR38" s="235">
        <f t="shared" si="25"/>
        <v>1</v>
      </c>
      <c r="BS38" s="235">
        <f t="shared" si="26"/>
        <v>0</v>
      </c>
      <c r="BT38" s="7">
        <f t="shared" si="27"/>
        <v>0</v>
      </c>
      <c r="BU38" t="str">
        <f t="shared" si="28"/>
        <v/>
      </c>
      <c r="BV38" s="306" t="e">
        <f>IF(S38="-","-",VLOOKUP($A38,AMABat!$A$10:$AS$1137,BV$9,FALSE)-S38)</f>
        <v>#N/A</v>
      </c>
      <c r="BW38" s="306" t="e">
        <f>IF(T38="-","-",VLOOKUP($A38,AMABat!$A$10:$AS$1137,BW$9,FALSE)-T38)</f>
        <v>#N/A</v>
      </c>
      <c r="BX38" s="306" t="e">
        <f>IF(U38="-","-",VLOOKUP($A38,AMABat!$A$10:$AS$1137,BX$9,FALSE)-U38)</f>
        <v>#N/A</v>
      </c>
      <c r="BY38" s="306" t="e">
        <f>IF(V38="-","-",VLOOKUP($A38,AMABat!$A$10:$AS$1137,BY$9,FALSE)-V38)</f>
        <v>#N/A</v>
      </c>
      <c r="BZ38" s="306" t="e">
        <f>IF(W38="-","-",VLOOKUP($A38,AMABat!$A$10:$AS$1137,BZ$9,FALSE)-W38)</f>
        <v>#N/A</v>
      </c>
      <c r="CA38" s="306" t="e">
        <f>IF(X38="-","-",VLOOKUP($A38,AMABat!$A$10:$AS$1137,CA$9,FALSE)-X38)</f>
        <v>#N/A</v>
      </c>
      <c r="CB38" s="306" t="e">
        <f>IF(Y38="-","-",VLOOKUP($A38,AMABat!$A$10:$AS$1137,CB$9,FALSE)-Y38)</f>
        <v>#N/A</v>
      </c>
      <c r="CC38" s="306" t="e">
        <f>IF(Z38="-","-",VLOOKUP($A38,AMABat!$A$10:$AS$1137,CC$9,FALSE)-Z38)</f>
        <v>#N/A</v>
      </c>
      <c r="CD38" s="306" t="e">
        <f>IF(AA38="-","-",VLOOKUP($A38,AMABat!$A$10:$AS$1137,CD$9,FALSE)-AA38)</f>
        <v>#N/A</v>
      </c>
      <c r="CE38" s="306" t="e">
        <f>IF(AB38="-","-",VLOOKUP($A38,AMABat!$A$10:$AS$1137,CE$9,FALSE)-AB38)</f>
        <v>#N/A</v>
      </c>
      <c r="CF38" s="306" t="e">
        <f>IF(AC38="-","-",VLOOKUP($A38,AMABat!$A$10:$AS$1137,CF$9,FALSE)-AC38)</f>
        <v>#N/A</v>
      </c>
      <c r="CG38" s="306" t="e">
        <f>IF(AD38="-","-",VLOOKUP($A38,AMABat!$A$10:$AS$1137,CG$9,FALSE)-AD38)</f>
        <v>#N/A</v>
      </c>
      <c r="CH38" s="306" t="e">
        <f>IF(AE38="-","-",VLOOKUP($A38,AMABat!$A$10:$AS$1137,CH$9,FALSE)-AE38)</f>
        <v>#N/A</v>
      </c>
      <c r="CI38" s="306" t="str">
        <f>IF(AG38="-","-",VLOOKUP($A38,AMABat!$A$10:$AS$1137,CI$9,FALSE)-AG38)</f>
        <v>-</v>
      </c>
      <c r="CJ38" s="306" t="str">
        <f>IF(AH38="-","-",VLOOKUP($A38,AMABat!$A$10:$AS$1137,CJ$9,FALSE)-AH38)</f>
        <v>-</v>
      </c>
      <c r="CK38" s="306" t="str">
        <f>IF(AI38="-","-",VLOOKUP($A38,AMABat!$A$10:$AS$1137,CK$9,FALSE)-AI38)</f>
        <v>-</v>
      </c>
      <c r="CL38" s="306" t="str">
        <f>IF(AJ38="-","-",VLOOKUP($A38,AMABat!$A$10:$AS$1137,CL$9,FALSE)-AJ38)</f>
        <v>-</v>
      </c>
      <c r="CM38" s="306" t="str">
        <f>IF(AK38="-","-",VLOOKUP($A38,AMABat!$A$10:$AS$1137,CM$9,FALSE)-AK38)</f>
        <v>-</v>
      </c>
      <c r="CN38" s="306" t="e">
        <f>IF(AL38="-","-",VLOOKUP($A38,AMABat!$A$10:$AS$1137,CN$9,FALSE)-AL38)</f>
        <v>#N/A</v>
      </c>
      <c r="CO38" s="306" t="str">
        <f>IF(AM38="-","-",VLOOKUP($A38,AMABat!$A$10:$AS$1137,CO$9,FALSE)-AM38)</f>
        <v>-</v>
      </c>
      <c r="CP38" s="306" t="e">
        <f>IF(AN38="-","-",VLOOKUP($A38,AMABat!$A$10:$AS$1137,CP$9,FALSE)-AN38)</f>
        <v>#N/A</v>
      </c>
      <c r="CQ38" s="306" t="e">
        <f>IF(AO38="-","-",VLOOKUP($A38,AMABat!$A$10:$AS$1137,CQ$9,FALSE)-AO38)</f>
        <v>#N/A</v>
      </c>
      <c r="CR38" s="306" t="e">
        <f>IF(AP38="-","-",VLOOKUP($A38,AMABat!$A$10:$AS$1137,CR$9,FALSE)-AP38)</f>
        <v>#N/A</v>
      </c>
      <c r="CS38" s="306" t="e">
        <f>IF(AQ38="-","-",VLOOKUP($A38,AMABat!$A$10:$AS$1137,CS$9,FALSE)-AQ38)</f>
        <v>#N/A</v>
      </c>
      <c r="CT38" s="84" t="e">
        <f t="shared" si="29"/>
        <v>#N/A</v>
      </c>
      <c r="CU38" s="84" t="e">
        <f t="shared" si="30"/>
        <v>#N/A</v>
      </c>
      <c r="CV38" s="84" t="e">
        <f t="shared" si="31"/>
        <v>#N/A</v>
      </c>
      <c r="CW38" s="84" t="e">
        <f t="shared" si="32"/>
        <v>#N/A</v>
      </c>
      <c r="CX38" s="84" t="e">
        <f t="shared" si="33"/>
        <v>#N/A</v>
      </c>
    </row>
    <row r="39" spans="1:102" x14ac:dyDescent="0.25">
      <c r="A39" s="306" t="s">
        <v>632</v>
      </c>
      <c r="B39" s="305" t="s">
        <v>534</v>
      </c>
      <c r="C39" s="305"/>
      <c r="D39" s="305">
        <v>6</v>
      </c>
      <c r="E39" s="305" t="s">
        <v>32</v>
      </c>
      <c r="F39" s="305" t="s">
        <v>72</v>
      </c>
      <c r="G39" t="s">
        <v>74</v>
      </c>
      <c r="H39" t="s">
        <v>423</v>
      </c>
      <c r="I39" s="305" t="s">
        <v>817</v>
      </c>
      <c r="J39" t="s">
        <v>814</v>
      </c>
      <c r="K39" t="s">
        <v>187</v>
      </c>
      <c r="L39">
        <v>25</v>
      </c>
      <c r="M39" t="s">
        <v>82</v>
      </c>
      <c r="N39" t="s">
        <v>83</v>
      </c>
      <c r="O39" t="s">
        <v>773</v>
      </c>
      <c r="P39" s="206" t="s">
        <v>764</v>
      </c>
      <c r="Q39" t="s">
        <v>200</v>
      </c>
      <c r="R39" s="206" t="s">
        <v>200</v>
      </c>
      <c r="S39">
        <v>4</v>
      </c>
      <c r="T39">
        <v>5</v>
      </c>
      <c r="U39">
        <v>3</v>
      </c>
      <c r="V39">
        <v>7</v>
      </c>
      <c r="W39" s="206">
        <v>6</v>
      </c>
      <c r="X39">
        <v>5</v>
      </c>
      <c r="Y39">
        <v>5</v>
      </c>
      <c r="Z39">
        <v>3</v>
      </c>
      <c r="AA39">
        <v>7</v>
      </c>
      <c r="AB39" s="206">
        <v>6</v>
      </c>
      <c r="AC39">
        <v>6</v>
      </c>
      <c r="AD39">
        <v>5</v>
      </c>
      <c r="AE39">
        <v>1</v>
      </c>
      <c r="AF39" s="305">
        <v>1</v>
      </c>
      <c r="AG39" t="s">
        <v>32</v>
      </c>
      <c r="AH39" t="s">
        <v>32</v>
      </c>
      <c r="AI39">
        <v>6</v>
      </c>
      <c r="AJ39" t="s">
        <v>32</v>
      </c>
      <c r="AK39" t="s">
        <v>32</v>
      </c>
      <c r="AL39" t="s">
        <v>32</v>
      </c>
      <c r="AM39" t="s">
        <v>32</v>
      </c>
      <c r="AN39" s="206">
        <v>1</v>
      </c>
      <c r="AO39">
        <v>8</v>
      </c>
      <c r="AP39">
        <v>9</v>
      </c>
      <c r="AQ39" s="206">
        <v>10</v>
      </c>
      <c r="AR39" s="78" t="s">
        <v>32</v>
      </c>
      <c r="AS39" s="206">
        <v>0</v>
      </c>
      <c r="AT39" s="372" t="s">
        <v>529</v>
      </c>
      <c r="AU39" s="6">
        <f t="shared" si="2"/>
        <v>3.666666666666667</v>
      </c>
      <c r="AV39" s="9" t="str">
        <f t="shared" si="3"/>
        <v>Minors</v>
      </c>
      <c r="AW39" s="6">
        <f t="shared" si="4"/>
        <v>4.5</v>
      </c>
      <c r="AX39" s="6" t="str">
        <f t="shared" si="5"/>
        <v>Bench</v>
      </c>
      <c r="AY39" s="9">
        <f t="shared" si="6"/>
        <v>3.666666666666667</v>
      </c>
      <c r="AZ39" s="9" t="str">
        <f t="shared" si="7"/>
        <v>Minors</v>
      </c>
      <c r="BA39" s="46">
        <f t="shared" si="8"/>
        <v>0</v>
      </c>
      <c r="BB39" s="205">
        <f t="shared" si="9"/>
        <v>0</v>
      </c>
      <c r="BC39" s="205">
        <f t="shared" si="10"/>
        <v>0</v>
      </c>
      <c r="BD39" s="205">
        <f t="shared" si="11"/>
        <v>0</v>
      </c>
      <c r="BE39" s="205">
        <f t="shared" si="12"/>
        <v>0</v>
      </c>
      <c r="BF39" s="205">
        <f t="shared" si="13"/>
        <v>0</v>
      </c>
      <c r="BG39" s="205">
        <f t="shared" si="14"/>
        <v>0</v>
      </c>
      <c r="BH39" s="205">
        <f t="shared" si="15"/>
        <v>0</v>
      </c>
      <c r="BI39" s="206">
        <f t="shared" si="16"/>
        <v>0</v>
      </c>
      <c r="BJ39" s="46">
        <f t="shared" si="17"/>
        <v>0</v>
      </c>
      <c r="BK39" s="205">
        <f t="shared" si="18"/>
        <v>0</v>
      </c>
      <c r="BL39" s="205">
        <f t="shared" si="19"/>
        <v>0</v>
      </c>
      <c r="BM39" s="205">
        <f t="shared" si="20"/>
        <v>0</v>
      </c>
      <c r="BN39" s="205">
        <f t="shared" si="21"/>
        <v>0</v>
      </c>
      <c r="BO39" s="205">
        <f t="shared" si="22"/>
        <v>0</v>
      </c>
      <c r="BP39" s="205">
        <f t="shared" si="23"/>
        <v>1</v>
      </c>
      <c r="BQ39" s="205">
        <f t="shared" si="24"/>
        <v>1</v>
      </c>
      <c r="BR39" s="206">
        <f t="shared" si="25"/>
        <v>1</v>
      </c>
      <c r="BS39" s="206">
        <f t="shared" si="26"/>
        <v>5</v>
      </c>
      <c r="BT39" s="7">
        <f t="shared" si="27"/>
        <v>1</v>
      </c>
      <c r="BU39" t="str">
        <f t="shared" si="28"/>
        <v/>
      </c>
      <c r="BV39" s="306" t="e">
        <f>IF(S39="-","-",VLOOKUP($A39,AMABat!$A$10:$AS$1137,BV$9,FALSE)-S39)</f>
        <v>#N/A</v>
      </c>
      <c r="BW39" s="306" t="e">
        <f>IF(T39="-","-",VLOOKUP($A39,AMABat!$A$10:$AS$1137,BW$9,FALSE)-T39)</f>
        <v>#N/A</v>
      </c>
      <c r="BX39" s="306" t="e">
        <f>IF(U39="-","-",VLOOKUP($A39,AMABat!$A$10:$AS$1137,BX$9,FALSE)-U39)</f>
        <v>#N/A</v>
      </c>
      <c r="BY39" s="306" t="e">
        <f>IF(V39="-","-",VLOOKUP($A39,AMABat!$A$10:$AS$1137,BY$9,FALSE)-V39)</f>
        <v>#N/A</v>
      </c>
      <c r="BZ39" s="306" t="e">
        <f>IF(W39="-","-",VLOOKUP($A39,AMABat!$A$10:$AS$1137,BZ$9,FALSE)-W39)</f>
        <v>#N/A</v>
      </c>
      <c r="CA39" s="306" t="e">
        <f>IF(X39="-","-",VLOOKUP($A39,AMABat!$A$10:$AS$1137,CA$9,FALSE)-X39)</f>
        <v>#N/A</v>
      </c>
      <c r="CB39" s="306" t="e">
        <f>IF(Y39="-","-",VLOOKUP($A39,AMABat!$A$10:$AS$1137,CB$9,FALSE)-Y39)</f>
        <v>#N/A</v>
      </c>
      <c r="CC39" s="306" t="e">
        <f>IF(Z39="-","-",VLOOKUP($A39,AMABat!$A$10:$AS$1137,CC$9,FALSE)-Z39)</f>
        <v>#N/A</v>
      </c>
      <c r="CD39" s="306" t="e">
        <f>IF(AA39="-","-",VLOOKUP($A39,AMABat!$A$10:$AS$1137,CD$9,FALSE)-AA39)</f>
        <v>#N/A</v>
      </c>
      <c r="CE39" s="306" t="e">
        <f>IF(AB39="-","-",VLOOKUP($A39,AMABat!$A$10:$AS$1137,CE$9,FALSE)-AB39)</f>
        <v>#N/A</v>
      </c>
      <c r="CF39" s="306" t="e">
        <f>IF(AC39="-","-",VLOOKUP($A39,AMABat!$A$10:$AS$1137,CF$9,FALSE)-AC39)</f>
        <v>#N/A</v>
      </c>
      <c r="CG39" s="306" t="e">
        <f>IF(AD39="-","-",VLOOKUP($A39,AMABat!$A$10:$AS$1137,CG$9,FALSE)-AD39)</f>
        <v>#N/A</v>
      </c>
      <c r="CH39" s="306" t="e">
        <f>IF(AE39="-","-",VLOOKUP($A39,AMABat!$A$10:$AS$1137,CH$9,FALSE)-AE39)</f>
        <v>#N/A</v>
      </c>
      <c r="CI39" s="306" t="str">
        <f>IF(AG39="-","-",VLOOKUP($A39,AMABat!$A$10:$AS$1137,CI$9,FALSE)-AG39)</f>
        <v>-</v>
      </c>
      <c r="CJ39" s="306" t="str">
        <f>IF(AH39="-","-",VLOOKUP($A39,AMABat!$A$10:$AS$1137,CJ$9,FALSE)-AH39)</f>
        <v>-</v>
      </c>
      <c r="CK39" s="306" t="e">
        <f>IF(AI39="-","-",VLOOKUP($A39,AMABat!$A$10:$AS$1137,CK$9,FALSE)-AI39)</f>
        <v>#N/A</v>
      </c>
      <c r="CL39" s="306" t="str">
        <f>IF(AJ39="-","-",VLOOKUP($A39,AMABat!$A$10:$AS$1137,CL$9,FALSE)-AJ39)</f>
        <v>-</v>
      </c>
      <c r="CM39" s="306" t="str">
        <f>IF(AK39="-","-",VLOOKUP($A39,AMABat!$A$10:$AS$1137,CM$9,FALSE)-AK39)</f>
        <v>-</v>
      </c>
      <c r="CN39" s="306" t="str">
        <f>IF(AL39="-","-",VLOOKUP($A39,AMABat!$A$10:$AS$1137,CN$9,FALSE)-AL39)</f>
        <v>-</v>
      </c>
      <c r="CO39" s="306" t="str">
        <f>IF(AM39="-","-",VLOOKUP($A39,AMABat!$A$10:$AS$1137,CO$9,FALSE)-AM39)</f>
        <v>-</v>
      </c>
      <c r="CP39" s="306" t="e">
        <f>IF(AN39="-","-",VLOOKUP($A39,AMABat!$A$10:$AS$1137,CP$9,FALSE)-AN39)</f>
        <v>#N/A</v>
      </c>
      <c r="CQ39" s="306" t="e">
        <f>IF(AO39="-","-",VLOOKUP($A39,AMABat!$A$10:$AS$1137,CQ$9,FALSE)-AO39)</f>
        <v>#N/A</v>
      </c>
      <c r="CR39" s="306" t="e">
        <f>IF(AP39="-","-",VLOOKUP($A39,AMABat!$A$10:$AS$1137,CR$9,FALSE)-AP39)</f>
        <v>#N/A</v>
      </c>
      <c r="CS39" s="306" t="e">
        <f>IF(AQ39="-","-",VLOOKUP($A39,AMABat!$A$10:$AS$1137,CS$9,FALSE)-AQ39)</f>
        <v>#N/A</v>
      </c>
      <c r="CT39" s="84" t="e">
        <f t="shared" si="29"/>
        <v>#N/A</v>
      </c>
      <c r="CU39" s="84" t="e">
        <f t="shared" si="30"/>
        <v>#N/A</v>
      </c>
      <c r="CV39" s="84" t="e">
        <f t="shared" si="31"/>
        <v>#N/A</v>
      </c>
      <c r="CW39" s="84" t="e">
        <f t="shared" si="32"/>
        <v>#N/A</v>
      </c>
      <c r="CX39" s="84" t="e">
        <f t="shared" si="33"/>
        <v>#N/A</v>
      </c>
    </row>
    <row r="40" spans="1:102" x14ac:dyDescent="0.25">
      <c r="A40" s="306" t="s">
        <v>464</v>
      </c>
      <c r="B40" s="305" t="s">
        <v>184</v>
      </c>
      <c r="C40" s="305"/>
      <c r="D40" s="305" t="s">
        <v>32</v>
      </c>
      <c r="E40" s="305" t="s">
        <v>32</v>
      </c>
      <c r="F40" s="305" t="s">
        <v>72</v>
      </c>
      <c r="G40" t="s">
        <v>71</v>
      </c>
      <c r="H40" t="s">
        <v>818</v>
      </c>
      <c r="I40" s="305" t="s">
        <v>426</v>
      </c>
      <c r="J40" t="s">
        <v>769</v>
      </c>
      <c r="K40" t="s">
        <v>186</v>
      </c>
      <c r="L40">
        <v>23</v>
      </c>
      <c r="M40" t="s">
        <v>83</v>
      </c>
      <c r="N40" t="s">
        <v>83</v>
      </c>
      <c r="O40" t="s">
        <v>764</v>
      </c>
      <c r="P40" s="235" t="s">
        <v>764</v>
      </c>
      <c r="Q40" t="s">
        <v>201</v>
      </c>
      <c r="R40" s="235" t="s">
        <v>201</v>
      </c>
      <c r="S40">
        <v>4</v>
      </c>
      <c r="T40">
        <v>5</v>
      </c>
      <c r="U40">
        <v>4</v>
      </c>
      <c r="V40">
        <v>6</v>
      </c>
      <c r="W40" s="235">
        <v>6</v>
      </c>
      <c r="X40">
        <v>5</v>
      </c>
      <c r="Y40">
        <v>5</v>
      </c>
      <c r="Z40">
        <v>4</v>
      </c>
      <c r="AA40">
        <v>6</v>
      </c>
      <c r="AB40" s="235">
        <v>6</v>
      </c>
      <c r="AC40">
        <v>4</v>
      </c>
      <c r="AD40">
        <v>3</v>
      </c>
      <c r="AE40">
        <v>6</v>
      </c>
      <c r="AF40" s="305">
        <v>8</v>
      </c>
      <c r="AG40">
        <v>7</v>
      </c>
      <c r="AH40" t="s">
        <v>32</v>
      </c>
      <c r="AI40" t="s">
        <v>32</v>
      </c>
      <c r="AJ40" t="s">
        <v>32</v>
      </c>
      <c r="AK40" t="s">
        <v>32</v>
      </c>
      <c r="AL40" t="s">
        <v>32</v>
      </c>
      <c r="AM40" t="s">
        <v>32</v>
      </c>
      <c r="AN40" s="235" t="s">
        <v>32</v>
      </c>
      <c r="AO40">
        <v>1</v>
      </c>
      <c r="AP40">
        <v>1</v>
      </c>
      <c r="AQ40" s="235">
        <v>1</v>
      </c>
      <c r="AR40" s="78">
        <v>510000</v>
      </c>
      <c r="AS40" s="235" t="s">
        <v>33</v>
      </c>
      <c r="AT40" s="372" t="s">
        <v>199</v>
      </c>
      <c r="AU40" s="6">
        <f t="shared" si="2"/>
        <v>3.666666666666667</v>
      </c>
      <c r="AV40" s="9" t="str">
        <f t="shared" si="3"/>
        <v>Minors</v>
      </c>
      <c r="AW40" s="6">
        <f t="shared" si="4"/>
        <v>4.5</v>
      </c>
      <c r="AX40" s="6" t="str">
        <f t="shared" si="5"/>
        <v>Bench</v>
      </c>
      <c r="AY40" s="9">
        <f t="shared" si="6"/>
        <v>4.5</v>
      </c>
      <c r="AZ40" s="9" t="str">
        <f t="shared" si="7"/>
        <v>Bench</v>
      </c>
      <c r="BA40" s="46">
        <f t="shared" si="8"/>
        <v>0</v>
      </c>
      <c r="BB40" s="234">
        <f t="shared" si="9"/>
        <v>0</v>
      </c>
      <c r="BC40" s="234">
        <f t="shared" si="10"/>
        <v>0</v>
      </c>
      <c r="BD40" s="234">
        <f t="shared" si="11"/>
        <v>0</v>
      </c>
      <c r="BE40" s="234">
        <f t="shared" si="12"/>
        <v>0</v>
      </c>
      <c r="BF40" s="234">
        <f t="shared" si="13"/>
        <v>0</v>
      </c>
      <c r="BG40" s="234">
        <f t="shared" si="14"/>
        <v>0</v>
      </c>
      <c r="BH40" s="234">
        <f t="shared" si="15"/>
        <v>0</v>
      </c>
      <c r="BI40" s="235">
        <f t="shared" si="16"/>
        <v>0</v>
      </c>
      <c r="BJ40" s="46">
        <f t="shared" si="17"/>
        <v>0</v>
      </c>
      <c r="BK40" s="234">
        <f t="shared" si="18"/>
        <v>0</v>
      </c>
      <c r="BL40" s="234">
        <f t="shared" si="19"/>
        <v>0</v>
      </c>
      <c r="BM40" s="234">
        <f t="shared" si="20"/>
        <v>0</v>
      </c>
      <c r="BN40" s="234">
        <f t="shared" si="21"/>
        <v>0</v>
      </c>
      <c r="BO40" s="234">
        <f t="shared" si="22"/>
        <v>0</v>
      </c>
      <c r="BP40" s="234">
        <f t="shared" si="23"/>
        <v>0</v>
      </c>
      <c r="BQ40" s="234">
        <f t="shared" si="24"/>
        <v>0</v>
      </c>
      <c r="BR40" s="235">
        <f t="shared" si="25"/>
        <v>0</v>
      </c>
      <c r="BS40" s="235">
        <f t="shared" si="26"/>
        <v>0</v>
      </c>
      <c r="BT40" s="7">
        <f t="shared" si="27"/>
        <v>2</v>
      </c>
      <c r="BU40" t="str">
        <f t="shared" si="28"/>
        <v/>
      </c>
      <c r="BV40" s="306" t="e">
        <f>IF(S40="-","-",VLOOKUP($A40,AMABat!$A$10:$AS$1137,BV$9,FALSE)-S40)</f>
        <v>#N/A</v>
      </c>
      <c r="BW40" s="306" t="e">
        <f>IF(T40="-","-",VLOOKUP($A40,AMABat!$A$10:$AS$1137,BW$9,FALSE)-T40)</f>
        <v>#N/A</v>
      </c>
      <c r="BX40" s="306" t="e">
        <f>IF(U40="-","-",VLOOKUP($A40,AMABat!$A$10:$AS$1137,BX$9,FALSE)-U40)</f>
        <v>#N/A</v>
      </c>
      <c r="BY40" s="306" t="e">
        <f>IF(V40="-","-",VLOOKUP($A40,AMABat!$A$10:$AS$1137,BY$9,FALSE)-V40)</f>
        <v>#N/A</v>
      </c>
      <c r="BZ40" s="306" t="e">
        <f>IF(W40="-","-",VLOOKUP($A40,AMABat!$A$10:$AS$1137,BZ$9,FALSE)-W40)</f>
        <v>#N/A</v>
      </c>
      <c r="CA40" s="306" t="e">
        <f>IF(X40="-","-",VLOOKUP($A40,AMABat!$A$10:$AS$1137,CA$9,FALSE)-X40)</f>
        <v>#N/A</v>
      </c>
      <c r="CB40" s="306" t="e">
        <f>IF(Y40="-","-",VLOOKUP($A40,AMABat!$A$10:$AS$1137,CB$9,FALSE)-Y40)</f>
        <v>#N/A</v>
      </c>
      <c r="CC40" s="306" t="e">
        <f>IF(Z40="-","-",VLOOKUP($A40,AMABat!$A$10:$AS$1137,CC$9,FALSE)-Z40)</f>
        <v>#N/A</v>
      </c>
      <c r="CD40" s="306" t="e">
        <f>IF(AA40="-","-",VLOOKUP($A40,AMABat!$A$10:$AS$1137,CD$9,FALSE)-AA40)</f>
        <v>#N/A</v>
      </c>
      <c r="CE40" s="306" t="e">
        <f>IF(AB40="-","-",VLOOKUP($A40,AMABat!$A$10:$AS$1137,CE$9,FALSE)-AB40)</f>
        <v>#N/A</v>
      </c>
      <c r="CF40" s="306" t="e">
        <f>IF(AC40="-","-",VLOOKUP($A40,AMABat!$A$10:$AS$1137,CF$9,FALSE)-AC40)</f>
        <v>#N/A</v>
      </c>
      <c r="CG40" s="306" t="e">
        <f>IF(AD40="-","-",VLOOKUP($A40,AMABat!$A$10:$AS$1137,CG$9,FALSE)-AD40)</f>
        <v>#N/A</v>
      </c>
      <c r="CH40" s="306" t="e">
        <f>IF(AE40="-","-",VLOOKUP($A40,AMABat!$A$10:$AS$1137,CH$9,FALSE)-AE40)</f>
        <v>#N/A</v>
      </c>
      <c r="CI40" s="306" t="e">
        <f>IF(AG40="-","-",VLOOKUP($A40,AMABat!$A$10:$AS$1137,CI$9,FALSE)-AG40)</f>
        <v>#N/A</v>
      </c>
      <c r="CJ40" s="306" t="str">
        <f>IF(AH40="-","-",VLOOKUP($A40,AMABat!$A$10:$AS$1137,CJ$9,FALSE)-AH40)</f>
        <v>-</v>
      </c>
      <c r="CK40" s="306" t="str">
        <f>IF(AI40="-","-",VLOOKUP($A40,AMABat!$A$10:$AS$1137,CK$9,FALSE)-AI40)</f>
        <v>-</v>
      </c>
      <c r="CL40" s="306" t="str">
        <f>IF(AJ40="-","-",VLOOKUP($A40,AMABat!$A$10:$AS$1137,CL$9,FALSE)-AJ40)</f>
        <v>-</v>
      </c>
      <c r="CM40" s="306" t="str">
        <f>IF(AK40="-","-",VLOOKUP($A40,AMABat!$A$10:$AS$1137,CM$9,FALSE)-AK40)</f>
        <v>-</v>
      </c>
      <c r="CN40" s="306" t="str">
        <f>IF(AL40="-","-",VLOOKUP($A40,AMABat!$A$10:$AS$1137,CN$9,FALSE)-AL40)</f>
        <v>-</v>
      </c>
      <c r="CO40" s="306" t="str">
        <f>IF(AM40="-","-",VLOOKUP($A40,AMABat!$A$10:$AS$1137,CO$9,FALSE)-AM40)</f>
        <v>-</v>
      </c>
      <c r="CP40" s="306" t="str">
        <f>IF(AN40="-","-",VLOOKUP($A40,AMABat!$A$10:$AS$1137,CP$9,FALSE)-AN40)</f>
        <v>-</v>
      </c>
      <c r="CQ40" s="306" t="e">
        <f>IF(AO40="-","-",VLOOKUP($A40,AMABat!$A$10:$AS$1137,CQ$9,FALSE)-AO40)</f>
        <v>#N/A</v>
      </c>
      <c r="CR40" s="306" t="e">
        <f>IF(AP40="-","-",VLOOKUP($A40,AMABat!$A$10:$AS$1137,CR$9,FALSE)-AP40)</f>
        <v>#N/A</v>
      </c>
      <c r="CS40" s="306" t="e">
        <f>IF(AQ40="-","-",VLOOKUP($A40,AMABat!$A$10:$AS$1137,CS$9,FALSE)-AQ40)</f>
        <v>#N/A</v>
      </c>
      <c r="CT40" s="84" t="e">
        <f t="shared" si="29"/>
        <v>#N/A</v>
      </c>
      <c r="CU40" s="84" t="e">
        <f t="shared" si="30"/>
        <v>#N/A</v>
      </c>
      <c r="CV40" s="84" t="e">
        <f t="shared" si="31"/>
        <v>#N/A</v>
      </c>
      <c r="CW40" s="84" t="e">
        <f t="shared" si="32"/>
        <v>#N/A</v>
      </c>
      <c r="CX40" s="84" t="e">
        <f t="shared" si="33"/>
        <v>#N/A</v>
      </c>
    </row>
    <row r="41" spans="1:102" x14ac:dyDescent="0.25">
      <c r="A41" s="306" t="s">
        <v>633</v>
      </c>
      <c r="B41" s="305" t="s">
        <v>534</v>
      </c>
      <c r="C41" s="305"/>
      <c r="D41" s="305" t="s">
        <v>32</v>
      </c>
      <c r="E41" s="305" t="s">
        <v>32</v>
      </c>
      <c r="F41" s="305" t="s">
        <v>81</v>
      </c>
      <c r="G41" t="s">
        <v>76</v>
      </c>
      <c r="H41" t="s">
        <v>406</v>
      </c>
      <c r="I41" s="305" t="s">
        <v>821</v>
      </c>
      <c r="J41" t="s">
        <v>814</v>
      </c>
      <c r="K41" t="s">
        <v>187</v>
      </c>
      <c r="L41">
        <v>24</v>
      </c>
      <c r="M41" t="s">
        <v>82</v>
      </c>
      <c r="N41" t="s">
        <v>83</v>
      </c>
      <c r="O41" t="s">
        <v>773</v>
      </c>
      <c r="P41" s="3" t="s">
        <v>764</v>
      </c>
      <c r="Q41" t="s">
        <v>201</v>
      </c>
      <c r="R41" s="3" t="s">
        <v>200</v>
      </c>
      <c r="S41">
        <v>4</v>
      </c>
      <c r="T41">
        <v>4</v>
      </c>
      <c r="U41">
        <v>3</v>
      </c>
      <c r="V41">
        <v>7</v>
      </c>
      <c r="W41" s="3">
        <v>7</v>
      </c>
      <c r="X41">
        <v>5</v>
      </c>
      <c r="Y41">
        <v>5</v>
      </c>
      <c r="Z41">
        <v>3</v>
      </c>
      <c r="AA41">
        <v>7</v>
      </c>
      <c r="AB41" s="3">
        <v>7</v>
      </c>
      <c r="AC41">
        <v>5</v>
      </c>
      <c r="AD41">
        <v>7</v>
      </c>
      <c r="AE41">
        <v>1</v>
      </c>
      <c r="AF41" s="305">
        <v>1</v>
      </c>
      <c r="AG41" t="s">
        <v>32</v>
      </c>
      <c r="AH41">
        <v>8</v>
      </c>
      <c r="AI41">
        <v>5</v>
      </c>
      <c r="AJ41" t="s">
        <v>32</v>
      </c>
      <c r="AK41">
        <v>4</v>
      </c>
      <c r="AL41" t="s">
        <v>32</v>
      </c>
      <c r="AM41">
        <v>1</v>
      </c>
      <c r="AN41" s="3">
        <v>5</v>
      </c>
      <c r="AO41">
        <v>9</v>
      </c>
      <c r="AP41">
        <v>9</v>
      </c>
      <c r="AQ41" s="3">
        <v>7</v>
      </c>
      <c r="AR41" s="78" t="s">
        <v>32</v>
      </c>
      <c r="AS41" s="3">
        <v>0</v>
      </c>
      <c r="AT41" s="372" t="s">
        <v>199</v>
      </c>
      <c r="AU41" s="6">
        <f t="shared" si="2"/>
        <v>3.666666666666667</v>
      </c>
      <c r="AV41" s="9" t="str">
        <f t="shared" si="3"/>
        <v>Minors</v>
      </c>
      <c r="AW41" s="6">
        <f t="shared" si="4"/>
        <v>4.5</v>
      </c>
      <c r="AX41" s="6" t="str">
        <f t="shared" si="5"/>
        <v>Bench</v>
      </c>
      <c r="AY41" s="9">
        <f t="shared" si="6"/>
        <v>4.5</v>
      </c>
      <c r="AZ41" s="9" t="str">
        <f t="shared" si="7"/>
        <v>Bench</v>
      </c>
      <c r="BA41" s="46">
        <f t="shared" si="8"/>
        <v>0</v>
      </c>
      <c r="BB41" s="5">
        <f t="shared" si="9"/>
        <v>0</v>
      </c>
      <c r="BC41" s="5">
        <f t="shared" si="10"/>
        <v>0</v>
      </c>
      <c r="BD41" s="5">
        <f t="shared" si="11"/>
        <v>0</v>
      </c>
      <c r="BE41" s="5">
        <f t="shared" si="12"/>
        <v>0</v>
      </c>
      <c r="BF41" s="5">
        <f t="shared" si="13"/>
        <v>0</v>
      </c>
      <c r="BG41" s="5">
        <f t="shared" si="14"/>
        <v>0</v>
      </c>
      <c r="BH41" s="5">
        <f t="shared" si="15"/>
        <v>0</v>
      </c>
      <c r="BI41" s="3">
        <f t="shared" si="16"/>
        <v>0</v>
      </c>
      <c r="BJ41" s="46">
        <f t="shared" si="17"/>
        <v>0</v>
      </c>
      <c r="BK41" s="5">
        <f t="shared" si="18"/>
        <v>0</v>
      </c>
      <c r="BL41" s="5">
        <f t="shared" si="19"/>
        <v>0</v>
      </c>
      <c r="BM41" s="5">
        <f t="shared" si="20"/>
        <v>0</v>
      </c>
      <c r="BN41" s="5">
        <f t="shared" si="21"/>
        <v>0</v>
      </c>
      <c r="BO41" s="5">
        <f t="shared" si="22"/>
        <v>0</v>
      </c>
      <c r="BP41" s="5">
        <f t="shared" si="23"/>
        <v>1</v>
      </c>
      <c r="BQ41" s="5">
        <f t="shared" si="24"/>
        <v>1</v>
      </c>
      <c r="BR41" s="3">
        <f t="shared" si="25"/>
        <v>1</v>
      </c>
      <c r="BS41" s="3">
        <f t="shared" si="26"/>
        <v>4</v>
      </c>
      <c r="BT41" s="7">
        <f t="shared" si="27"/>
        <v>2</v>
      </c>
      <c r="BU41" t="str">
        <f t="shared" si="28"/>
        <v/>
      </c>
      <c r="BV41" s="306" t="e">
        <f>IF(S41="-","-",VLOOKUP($A41,AMABat!$A$10:$AS$1137,BV$9,FALSE)-S41)</f>
        <v>#N/A</v>
      </c>
      <c r="BW41" s="306" t="e">
        <f>IF(T41="-","-",VLOOKUP($A41,AMABat!$A$10:$AS$1137,BW$9,FALSE)-T41)</f>
        <v>#N/A</v>
      </c>
      <c r="BX41" s="306" t="e">
        <f>IF(U41="-","-",VLOOKUP($A41,AMABat!$A$10:$AS$1137,BX$9,FALSE)-U41)</f>
        <v>#N/A</v>
      </c>
      <c r="BY41" s="306" t="e">
        <f>IF(V41="-","-",VLOOKUP($A41,AMABat!$A$10:$AS$1137,BY$9,FALSE)-V41)</f>
        <v>#N/A</v>
      </c>
      <c r="BZ41" s="306" t="e">
        <f>IF(W41="-","-",VLOOKUP($A41,AMABat!$A$10:$AS$1137,BZ$9,FALSE)-W41)</f>
        <v>#N/A</v>
      </c>
      <c r="CA41" s="306" t="e">
        <f>IF(X41="-","-",VLOOKUP($A41,AMABat!$A$10:$AS$1137,CA$9,FALSE)-X41)</f>
        <v>#N/A</v>
      </c>
      <c r="CB41" s="306" t="e">
        <f>IF(Y41="-","-",VLOOKUP($A41,AMABat!$A$10:$AS$1137,CB$9,FALSE)-Y41)</f>
        <v>#N/A</v>
      </c>
      <c r="CC41" s="306" t="e">
        <f>IF(Z41="-","-",VLOOKUP($A41,AMABat!$A$10:$AS$1137,CC$9,FALSE)-Z41)</f>
        <v>#N/A</v>
      </c>
      <c r="CD41" s="306" t="e">
        <f>IF(AA41="-","-",VLOOKUP($A41,AMABat!$A$10:$AS$1137,CD$9,FALSE)-AA41)</f>
        <v>#N/A</v>
      </c>
      <c r="CE41" s="306" t="e">
        <f>IF(AB41="-","-",VLOOKUP($A41,AMABat!$A$10:$AS$1137,CE$9,FALSE)-AB41)</f>
        <v>#N/A</v>
      </c>
      <c r="CF41" s="306" t="e">
        <f>IF(AC41="-","-",VLOOKUP($A41,AMABat!$A$10:$AS$1137,CF$9,FALSE)-AC41)</f>
        <v>#N/A</v>
      </c>
      <c r="CG41" s="306" t="e">
        <f>IF(AD41="-","-",VLOOKUP($A41,AMABat!$A$10:$AS$1137,CG$9,FALSE)-AD41)</f>
        <v>#N/A</v>
      </c>
      <c r="CH41" s="306" t="e">
        <f>IF(AE41="-","-",VLOOKUP($A41,AMABat!$A$10:$AS$1137,CH$9,FALSE)-AE41)</f>
        <v>#N/A</v>
      </c>
      <c r="CI41" s="306" t="str">
        <f>IF(AG41="-","-",VLOOKUP($A41,AMABat!$A$10:$AS$1137,CI$9,FALSE)-AG41)</f>
        <v>-</v>
      </c>
      <c r="CJ41" s="306" t="e">
        <f>IF(AH41="-","-",VLOOKUP($A41,AMABat!$A$10:$AS$1137,CJ$9,FALSE)-AH41)</f>
        <v>#N/A</v>
      </c>
      <c r="CK41" s="306" t="e">
        <f>IF(AI41="-","-",VLOOKUP($A41,AMABat!$A$10:$AS$1137,CK$9,FALSE)-AI41)</f>
        <v>#N/A</v>
      </c>
      <c r="CL41" s="306" t="str">
        <f>IF(AJ41="-","-",VLOOKUP($A41,AMABat!$A$10:$AS$1137,CL$9,FALSE)-AJ41)</f>
        <v>-</v>
      </c>
      <c r="CM41" s="306" t="e">
        <f>IF(AK41="-","-",VLOOKUP($A41,AMABat!$A$10:$AS$1137,CM$9,FALSE)-AK41)</f>
        <v>#N/A</v>
      </c>
      <c r="CN41" s="306" t="str">
        <f>IF(AL41="-","-",VLOOKUP($A41,AMABat!$A$10:$AS$1137,CN$9,FALSE)-AL41)</f>
        <v>-</v>
      </c>
      <c r="CO41" s="306" t="e">
        <f>IF(AM41="-","-",VLOOKUP($A41,AMABat!$A$10:$AS$1137,CO$9,FALSE)-AM41)</f>
        <v>#N/A</v>
      </c>
      <c r="CP41" s="306" t="e">
        <f>IF(AN41="-","-",VLOOKUP($A41,AMABat!$A$10:$AS$1137,CP$9,FALSE)-AN41)</f>
        <v>#N/A</v>
      </c>
      <c r="CQ41" s="306" t="e">
        <f>IF(AO41="-","-",VLOOKUP($A41,AMABat!$A$10:$AS$1137,CQ$9,FALSE)-AO41)</f>
        <v>#N/A</v>
      </c>
      <c r="CR41" s="306" t="e">
        <f>IF(AP41="-","-",VLOOKUP($A41,AMABat!$A$10:$AS$1137,CR$9,FALSE)-AP41)</f>
        <v>#N/A</v>
      </c>
      <c r="CS41" s="306" t="e">
        <f>IF(AQ41="-","-",VLOOKUP($A41,AMABat!$A$10:$AS$1137,CS$9,FALSE)-AQ41)</f>
        <v>#N/A</v>
      </c>
      <c r="CT41" s="84" t="e">
        <f t="shared" si="29"/>
        <v>#N/A</v>
      </c>
      <c r="CU41" s="84" t="e">
        <f t="shared" si="30"/>
        <v>#N/A</v>
      </c>
      <c r="CV41" s="84" t="e">
        <f t="shared" si="31"/>
        <v>#N/A</v>
      </c>
      <c r="CW41" s="84" t="e">
        <f t="shared" si="32"/>
        <v>#N/A</v>
      </c>
      <c r="CX41" s="84" t="e">
        <f t="shared" si="33"/>
        <v>#N/A</v>
      </c>
    </row>
    <row r="42" spans="1:102" x14ac:dyDescent="0.25">
      <c r="A42" s="306" t="s">
        <v>634</v>
      </c>
      <c r="B42" s="305" t="s">
        <v>534</v>
      </c>
      <c r="C42" s="305"/>
      <c r="D42" s="305" t="s">
        <v>32</v>
      </c>
      <c r="E42" s="305" t="s">
        <v>32</v>
      </c>
      <c r="F42" s="305" t="s">
        <v>72</v>
      </c>
      <c r="G42" s="84" t="s">
        <v>71</v>
      </c>
      <c r="H42" s="84" t="s">
        <v>438</v>
      </c>
      <c r="I42" s="306" t="s">
        <v>1137</v>
      </c>
      <c r="J42" s="84" t="s">
        <v>783</v>
      </c>
      <c r="K42" s="84" t="s">
        <v>185</v>
      </c>
      <c r="L42" s="84">
        <v>29</v>
      </c>
      <c r="M42" s="84" t="s">
        <v>83</v>
      </c>
      <c r="N42" s="84" t="s">
        <v>83</v>
      </c>
      <c r="O42" s="84" t="s">
        <v>773</v>
      </c>
      <c r="P42" s="271" t="s">
        <v>773</v>
      </c>
      <c r="Q42" s="84" t="s">
        <v>200</v>
      </c>
      <c r="R42" s="271" t="s">
        <v>200</v>
      </c>
      <c r="S42" s="84">
        <v>4</v>
      </c>
      <c r="T42" s="84">
        <v>2</v>
      </c>
      <c r="U42" s="84">
        <v>3</v>
      </c>
      <c r="V42" s="84">
        <v>7</v>
      </c>
      <c r="W42" s="271">
        <v>3</v>
      </c>
      <c r="X42" s="84">
        <v>4</v>
      </c>
      <c r="Y42" s="84">
        <v>2</v>
      </c>
      <c r="Z42" s="84">
        <v>3</v>
      </c>
      <c r="AA42" s="84">
        <v>7</v>
      </c>
      <c r="AB42" s="271">
        <v>4</v>
      </c>
      <c r="AC42" s="84">
        <v>3</v>
      </c>
      <c r="AD42" s="84">
        <v>2</v>
      </c>
      <c r="AE42" s="84">
        <v>7</v>
      </c>
      <c r="AF42" s="306">
        <v>4</v>
      </c>
      <c r="AG42" s="84">
        <v>5</v>
      </c>
      <c r="AH42" s="84">
        <v>1</v>
      </c>
      <c r="AI42" s="84" t="s">
        <v>32</v>
      </c>
      <c r="AJ42" s="84" t="s">
        <v>32</v>
      </c>
      <c r="AK42" s="84" t="s">
        <v>32</v>
      </c>
      <c r="AL42" s="84" t="s">
        <v>32</v>
      </c>
      <c r="AM42" s="84" t="s">
        <v>32</v>
      </c>
      <c r="AN42" s="271" t="s">
        <v>32</v>
      </c>
      <c r="AO42" s="84">
        <v>6</v>
      </c>
      <c r="AP42" s="84">
        <v>8</v>
      </c>
      <c r="AQ42" s="271">
        <v>5</v>
      </c>
      <c r="AR42" s="85" t="s">
        <v>32</v>
      </c>
      <c r="AS42" s="271" t="s">
        <v>33</v>
      </c>
      <c r="AT42" s="377" t="s">
        <v>529</v>
      </c>
      <c r="AU42" s="86">
        <f t="shared" si="2"/>
        <v>3.666666666666667</v>
      </c>
      <c r="AV42" s="87" t="str">
        <f t="shared" si="3"/>
        <v>Minors</v>
      </c>
      <c r="AW42" s="86">
        <f t="shared" si="4"/>
        <v>3.666666666666667</v>
      </c>
      <c r="AX42" s="86" t="str">
        <f t="shared" si="5"/>
        <v>Minors</v>
      </c>
      <c r="AY42" s="87">
        <f t="shared" si="6"/>
        <v>3.666666666666667</v>
      </c>
      <c r="AZ42" s="87" t="str">
        <f t="shared" si="7"/>
        <v>Minors</v>
      </c>
      <c r="BA42" s="269">
        <f t="shared" si="8"/>
        <v>0</v>
      </c>
      <c r="BB42" s="270">
        <f t="shared" si="9"/>
        <v>0</v>
      </c>
      <c r="BC42" s="270">
        <f t="shared" si="10"/>
        <v>0</v>
      </c>
      <c r="BD42" s="270">
        <f t="shared" si="11"/>
        <v>0</v>
      </c>
      <c r="BE42" s="270">
        <f t="shared" si="12"/>
        <v>0</v>
      </c>
      <c r="BF42" s="270">
        <f t="shared" si="13"/>
        <v>0</v>
      </c>
      <c r="BG42" s="270">
        <f t="shared" si="14"/>
        <v>0</v>
      </c>
      <c r="BH42" s="270">
        <f t="shared" si="15"/>
        <v>0</v>
      </c>
      <c r="BI42" s="271">
        <f t="shared" si="16"/>
        <v>0</v>
      </c>
      <c r="BJ42" s="269">
        <f t="shared" si="17"/>
        <v>0</v>
      </c>
      <c r="BK42" s="270">
        <f t="shared" si="18"/>
        <v>0</v>
      </c>
      <c r="BL42" s="270">
        <f t="shared" si="19"/>
        <v>0</v>
      </c>
      <c r="BM42" s="270">
        <f t="shared" si="20"/>
        <v>0</v>
      </c>
      <c r="BN42" s="270">
        <f t="shared" si="21"/>
        <v>0</v>
      </c>
      <c r="BO42" s="270">
        <f t="shared" si="22"/>
        <v>0</v>
      </c>
      <c r="BP42" s="270">
        <f t="shared" si="23"/>
        <v>0</v>
      </c>
      <c r="BQ42" s="270">
        <f t="shared" si="24"/>
        <v>0</v>
      </c>
      <c r="BR42" s="271">
        <f t="shared" si="25"/>
        <v>0</v>
      </c>
      <c r="BS42" s="271">
        <f t="shared" si="26"/>
        <v>1</v>
      </c>
      <c r="BT42" s="89">
        <f t="shared" si="27"/>
        <v>1</v>
      </c>
      <c r="BU42" s="84" t="str">
        <f t="shared" si="28"/>
        <v/>
      </c>
      <c r="BV42" s="306" t="e">
        <f>IF(S42="-","-",VLOOKUP($A42,AMABat!$A$10:$AS$1137,BV$9,FALSE)-S42)</f>
        <v>#N/A</v>
      </c>
      <c r="BW42" s="306" t="e">
        <f>IF(T42="-","-",VLOOKUP($A42,AMABat!$A$10:$AS$1137,BW$9,FALSE)-T42)</f>
        <v>#N/A</v>
      </c>
      <c r="BX42" s="306" t="e">
        <f>IF(U42="-","-",VLOOKUP($A42,AMABat!$A$10:$AS$1137,BX$9,FALSE)-U42)</f>
        <v>#N/A</v>
      </c>
      <c r="BY42" s="306" t="e">
        <f>IF(V42="-","-",VLOOKUP($A42,AMABat!$A$10:$AS$1137,BY$9,FALSE)-V42)</f>
        <v>#N/A</v>
      </c>
      <c r="BZ42" s="306" t="e">
        <f>IF(W42="-","-",VLOOKUP($A42,AMABat!$A$10:$AS$1137,BZ$9,FALSE)-W42)</f>
        <v>#N/A</v>
      </c>
      <c r="CA42" s="306" t="e">
        <f>IF(X42="-","-",VLOOKUP($A42,AMABat!$A$10:$AS$1137,CA$9,FALSE)-X42)</f>
        <v>#N/A</v>
      </c>
      <c r="CB42" s="306" t="e">
        <f>IF(Y42="-","-",VLOOKUP($A42,AMABat!$A$10:$AS$1137,CB$9,FALSE)-Y42)</f>
        <v>#N/A</v>
      </c>
      <c r="CC42" s="306" t="e">
        <f>IF(Z42="-","-",VLOOKUP($A42,AMABat!$A$10:$AS$1137,CC$9,FALSE)-Z42)</f>
        <v>#N/A</v>
      </c>
      <c r="CD42" s="306" t="e">
        <f>IF(AA42="-","-",VLOOKUP($A42,AMABat!$A$10:$AS$1137,CD$9,FALSE)-AA42)</f>
        <v>#N/A</v>
      </c>
      <c r="CE42" s="306" t="e">
        <f>IF(AB42="-","-",VLOOKUP($A42,AMABat!$A$10:$AS$1137,CE$9,FALSE)-AB42)</f>
        <v>#N/A</v>
      </c>
      <c r="CF42" s="306" t="e">
        <f>IF(AC42="-","-",VLOOKUP($A42,AMABat!$A$10:$AS$1137,CF$9,FALSE)-AC42)</f>
        <v>#N/A</v>
      </c>
      <c r="CG42" s="306" t="e">
        <f>IF(AD42="-","-",VLOOKUP($A42,AMABat!$A$10:$AS$1137,CG$9,FALSE)-AD42)</f>
        <v>#N/A</v>
      </c>
      <c r="CH42" s="306" t="e">
        <f>IF(AE42="-","-",VLOOKUP($A42,AMABat!$A$10:$AS$1137,CH$9,FALSE)-AE42)</f>
        <v>#N/A</v>
      </c>
      <c r="CI42" s="306" t="e">
        <f>IF(AG42="-","-",VLOOKUP($A42,AMABat!$A$10:$AS$1137,CI$9,FALSE)-AG42)</f>
        <v>#N/A</v>
      </c>
      <c r="CJ42" s="306" t="e">
        <f>IF(AH42="-","-",VLOOKUP($A42,AMABat!$A$10:$AS$1137,CJ$9,FALSE)-AH42)</f>
        <v>#N/A</v>
      </c>
      <c r="CK42" s="306" t="str">
        <f>IF(AI42="-","-",VLOOKUP($A42,AMABat!$A$10:$AS$1137,CK$9,FALSE)-AI42)</f>
        <v>-</v>
      </c>
      <c r="CL42" s="306" t="str">
        <f>IF(AJ42="-","-",VLOOKUP($A42,AMABat!$A$10:$AS$1137,CL$9,FALSE)-AJ42)</f>
        <v>-</v>
      </c>
      <c r="CM42" s="306" t="str">
        <f>IF(AK42="-","-",VLOOKUP($A42,AMABat!$A$10:$AS$1137,CM$9,FALSE)-AK42)</f>
        <v>-</v>
      </c>
      <c r="CN42" s="306" t="str">
        <f>IF(AL42="-","-",VLOOKUP($A42,AMABat!$A$10:$AS$1137,CN$9,FALSE)-AL42)</f>
        <v>-</v>
      </c>
      <c r="CO42" s="306" t="str">
        <f>IF(AM42="-","-",VLOOKUP($A42,AMABat!$A$10:$AS$1137,CO$9,FALSE)-AM42)</f>
        <v>-</v>
      </c>
      <c r="CP42" s="306" t="str">
        <f>IF(AN42="-","-",VLOOKUP($A42,AMABat!$A$10:$AS$1137,CP$9,FALSE)-AN42)</f>
        <v>-</v>
      </c>
      <c r="CQ42" s="306" t="e">
        <f>IF(AO42="-","-",VLOOKUP($A42,AMABat!$A$10:$AS$1137,CQ$9,FALSE)-AO42)</f>
        <v>#N/A</v>
      </c>
      <c r="CR42" s="306" t="e">
        <f>IF(AP42="-","-",VLOOKUP($A42,AMABat!$A$10:$AS$1137,CR$9,FALSE)-AP42)</f>
        <v>#N/A</v>
      </c>
      <c r="CS42" s="306" t="e">
        <f>IF(AQ42="-","-",VLOOKUP($A42,AMABat!$A$10:$AS$1137,CS$9,FALSE)-AQ42)</f>
        <v>#N/A</v>
      </c>
      <c r="CT42" s="84" t="e">
        <f t="shared" si="29"/>
        <v>#N/A</v>
      </c>
      <c r="CU42" s="84" t="e">
        <f t="shared" si="30"/>
        <v>#N/A</v>
      </c>
      <c r="CV42" s="84" t="e">
        <f t="shared" si="31"/>
        <v>#N/A</v>
      </c>
      <c r="CW42" s="84" t="e">
        <f t="shared" si="32"/>
        <v>#N/A</v>
      </c>
      <c r="CX42" s="84" t="e">
        <f t="shared" si="33"/>
        <v>#N/A</v>
      </c>
    </row>
    <row r="43" spans="1:102" x14ac:dyDescent="0.25">
      <c r="A43" s="306" t="s">
        <v>635</v>
      </c>
      <c r="B43" s="305" t="s">
        <v>534</v>
      </c>
      <c r="C43" s="305"/>
      <c r="D43" s="305" t="s">
        <v>32</v>
      </c>
      <c r="E43" s="305" t="s">
        <v>32</v>
      </c>
      <c r="F43" s="305" t="s">
        <v>81</v>
      </c>
      <c r="G43" t="s">
        <v>71</v>
      </c>
      <c r="H43" t="s">
        <v>412</v>
      </c>
      <c r="I43" s="305" t="s">
        <v>1182</v>
      </c>
      <c r="J43" t="s">
        <v>769</v>
      </c>
      <c r="K43" t="s">
        <v>186</v>
      </c>
      <c r="L43">
        <v>30</v>
      </c>
      <c r="M43" t="s">
        <v>83</v>
      </c>
      <c r="N43" t="s">
        <v>83</v>
      </c>
      <c r="O43" t="s">
        <v>764</v>
      </c>
      <c r="P43" s="233" t="s">
        <v>764</v>
      </c>
      <c r="Q43" t="s">
        <v>200</v>
      </c>
      <c r="R43" s="233" t="s">
        <v>199</v>
      </c>
      <c r="S43">
        <v>4</v>
      </c>
      <c r="T43">
        <v>3</v>
      </c>
      <c r="U43">
        <v>4</v>
      </c>
      <c r="V43">
        <v>6</v>
      </c>
      <c r="W43" s="233">
        <v>3</v>
      </c>
      <c r="X43">
        <v>4</v>
      </c>
      <c r="Y43">
        <v>3</v>
      </c>
      <c r="Z43">
        <v>4</v>
      </c>
      <c r="AA43">
        <v>6</v>
      </c>
      <c r="AB43" s="233">
        <v>3</v>
      </c>
      <c r="AC43">
        <v>4</v>
      </c>
      <c r="AD43">
        <v>4</v>
      </c>
      <c r="AE43">
        <v>7</v>
      </c>
      <c r="AF43" s="305">
        <v>7</v>
      </c>
      <c r="AG43">
        <v>7</v>
      </c>
      <c r="AH43" t="s">
        <v>32</v>
      </c>
      <c r="AI43" t="s">
        <v>32</v>
      </c>
      <c r="AJ43" t="s">
        <v>32</v>
      </c>
      <c r="AK43" t="s">
        <v>32</v>
      </c>
      <c r="AL43" t="s">
        <v>32</v>
      </c>
      <c r="AM43" t="s">
        <v>32</v>
      </c>
      <c r="AN43" s="233" t="s">
        <v>32</v>
      </c>
      <c r="AO43">
        <v>3</v>
      </c>
      <c r="AP43">
        <v>5</v>
      </c>
      <c r="AQ43" s="233">
        <v>5</v>
      </c>
      <c r="AR43" s="78" t="s">
        <v>32</v>
      </c>
      <c r="AS43" s="233" t="s">
        <v>33</v>
      </c>
      <c r="AT43" s="372" t="s">
        <v>529</v>
      </c>
      <c r="AU43" s="6">
        <f t="shared" ref="AU43:AU74" si="34">AVERAGE(S43,U43,V43)+IF(OR(S43&gt;7,AND(S43&gt;5,V43&gt;5)),0.5,0)+IF(U43&gt;7,0.25,0)+IF(S43&lt;6,-0.5*(6-S43),0)</f>
        <v>3.666666666666667</v>
      </c>
      <c r="AV43" s="9" t="str">
        <f t="shared" ref="AV43:AV74" si="35">IF(AU43&gt;9,"SuperStar",IF(AU43&gt;8,"Star",IF(AU43&gt;6.5,"GoodReg",IF(AU43&gt;5,"Reg",IF(AU43&gt;4,"Bench","Minors")))))</f>
        <v>Minors</v>
      </c>
      <c r="AW43" s="6">
        <f t="shared" ref="AW43:AW74" si="36">AVERAGE(X43,Z43,AA43)+IF(OR(X43&gt;7,AND(X43&gt;5,AA43&gt;5)),0.5,0)+IF(Z43&gt;7,0.25,0)+IF(X43&lt;6,-0.5*(6-X43),0)</f>
        <v>3.666666666666667</v>
      </c>
      <c r="AX43" s="6" t="str">
        <f t="shared" ref="AX43:AX74" si="37">IF(AW43&gt;9,"SuperStar",IF(AW43&gt;8,"Star",IF(AW43&gt;6.5,"GoodReg",IF(AW43&gt;5,"Reg",IF(AW43&gt;4,"Bench","Minors")))))</f>
        <v>Minors</v>
      </c>
      <c r="AY43" s="9">
        <f t="shared" ref="AY43:AY74" si="38">MIN(AU43+(MAX(0,25-L43))^1.5,AW43)</f>
        <v>3.666666666666667</v>
      </c>
      <c r="AZ43" s="9" t="str">
        <f t="shared" ref="AZ43:AZ74" si="39">IF(AY43&gt;9,"SuperStar",IF(AY43&gt;8,"Star",IF(AY43&gt;6.5,"GoodReg",IF(AY43&gt;5,"Reg",IF(AY43&gt;4,"Bench","Minors")))))</f>
        <v>Minors</v>
      </c>
      <c r="BA43" s="46">
        <f t="shared" ref="BA43:BA74" si="40">IF(AND(OR(S43+V43&gt;12,AND(S43&gt;6,V43&gt;6)),AO43&gt;6,OR(AP43&gt;=AO43,AP43&gt;6)),1,0)</f>
        <v>0</v>
      </c>
      <c r="BB43" s="232">
        <f t="shared" ref="BB43:BB74" si="41">IF(OR(AND(S43&gt;6,W43&gt;6),S43+V43&gt;12),1,0)</f>
        <v>0</v>
      </c>
      <c r="BC43" s="232">
        <f t="shared" ref="BC43:BC74" si="42">IF(AND(S43&gt;6,U43&gt;6,V43&gt;6),1,0)</f>
        <v>0</v>
      </c>
      <c r="BD43" s="232">
        <f t="shared" ref="BD43:BD74" si="43">IF(AND(U43&gt;7,OR(S43&gt;6,V43&gt;6)),1,0)</f>
        <v>0</v>
      </c>
      <c r="BE43" s="232">
        <f t="shared" ref="BE43:BE74" si="44">IF(AND(U43&gt;6,OR(S43&gt;6,V43&gt;6)),1,0)</f>
        <v>0</v>
      </c>
      <c r="BF43" s="232">
        <f t="shared" ref="BF43:BF74" si="45">IF(AND(OR(S43&gt;6,U43&gt;6),OR(S43&gt;6,V43&gt;6)),1,0)</f>
        <v>0</v>
      </c>
      <c r="BG43" s="232">
        <f t="shared" ref="BG43:BG74" si="46">IF(AND(S43&gt;4,OR(S43&gt;6,U43&gt;6,V43&gt;6)),1,0)</f>
        <v>0</v>
      </c>
      <c r="BH43" s="232">
        <f t="shared" ref="BH43:BH74" si="47">IF(AND(S43&gt;4,OR(S43&gt;6,T43&gt;6,U43&gt;6,V43&gt;6)),1,0)</f>
        <v>0</v>
      </c>
      <c r="BI43" s="233">
        <f t="shared" ref="BI43:BI74" si="48">IF(AND(S43&gt;4,MAX(S43:W43)&gt;6),1,0)</f>
        <v>0</v>
      </c>
      <c r="BJ43" s="46">
        <f t="shared" ref="BJ43:BJ74" si="49">IF(AND(OR(X43+AA43&gt;12,AND(X43&gt;6,AA43&gt;6)),AO43&gt;6,OR(AP43&gt;=AO43,AP43&gt;6)),1,0)</f>
        <v>0</v>
      </c>
      <c r="BK43" s="232">
        <f t="shared" ref="BK43:BK74" si="50">IF(OR(AND(X43&gt;6,AB43&gt;6),X43+AA43&gt;12),1,0)</f>
        <v>0</v>
      </c>
      <c r="BL43" s="232">
        <f t="shared" ref="BL43:BL74" si="51">IF(AND(X43&gt;6,Z43&gt;6,AA43&gt;6),1,0)</f>
        <v>0</v>
      </c>
      <c r="BM43" s="232">
        <f t="shared" ref="BM43:BM74" si="52">IF(AND(Z43&gt;7,OR(X43&gt;6,AA43&gt;6)),1,0)</f>
        <v>0</v>
      </c>
      <c r="BN43" s="232">
        <f t="shared" ref="BN43:BN74" si="53">IF(AND(Z43&gt;6,OR(X43&gt;6,AA43&gt;6)),1,0)</f>
        <v>0</v>
      </c>
      <c r="BO43" s="232">
        <f t="shared" ref="BO43:BO74" si="54">IF(AND(OR(X43&gt;6,Z43&gt;6),OR(X43&gt;6,AA43&gt;6)),1,0)</f>
        <v>0</v>
      </c>
      <c r="BP43" s="232">
        <f t="shared" ref="BP43:BP74" si="55">IF(AND(X43&gt;4,OR(X43&gt;6,Z43&gt;6,AA43&gt;6)),1,0)</f>
        <v>0</v>
      </c>
      <c r="BQ43" s="232">
        <f t="shared" ref="BQ43:BQ74" si="56">IF(AND(X43&gt;4,OR(X43&gt;6,Y43&gt;6,Z43&gt;6,AA43&gt;6)),1,0)</f>
        <v>0</v>
      </c>
      <c r="BR43" s="233">
        <f t="shared" ref="BR43:BR74" si="57">IF(AND(X43&gt;4,MAX(X43:AB43)&gt;6),1,0)</f>
        <v>0</v>
      </c>
      <c r="BS43" s="233">
        <f t="shared" ref="BS43:BS74" si="58">IF(AVERAGE(AO43:AP43)&gt;9,1,0)+IF(AVERAGE(AO43:AP43)&gt;7,1,0)+IF(AO43&gt;7,1,0)+IF(AP43&gt;7,1,0)+IF(AQ43&gt;8,1,0)+IF(AQ43&gt;6,1,0)</f>
        <v>0</v>
      </c>
      <c r="BT43" s="7">
        <f t="shared" ref="BT43:BT74" si="59">IF(OR(MAX(AG43,AH43,AL43,AN43)&gt;6,MAX(AI43,AJ43,AK43,AM43)&gt;7),2,IF(MAX(AG43:AN43)&gt;4,1,0))</f>
        <v>2</v>
      </c>
      <c r="BU43" t="str">
        <f t="shared" ref="BU43:BU74" si="60">IF(AS43=1,"Yes","")</f>
        <v/>
      </c>
      <c r="BV43" s="306" t="e">
        <f>IF(S43="-","-",VLOOKUP($A43,AMABat!$A$10:$AS$1137,BV$9,FALSE)-S43)</f>
        <v>#N/A</v>
      </c>
      <c r="BW43" s="306" t="e">
        <f>IF(T43="-","-",VLOOKUP($A43,AMABat!$A$10:$AS$1137,BW$9,FALSE)-T43)</f>
        <v>#N/A</v>
      </c>
      <c r="BX43" s="306" t="e">
        <f>IF(U43="-","-",VLOOKUP($A43,AMABat!$A$10:$AS$1137,BX$9,FALSE)-U43)</f>
        <v>#N/A</v>
      </c>
      <c r="BY43" s="306" t="e">
        <f>IF(V43="-","-",VLOOKUP($A43,AMABat!$A$10:$AS$1137,BY$9,FALSE)-V43)</f>
        <v>#N/A</v>
      </c>
      <c r="BZ43" s="306" t="e">
        <f>IF(W43="-","-",VLOOKUP($A43,AMABat!$A$10:$AS$1137,BZ$9,FALSE)-W43)</f>
        <v>#N/A</v>
      </c>
      <c r="CA43" s="306" t="e">
        <f>IF(X43="-","-",VLOOKUP($A43,AMABat!$A$10:$AS$1137,CA$9,FALSE)-X43)</f>
        <v>#N/A</v>
      </c>
      <c r="CB43" s="306" t="e">
        <f>IF(Y43="-","-",VLOOKUP($A43,AMABat!$A$10:$AS$1137,CB$9,FALSE)-Y43)</f>
        <v>#N/A</v>
      </c>
      <c r="CC43" s="306" t="e">
        <f>IF(Z43="-","-",VLOOKUP($A43,AMABat!$A$10:$AS$1137,CC$9,FALSE)-Z43)</f>
        <v>#N/A</v>
      </c>
      <c r="CD43" s="306" t="e">
        <f>IF(AA43="-","-",VLOOKUP($A43,AMABat!$A$10:$AS$1137,CD$9,FALSE)-AA43)</f>
        <v>#N/A</v>
      </c>
      <c r="CE43" s="306" t="e">
        <f>IF(AB43="-","-",VLOOKUP($A43,AMABat!$A$10:$AS$1137,CE$9,FALSE)-AB43)</f>
        <v>#N/A</v>
      </c>
      <c r="CF43" s="306" t="e">
        <f>IF(AC43="-","-",VLOOKUP($A43,AMABat!$A$10:$AS$1137,CF$9,FALSE)-AC43)</f>
        <v>#N/A</v>
      </c>
      <c r="CG43" s="306" t="e">
        <f>IF(AD43="-","-",VLOOKUP($A43,AMABat!$A$10:$AS$1137,CG$9,FALSE)-AD43)</f>
        <v>#N/A</v>
      </c>
      <c r="CH43" s="306" t="e">
        <f>IF(AE43="-","-",VLOOKUP($A43,AMABat!$A$10:$AS$1137,CH$9,FALSE)-AE43)</f>
        <v>#N/A</v>
      </c>
      <c r="CI43" s="306" t="e">
        <f>IF(AG43="-","-",VLOOKUP($A43,AMABat!$A$10:$AS$1137,CI$9,FALSE)-AG43)</f>
        <v>#N/A</v>
      </c>
      <c r="CJ43" s="306" t="str">
        <f>IF(AH43="-","-",VLOOKUP($A43,AMABat!$A$10:$AS$1137,CJ$9,FALSE)-AH43)</f>
        <v>-</v>
      </c>
      <c r="CK43" s="306" t="str">
        <f>IF(AI43="-","-",VLOOKUP($A43,AMABat!$A$10:$AS$1137,CK$9,FALSE)-AI43)</f>
        <v>-</v>
      </c>
      <c r="CL43" s="306" t="str">
        <f>IF(AJ43="-","-",VLOOKUP($A43,AMABat!$A$10:$AS$1137,CL$9,FALSE)-AJ43)</f>
        <v>-</v>
      </c>
      <c r="CM43" s="306" t="str">
        <f>IF(AK43="-","-",VLOOKUP($A43,AMABat!$A$10:$AS$1137,CM$9,FALSE)-AK43)</f>
        <v>-</v>
      </c>
      <c r="CN43" s="306" t="str">
        <f>IF(AL43="-","-",VLOOKUP($A43,AMABat!$A$10:$AS$1137,CN$9,FALSE)-AL43)</f>
        <v>-</v>
      </c>
      <c r="CO43" s="306" t="str">
        <f>IF(AM43="-","-",VLOOKUP($A43,AMABat!$A$10:$AS$1137,CO$9,FALSE)-AM43)</f>
        <v>-</v>
      </c>
      <c r="CP43" s="306" t="str">
        <f>IF(AN43="-","-",VLOOKUP($A43,AMABat!$A$10:$AS$1137,CP$9,FALSE)-AN43)</f>
        <v>-</v>
      </c>
      <c r="CQ43" s="306" t="e">
        <f>IF(AO43="-","-",VLOOKUP($A43,AMABat!$A$10:$AS$1137,CQ$9,FALSE)-AO43)</f>
        <v>#N/A</v>
      </c>
      <c r="CR43" s="306" t="e">
        <f>IF(AP43="-","-",VLOOKUP($A43,AMABat!$A$10:$AS$1137,CR$9,FALSE)-AP43)</f>
        <v>#N/A</v>
      </c>
      <c r="CS43" s="306" t="e">
        <f>IF(AQ43="-","-",VLOOKUP($A43,AMABat!$A$10:$AS$1137,CS$9,FALSE)-AQ43)</f>
        <v>#N/A</v>
      </c>
      <c r="CT43" s="84" t="e">
        <f t="shared" ref="CT43:CT74" si="61">SUM(BV43:BZ43)</f>
        <v>#N/A</v>
      </c>
      <c r="CU43" s="84" t="e">
        <f t="shared" ref="CU43:CU74" si="62">SUM(CA43:CE43)</f>
        <v>#N/A</v>
      </c>
      <c r="CV43" s="84" t="e">
        <f t="shared" ref="CV43:CV74" si="63">SUM(CF43:CP43)</f>
        <v>#N/A</v>
      </c>
      <c r="CW43" s="84" t="e">
        <f t="shared" ref="CW43:CW74" si="64">SUM(CQ43:CS43)</f>
        <v>#N/A</v>
      </c>
      <c r="CX43" s="84" t="e">
        <f t="shared" ref="CX43:CX74" si="65">SUM(CT43:CW43)</f>
        <v>#N/A</v>
      </c>
    </row>
    <row r="44" spans="1:102" x14ac:dyDescent="0.25">
      <c r="A44" s="306" t="s">
        <v>636</v>
      </c>
      <c r="B44" s="305" t="s">
        <v>534</v>
      </c>
      <c r="C44" s="305"/>
      <c r="D44" s="305" t="s">
        <v>32</v>
      </c>
      <c r="E44" s="305" t="s">
        <v>32</v>
      </c>
      <c r="F44" s="305" t="s">
        <v>72</v>
      </c>
      <c r="G44" t="s">
        <v>78</v>
      </c>
      <c r="H44" t="s">
        <v>826</v>
      </c>
      <c r="I44" s="305" t="s">
        <v>827</v>
      </c>
      <c r="J44" t="s">
        <v>763</v>
      </c>
      <c r="K44" t="s">
        <v>402</v>
      </c>
      <c r="L44">
        <v>26</v>
      </c>
      <c r="M44" t="s">
        <v>85</v>
      </c>
      <c r="N44" t="s">
        <v>83</v>
      </c>
      <c r="O44" t="s">
        <v>764</v>
      </c>
      <c r="P44" s="224" t="s">
        <v>764</v>
      </c>
      <c r="Q44" t="s">
        <v>200</v>
      </c>
      <c r="R44" s="224" t="s">
        <v>200</v>
      </c>
      <c r="S44">
        <v>4</v>
      </c>
      <c r="T44">
        <v>5</v>
      </c>
      <c r="U44">
        <v>4</v>
      </c>
      <c r="V44">
        <v>6</v>
      </c>
      <c r="W44" s="224">
        <v>3</v>
      </c>
      <c r="X44">
        <v>4</v>
      </c>
      <c r="Y44">
        <v>5</v>
      </c>
      <c r="Z44">
        <v>4</v>
      </c>
      <c r="AA44">
        <v>6</v>
      </c>
      <c r="AB44" s="224">
        <v>3</v>
      </c>
      <c r="AC44">
        <v>7</v>
      </c>
      <c r="AD44">
        <v>10</v>
      </c>
      <c r="AE44">
        <v>1</v>
      </c>
      <c r="AF44" s="305">
        <v>1</v>
      </c>
      <c r="AG44" t="s">
        <v>32</v>
      </c>
      <c r="AH44" t="s">
        <v>32</v>
      </c>
      <c r="AI44" t="s">
        <v>32</v>
      </c>
      <c r="AJ44" t="s">
        <v>32</v>
      </c>
      <c r="AK44" t="s">
        <v>32</v>
      </c>
      <c r="AL44" t="s">
        <v>32</v>
      </c>
      <c r="AM44">
        <v>9</v>
      </c>
      <c r="AN44" s="224" t="s">
        <v>32</v>
      </c>
      <c r="AO44">
        <v>10</v>
      </c>
      <c r="AP44">
        <v>10</v>
      </c>
      <c r="AQ44" s="224">
        <v>10</v>
      </c>
      <c r="AR44" s="78">
        <v>510000</v>
      </c>
      <c r="AS44" s="224" t="s">
        <v>33</v>
      </c>
      <c r="AT44" s="372" t="s">
        <v>199</v>
      </c>
      <c r="AU44" s="6">
        <f t="shared" si="34"/>
        <v>3.666666666666667</v>
      </c>
      <c r="AV44" s="9" t="str">
        <f t="shared" si="35"/>
        <v>Minors</v>
      </c>
      <c r="AW44" s="6">
        <f t="shared" si="36"/>
        <v>3.666666666666667</v>
      </c>
      <c r="AX44" s="6" t="str">
        <f t="shared" si="37"/>
        <v>Minors</v>
      </c>
      <c r="AY44" s="9">
        <f t="shared" si="38"/>
        <v>3.666666666666667</v>
      </c>
      <c r="AZ44" s="9" t="str">
        <f t="shared" si="39"/>
        <v>Minors</v>
      </c>
      <c r="BA44" s="46">
        <f t="shared" si="40"/>
        <v>0</v>
      </c>
      <c r="BB44" s="223">
        <f t="shared" si="41"/>
        <v>0</v>
      </c>
      <c r="BC44" s="223">
        <f t="shared" si="42"/>
        <v>0</v>
      </c>
      <c r="BD44" s="223">
        <f t="shared" si="43"/>
        <v>0</v>
      </c>
      <c r="BE44" s="223">
        <f t="shared" si="44"/>
        <v>0</v>
      </c>
      <c r="BF44" s="223">
        <f t="shared" si="45"/>
        <v>0</v>
      </c>
      <c r="BG44" s="223">
        <f t="shared" si="46"/>
        <v>0</v>
      </c>
      <c r="BH44" s="223">
        <f t="shared" si="47"/>
        <v>0</v>
      </c>
      <c r="BI44" s="224">
        <f t="shared" si="48"/>
        <v>0</v>
      </c>
      <c r="BJ44" s="46">
        <f t="shared" si="49"/>
        <v>0</v>
      </c>
      <c r="BK44" s="223">
        <f t="shared" si="50"/>
        <v>0</v>
      </c>
      <c r="BL44" s="223">
        <f t="shared" si="51"/>
        <v>0</v>
      </c>
      <c r="BM44" s="223">
        <f t="shared" si="52"/>
        <v>0</v>
      </c>
      <c r="BN44" s="223">
        <f t="shared" si="53"/>
        <v>0</v>
      </c>
      <c r="BO44" s="223">
        <f t="shared" si="54"/>
        <v>0</v>
      </c>
      <c r="BP44" s="223">
        <f t="shared" si="55"/>
        <v>0</v>
      </c>
      <c r="BQ44" s="223">
        <f t="shared" si="56"/>
        <v>0</v>
      </c>
      <c r="BR44" s="224">
        <f t="shared" si="57"/>
        <v>0</v>
      </c>
      <c r="BS44" s="224">
        <f t="shared" si="58"/>
        <v>6</v>
      </c>
      <c r="BT44" s="7">
        <f t="shared" si="59"/>
        <v>2</v>
      </c>
      <c r="BU44" t="str">
        <f t="shared" si="60"/>
        <v/>
      </c>
      <c r="BV44" s="306" t="e">
        <f>IF(S44="-","-",VLOOKUP($A44,AMABat!$A$10:$AS$1137,BV$9,FALSE)-S44)</f>
        <v>#N/A</v>
      </c>
      <c r="BW44" s="306" t="e">
        <f>IF(T44="-","-",VLOOKUP($A44,AMABat!$A$10:$AS$1137,BW$9,FALSE)-T44)</f>
        <v>#N/A</v>
      </c>
      <c r="BX44" s="306" t="e">
        <f>IF(U44="-","-",VLOOKUP($A44,AMABat!$A$10:$AS$1137,BX$9,FALSE)-U44)</f>
        <v>#N/A</v>
      </c>
      <c r="BY44" s="306" t="e">
        <f>IF(V44="-","-",VLOOKUP($A44,AMABat!$A$10:$AS$1137,BY$9,FALSE)-V44)</f>
        <v>#N/A</v>
      </c>
      <c r="BZ44" s="306" t="e">
        <f>IF(W44="-","-",VLOOKUP($A44,AMABat!$A$10:$AS$1137,BZ$9,FALSE)-W44)</f>
        <v>#N/A</v>
      </c>
      <c r="CA44" s="306" t="e">
        <f>IF(X44="-","-",VLOOKUP($A44,AMABat!$A$10:$AS$1137,CA$9,FALSE)-X44)</f>
        <v>#N/A</v>
      </c>
      <c r="CB44" s="306" t="e">
        <f>IF(Y44="-","-",VLOOKUP($A44,AMABat!$A$10:$AS$1137,CB$9,FALSE)-Y44)</f>
        <v>#N/A</v>
      </c>
      <c r="CC44" s="306" t="e">
        <f>IF(Z44="-","-",VLOOKUP($A44,AMABat!$A$10:$AS$1137,CC$9,FALSE)-Z44)</f>
        <v>#N/A</v>
      </c>
      <c r="CD44" s="306" t="e">
        <f>IF(AA44="-","-",VLOOKUP($A44,AMABat!$A$10:$AS$1137,CD$9,FALSE)-AA44)</f>
        <v>#N/A</v>
      </c>
      <c r="CE44" s="306" t="e">
        <f>IF(AB44="-","-",VLOOKUP($A44,AMABat!$A$10:$AS$1137,CE$9,FALSE)-AB44)</f>
        <v>#N/A</v>
      </c>
      <c r="CF44" s="306" t="e">
        <f>IF(AC44="-","-",VLOOKUP($A44,AMABat!$A$10:$AS$1137,CF$9,FALSE)-AC44)</f>
        <v>#N/A</v>
      </c>
      <c r="CG44" s="306" t="e">
        <f>IF(AD44="-","-",VLOOKUP($A44,AMABat!$A$10:$AS$1137,CG$9,FALSE)-AD44)</f>
        <v>#N/A</v>
      </c>
      <c r="CH44" s="306" t="e">
        <f>IF(AE44="-","-",VLOOKUP($A44,AMABat!$A$10:$AS$1137,CH$9,FALSE)-AE44)</f>
        <v>#N/A</v>
      </c>
      <c r="CI44" s="306" t="str">
        <f>IF(AG44="-","-",VLOOKUP($A44,AMABat!$A$10:$AS$1137,CI$9,FALSE)-AG44)</f>
        <v>-</v>
      </c>
      <c r="CJ44" s="306" t="str">
        <f>IF(AH44="-","-",VLOOKUP($A44,AMABat!$A$10:$AS$1137,CJ$9,FALSE)-AH44)</f>
        <v>-</v>
      </c>
      <c r="CK44" s="306" t="str">
        <f>IF(AI44="-","-",VLOOKUP($A44,AMABat!$A$10:$AS$1137,CK$9,FALSE)-AI44)</f>
        <v>-</v>
      </c>
      <c r="CL44" s="306" t="str">
        <f>IF(AJ44="-","-",VLOOKUP($A44,AMABat!$A$10:$AS$1137,CL$9,FALSE)-AJ44)</f>
        <v>-</v>
      </c>
      <c r="CM44" s="306" t="str">
        <f>IF(AK44="-","-",VLOOKUP($A44,AMABat!$A$10:$AS$1137,CM$9,FALSE)-AK44)</f>
        <v>-</v>
      </c>
      <c r="CN44" s="306" t="str">
        <f>IF(AL44="-","-",VLOOKUP($A44,AMABat!$A$10:$AS$1137,CN$9,FALSE)-AL44)</f>
        <v>-</v>
      </c>
      <c r="CO44" s="306" t="e">
        <f>IF(AM44="-","-",VLOOKUP($A44,AMABat!$A$10:$AS$1137,CO$9,FALSE)-AM44)</f>
        <v>#N/A</v>
      </c>
      <c r="CP44" s="306" t="str">
        <f>IF(AN44="-","-",VLOOKUP($A44,AMABat!$A$10:$AS$1137,CP$9,FALSE)-AN44)</f>
        <v>-</v>
      </c>
      <c r="CQ44" s="306" t="e">
        <f>IF(AO44="-","-",VLOOKUP($A44,AMABat!$A$10:$AS$1137,CQ$9,FALSE)-AO44)</f>
        <v>#N/A</v>
      </c>
      <c r="CR44" s="306" t="e">
        <f>IF(AP44="-","-",VLOOKUP($A44,AMABat!$A$10:$AS$1137,CR$9,FALSE)-AP44)</f>
        <v>#N/A</v>
      </c>
      <c r="CS44" s="306" t="e">
        <f>IF(AQ44="-","-",VLOOKUP($A44,AMABat!$A$10:$AS$1137,CS$9,FALSE)-AQ44)</f>
        <v>#N/A</v>
      </c>
      <c r="CT44" s="84" t="e">
        <f t="shared" si="61"/>
        <v>#N/A</v>
      </c>
      <c r="CU44" s="84" t="e">
        <f t="shared" si="62"/>
        <v>#N/A</v>
      </c>
      <c r="CV44" s="84" t="e">
        <f t="shared" si="63"/>
        <v>#N/A</v>
      </c>
      <c r="CW44" s="84" t="e">
        <f t="shared" si="64"/>
        <v>#N/A</v>
      </c>
      <c r="CX44" s="84" t="e">
        <f t="shared" si="65"/>
        <v>#N/A</v>
      </c>
    </row>
    <row r="45" spans="1:102" x14ac:dyDescent="0.25">
      <c r="A45" s="306" t="s">
        <v>517</v>
      </c>
      <c r="B45" s="305" t="s">
        <v>185</v>
      </c>
      <c r="C45" s="305"/>
      <c r="D45" s="305" t="s">
        <v>32</v>
      </c>
      <c r="E45" s="305" t="s">
        <v>32</v>
      </c>
      <c r="F45" s="305" t="s">
        <v>81</v>
      </c>
      <c r="G45" t="s">
        <v>79</v>
      </c>
      <c r="H45" t="s">
        <v>409</v>
      </c>
      <c r="I45" s="305" t="s">
        <v>832</v>
      </c>
      <c r="J45" t="s">
        <v>769</v>
      </c>
      <c r="K45" t="s">
        <v>186</v>
      </c>
      <c r="L45">
        <v>26</v>
      </c>
      <c r="M45" t="s">
        <v>83</v>
      </c>
      <c r="N45" t="s">
        <v>83</v>
      </c>
      <c r="O45" t="s">
        <v>808</v>
      </c>
      <c r="P45" s="206" t="s">
        <v>773</v>
      </c>
      <c r="Q45" t="s">
        <v>200</v>
      </c>
      <c r="R45" s="206" t="s">
        <v>200</v>
      </c>
      <c r="S45">
        <v>4</v>
      </c>
      <c r="T45">
        <v>3</v>
      </c>
      <c r="U45">
        <v>4</v>
      </c>
      <c r="V45">
        <v>6</v>
      </c>
      <c r="W45" s="206">
        <v>5</v>
      </c>
      <c r="X45">
        <v>4</v>
      </c>
      <c r="Y45">
        <v>3</v>
      </c>
      <c r="Z45">
        <v>4</v>
      </c>
      <c r="AA45">
        <v>6</v>
      </c>
      <c r="AB45" s="206">
        <v>5</v>
      </c>
      <c r="AC45">
        <v>3</v>
      </c>
      <c r="AD45">
        <v>7</v>
      </c>
      <c r="AE45">
        <v>1</v>
      </c>
      <c r="AF45" s="305">
        <v>1</v>
      </c>
      <c r="AG45" t="s">
        <v>32</v>
      </c>
      <c r="AH45">
        <v>1</v>
      </c>
      <c r="AI45" t="s">
        <v>32</v>
      </c>
      <c r="AJ45" t="s">
        <v>32</v>
      </c>
      <c r="AK45" t="s">
        <v>32</v>
      </c>
      <c r="AL45">
        <v>5</v>
      </c>
      <c r="AM45" t="s">
        <v>32</v>
      </c>
      <c r="AN45" s="206">
        <v>4</v>
      </c>
      <c r="AO45">
        <v>5</v>
      </c>
      <c r="AP45">
        <v>10</v>
      </c>
      <c r="AQ45" s="206">
        <v>10</v>
      </c>
      <c r="AR45" s="78" t="s">
        <v>32</v>
      </c>
      <c r="AS45" s="206" t="s">
        <v>33</v>
      </c>
      <c r="AT45" s="372" t="s">
        <v>529</v>
      </c>
      <c r="AU45" s="6">
        <f t="shared" si="34"/>
        <v>3.666666666666667</v>
      </c>
      <c r="AV45" s="9" t="str">
        <f t="shared" si="35"/>
        <v>Minors</v>
      </c>
      <c r="AW45" s="6">
        <f t="shared" si="36"/>
        <v>3.666666666666667</v>
      </c>
      <c r="AX45" s="6" t="str">
        <f t="shared" si="37"/>
        <v>Minors</v>
      </c>
      <c r="AY45" s="9">
        <f t="shared" si="38"/>
        <v>3.666666666666667</v>
      </c>
      <c r="AZ45" s="9" t="str">
        <f t="shared" si="39"/>
        <v>Minors</v>
      </c>
      <c r="BA45" s="46">
        <f t="shared" si="40"/>
        <v>0</v>
      </c>
      <c r="BB45" s="205">
        <f t="shared" si="41"/>
        <v>0</v>
      </c>
      <c r="BC45" s="205">
        <f t="shared" si="42"/>
        <v>0</v>
      </c>
      <c r="BD45" s="205">
        <f t="shared" si="43"/>
        <v>0</v>
      </c>
      <c r="BE45" s="205">
        <f t="shared" si="44"/>
        <v>0</v>
      </c>
      <c r="BF45" s="205">
        <f t="shared" si="45"/>
        <v>0</v>
      </c>
      <c r="BG45" s="205">
        <f t="shared" si="46"/>
        <v>0</v>
      </c>
      <c r="BH45" s="205">
        <f t="shared" si="47"/>
        <v>0</v>
      </c>
      <c r="BI45" s="206">
        <f t="shared" si="48"/>
        <v>0</v>
      </c>
      <c r="BJ45" s="46">
        <f t="shared" si="49"/>
        <v>0</v>
      </c>
      <c r="BK45" s="205">
        <f t="shared" si="50"/>
        <v>0</v>
      </c>
      <c r="BL45" s="205">
        <f t="shared" si="51"/>
        <v>0</v>
      </c>
      <c r="BM45" s="205">
        <f t="shared" si="52"/>
        <v>0</v>
      </c>
      <c r="BN45" s="205">
        <f t="shared" si="53"/>
        <v>0</v>
      </c>
      <c r="BO45" s="205">
        <f t="shared" si="54"/>
        <v>0</v>
      </c>
      <c r="BP45" s="205">
        <f t="shared" si="55"/>
        <v>0</v>
      </c>
      <c r="BQ45" s="205">
        <f t="shared" si="56"/>
        <v>0</v>
      </c>
      <c r="BR45" s="206">
        <f t="shared" si="57"/>
        <v>0</v>
      </c>
      <c r="BS45" s="206">
        <f t="shared" si="58"/>
        <v>4</v>
      </c>
      <c r="BT45" s="7">
        <f t="shared" si="59"/>
        <v>1</v>
      </c>
      <c r="BU45" t="str">
        <f t="shared" si="60"/>
        <v/>
      </c>
      <c r="BV45" s="306" t="e">
        <f>IF(S45="-","-",VLOOKUP($A45,AMABat!$A$10:$AS$1137,BV$9,FALSE)-S45)</f>
        <v>#N/A</v>
      </c>
      <c r="BW45" s="306" t="e">
        <f>IF(T45="-","-",VLOOKUP($A45,AMABat!$A$10:$AS$1137,BW$9,FALSE)-T45)</f>
        <v>#N/A</v>
      </c>
      <c r="BX45" s="306" t="e">
        <f>IF(U45="-","-",VLOOKUP($A45,AMABat!$A$10:$AS$1137,BX$9,FALSE)-U45)</f>
        <v>#N/A</v>
      </c>
      <c r="BY45" s="306" t="e">
        <f>IF(V45="-","-",VLOOKUP($A45,AMABat!$A$10:$AS$1137,BY$9,FALSE)-V45)</f>
        <v>#N/A</v>
      </c>
      <c r="BZ45" s="306" t="e">
        <f>IF(W45="-","-",VLOOKUP($A45,AMABat!$A$10:$AS$1137,BZ$9,FALSE)-W45)</f>
        <v>#N/A</v>
      </c>
      <c r="CA45" s="306" t="e">
        <f>IF(X45="-","-",VLOOKUP($A45,AMABat!$A$10:$AS$1137,CA$9,FALSE)-X45)</f>
        <v>#N/A</v>
      </c>
      <c r="CB45" s="306" t="e">
        <f>IF(Y45="-","-",VLOOKUP($A45,AMABat!$A$10:$AS$1137,CB$9,FALSE)-Y45)</f>
        <v>#N/A</v>
      </c>
      <c r="CC45" s="306" t="e">
        <f>IF(Z45="-","-",VLOOKUP($A45,AMABat!$A$10:$AS$1137,CC$9,FALSE)-Z45)</f>
        <v>#N/A</v>
      </c>
      <c r="CD45" s="306" t="e">
        <f>IF(AA45="-","-",VLOOKUP($A45,AMABat!$A$10:$AS$1137,CD$9,FALSE)-AA45)</f>
        <v>#N/A</v>
      </c>
      <c r="CE45" s="306" t="e">
        <f>IF(AB45="-","-",VLOOKUP($A45,AMABat!$A$10:$AS$1137,CE$9,FALSE)-AB45)</f>
        <v>#N/A</v>
      </c>
      <c r="CF45" s="306" t="e">
        <f>IF(AC45="-","-",VLOOKUP($A45,AMABat!$A$10:$AS$1137,CF$9,FALSE)-AC45)</f>
        <v>#N/A</v>
      </c>
      <c r="CG45" s="306" t="e">
        <f>IF(AD45="-","-",VLOOKUP($A45,AMABat!$A$10:$AS$1137,CG$9,FALSE)-AD45)</f>
        <v>#N/A</v>
      </c>
      <c r="CH45" s="306" t="e">
        <f>IF(AE45="-","-",VLOOKUP($A45,AMABat!$A$10:$AS$1137,CH$9,FALSE)-AE45)</f>
        <v>#N/A</v>
      </c>
      <c r="CI45" s="306" t="str">
        <f>IF(AG45="-","-",VLOOKUP($A45,AMABat!$A$10:$AS$1137,CI$9,FALSE)-AG45)</f>
        <v>-</v>
      </c>
      <c r="CJ45" s="306" t="e">
        <f>IF(AH45="-","-",VLOOKUP($A45,AMABat!$A$10:$AS$1137,CJ$9,FALSE)-AH45)</f>
        <v>#N/A</v>
      </c>
      <c r="CK45" s="306" t="str">
        <f>IF(AI45="-","-",VLOOKUP($A45,AMABat!$A$10:$AS$1137,CK$9,FALSE)-AI45)</f>
        <v>-</v>
      </c>
      <c r="CL45" s="306" t="str">
        <f>IF(AJ45="-","-",VLOOKUP($A45,AMABat!$A$10:$AS$1137,CL$9,FALSE)-AJ45)</f>
        <v>-</v>
      </c>
      <c r="CM45" s="306" t="str">
        <f>IF(AK45="-","-",VLOOKUP($A45,AMABat!$A$10:$AS$1137,CM$9,FALSE)-AK45)</f>
        <v>-</v>
      </c>
      <c r="CN45" s="306" t="e">
        <f>IF(AL45="-","-",VLOOKUP($A45,AMABat!$A$10:$AS$1137,CN$9,FALSE)-AL45)</f>
        <v>#N/A</v>
      </c>
      <c r="CO45" s="306" t="str">
        <f>IF(AM45="-","-",VLOOKUP($A45,AMABat!$A$10:$AS$1137,CO$9,FALSE)-AM45)</f>
        <v>-</v>
      </c>
      <c r="CP45" s="306" t="e">
        <f>IF(AN45="-","-",VLOOKUP($A45,AMABat!$A$10:$AS$1137,CP$9,FALSE)-AN45)</f>
        <v>#N/A</v>
      </c>
      <c r="CQ45" s="306" t="e">
        <f>IF(AO45="-","-",VLOOKUP($A45,AMABat!$A$10:$AS$1137,CQ$9,FALSE)-AO45)</f>
        <v>#N/A</v>
      </c>
      <c r="CR45" s="306" t="e">
        <f>IF(AP45="-","-",VLOOKUP($A45,AMABat!$A$10:$AS$1137,CR$9,FALSE)-AP45)</f>
        <v>#N/A</v>
      </c>
      <c r="CS45" s="306" t="e">
        <f>IF(AQ45="-","-",VLOOKUP($A45,AMABat!$A$10:$AS$1137,CS$9,FALSE)-AQ45)</f>
        <v>#N/A</v>
      </c>
      <c r="CT45" s="84" t="e">
        <f t="shared" si="61"/>
        <v>#N/A</v>
      </c>
      <c r="CU45" s="84" t="e">
        <f t="shared" si="62"/>
        <v>#N/A</v>
      </c>
      <c r="CV45" s="84" t="e">
        <f t="shared" si="63"/>
        <v>#N/A</v>
      </c>
      <c r="CW45" s="84" t="e">
        <f t="shared" si="64"/>
        <v>#N/A</v>
      </c>
      <c r="CX45" s="84" t="e">
        <f t="shared" si="65"/>
        <v>#N/A</v>
      </c>
    </row>
    <row r="46" spans="1:102" x14ac:dyDescent="0.25">
      <c r="A46" s="306" t="s">
        <v>637</v>
      </c>
      <c r="B46" s="305" t="s">
        <v>534</v>
      </c>
      <c r="C46" s="305"/>
      <c r="D46" s="305" t="s">
        <v>32</v>
      </c>
      <c r="E46" s="305" t="s">
        <v>32</v>
      </c>
      <c r="F46" s="305" t="s">
        <v>81</v>
      </c>
      <c r="G46" t="s">
        <v>77</v>
      </c>
      <c r="H46" t="s">
        <v>1206</v>
      </c>
      <c r="I46" s="305" t="s">
        <v>1207</v>
      </c>
      <c r="J46" t="s">
        <v>814</v>
      </c>
      <c r="K46" t="s">
        <v>187</v>
      </c>
      <c r="L46">
        <v>20</v>
      </c>
      <c r="M46" t="s">
        <v>82</v>
      </c>
      <c r="N46" t="s">
        <v>83</v>
      </c>
      <c r="O46" t="s">
        <v>773</v>
      </c>
      <c r="P46" s="3" t="s">
        <v>764</v>
      </c>
      <c r="Q46" t="s">
        <v>200</v>
      </c>
      <c r="R46" s="3" t="s">
        <v>200</v>
      </c>
      <c r="S46">
        <v>5</v>
      </c>
      <c r="T46">
        <v>6</v>
      </c>
      <c r="U46">
        <v>3</v>
      </c>
      <c r="V46">
        <v>4</v>
      </c>
      <c r="W46" s="3">
        <v>3</v>
      </c>
      <c r="X46">
        <v>6</v>
      </c>
      <c r="Y46">
        <v>6</v>
      </c>
      <c r="Z46">
        <v>4</v>
      </c>
      <c r="AA46">
        <v>4</v>
      </c>
      <c r="AB46" s="3">
        <v>5</v>
      </c>
      <c r="AC46">
        <v>8</v>
      </c>
      <c r="AD46">
        <v>10</v>
      </c>
      <c r="AE46">
        <v>1</v>
      </c>
      <c r="AF46" s="305">
        <v>1</v>
      </c>
      <c r="AG46" t="s">
        <v>32</v>
      </c>
      <c r="AH46">
        <v>1</v>
      </c>
      <c r="AI46" t="s">
        <v>32</v>
      </c>
      <c r="AJ46" t="s">
        <v>32</v>
      </c>
      <c r="AK46" t="s">
        <v>32</v>
      </c>
      <c r="AL46">
        <v>9</v>
      </c>
      <c r="AM46">
        <v>3</v>
      </c>
      <c r="AN46" s="3" t="s">
        <v>32</v>
      </c>
      <c r="AO46">
        <v>9</v>
      </c>
      <c r="AP46">
        <v>8</v>
      </c>
      <c r="AQ46" s="3">
        <v>9</v>
      </c>
      <c r="AR46" t="s">
        <v>32</v>
      </c>
      <c r="AS46" s="3" t="s">
        <v>33</v>
      </c>
      <c r="AT46" s="372" t="s">
        <v>199</v>
      </c>
      <c r="AU46" s="6">
        <f t="shared" si="34"/>
        <v>3.5</v>
      </c>
      <c r="AV46" s="9" t="str">
        <f t="shared" si="35"/>
        <v>Minors</v>
      </c>
      <c r="AW46" s="6">
        <f t="shared" si="36"/>
        <v>4.666666666666667</v>
      </c>
      <c r="AX46" s="6" t="str">
        <f t="shared" si="37"/>
        <v>Bench</v>
      </c>
      <c r="AY46" s="9">
        <f t="shared" si="38"/>
        <v>4.666666666666667</v>
      </c>
      <c r="AZ46" s="9" t="str">
        <f t="shared" si="39"/>
        <v>Bench</v>
      </c>
      <c r="BA46" s="46">
        <f t="shared" si="40"/>
        <v>0</v>
      </c>
      <c r="BB46" s="5">
        <f t="shared" si="41"/>
        <v>0</v>
      </c>
      <c r="BC46" s="5">
        <f t="shared" si="42"/>
        <v>0</v>
      </c>
      <c r="BD46" s="5">
        <f t="shared" si="43"/>
        <v>0</v>
      </c>
      <c r="BE46" s="5">
        <f t="shared" si="44"/>
        <v>0</v>
      </c>
      <c r="BF46" s="5">
        <f t="shared" si="45"/>
        <v>0</v>
      </c>
      <c r="BG46" s="5">
        <f t="shared" si="46"/>
        <v>0</v>
      </c>
      <c r="BH46" s="5">
        <f t="shared" si="47"/>
        <v>0</v>
      </c>
      <c r="BI46" s="3">
        <f t="shared" si="48"/>
        <v>0</v>
      </c>
      <c r="BJ46" s="46">
        <f t="shared" si="49"/>
        <v>0</v>
      </c>
      <c r="BK46" s="5">
        <f t="shared" si="50"/>
        <v>0</v>
      </c>
      <c r="BL46" s="5">
        <f t="shared" si="51"/>
        <v>0</v>
      </c>
      <c r="BM46" s="5">
        <f t="shared" si="52"/>
        <v>0</v>
      </c>
      <c r="BN46" s="5">
        <f t="shared" si="53"/>
        <v>0</v>
      </c>
      <c r="BO46" s="5">
        <f t="shared" si="54"/>
        <v>0</v>
      </c>
      <c r="BP46" s="5">
        <f t="shared" si="55"/>
        <v>0</v>
      </c>
      <c r="BQ46" s="5">
        <f t="shared" si="56"/>
        <v>0</v>
      </c>
      <c r="BR46" s="3">
        <f t="shared" si="57"/>
        <v>0</v>
      </c>
      <c r="BS46" s="3">
        <f t="shared" si="58"/>
        <v>5</v>
      </c>
      <c r="BT46" s="7">
        <f t="shared" si="59"/>
        <v>2</v>
      </c>
      <c r="BU46" t="str">
        <f t="shared" si="60"/>
        <v/>
      </c>
      <c r="BV46" s="306" t="e">
        <f>IF(S46="-","-",VLOOKUP($A46,AMABat!$A$10:$AS$1137,BV$9,FALSE)-S46)</f>
        <v>#N/A</v>
      </c>
      <c r="BW46" s="306" t="e">
        <f>IF(T46="-","-",VLOOKUP($A46,AMABat!$A$10:$AS$1137,BW$9,FALSE)-T46)</f>
        <v>#N/A</v>
      </c>
      <c r="BX46" s="306" t="e">
        <f>IF(U46="-","-",VLOOKUP($A46,AMABat!$A$10:$AS$1137,BX$9,FALSE)-U46)</f>
        <v>#N/A</v>
      </c>
      <c r="BY46" s="306" t="e">
        <f>IF(V46="-","-",VLOOKUP($A46,AMABat!$A$10:$AS$1137,BY$9,FALSE)-V46)</f>
        <v>#N/A</v>
      </c>
      <c r="BZ46" s="306" t="e">
        <f>IF(W46="-","-",VLOOKUP($A46,AMABat!$A$10:$AS$1137,BZ$9,FALSE)-W46)</f>
        <v>#N/A</v>
      </c>
      <c r="CA46" s="306" t="e">
        <f>IF(X46="-","-",VLOOKUP($A46,AMABat!$A$10:$AS$1137,CA$9,FALSE)-X46)</f>
        <v>#N/A</v>
      </c>
      <c r="CB46" s="306" t="e">
        <f>IF(Y46="-","-",VLOOKUP($A46,AMABat!$A$10:$AS$1137,CB$9,FALSE)-Y46)</f>
        <v>#N/A</v>
      </c>
      <c r="CC46" s="306" t="e">
        <f>IF(Z46="-","-",VLOOKUP($A46,AMABat!$A$10:$AS$1137,CC$9,FALSE)-Z46)</f>
        <v>#N/A</v>
      </c>
      <c r="CD46" s="306" t="e">
        <f>IF(AA46="-","-",VLOOKUP($A46,AMABat!$A$10:$AS$1137,CD$9,FALSE)-AA46)</f>
        <v>#N/A</v>
      </c>
      <c r="CE46" s="306" t="e">
        <f>IF(AB46="-","-",VLOOKUP($A46,AMABat!$A$10:$AS$1137,CE$9,FALSE)-AB46)</f>
        <v>#N/A</v>
      </c>
      <c r="CF46" s="306" t="e">
        <f>IF(AC46="-","-",VLOOKUP($A46,AMABat!$A$10:$AS$1137,CF$9,FALSE)-AC46)</f>
        <v>#N/A</v>
      </c>
      <c r="CG46" s="306" t="e">
        <f>IF(AD46="-","-",VLOOKUP($A46,AMABat!$A$10:$AS$1137,CG$9,FALSE)-AD46)</f>
        <v>#N/A</v>
      </c>
      <c r="CH46" s="306" t="e">
        <f>IF(AE46="-","-",VLOOKUP($A46,AMABat!$A$10:$AS$1137,CH$9,FALSE)-AE46)</f>
        <v>#N/A</v>
      </c>
      <c r="CI46" s="306" t="str">
        <f>IF(AG46="-","-",VLOOKUP($A46,AMABat!$A$10:$AS$1137,CI$9,FALSE)-AG46)</f>
        <v>-</v>
      </c>
      <c r="CJ46" s="306" t="e">
        <f>IF(AH46="-","-",VLOOKUP($A46,AMABat!$A$10:$AS$1137,CJ$9,FALSE)-AH46)</f>
        <v>#N/A</v>
      </c>
      <c r="CK46" s="306" t="str">
        <f>IF(AI46="-","-",VLOOKUP($A46,AMABat!$A$10:$AS$1137,CK$9,FALSE)-AI46)</f>
        <v>-</v>
      </c>
      <c r="CL46" s="306" t="str">
        <f>IF(AJ46="-","-",VLOOKUP($A46,AMABat!$A$10:$AS$1137,CL$9,FALSE)-AJ46)</f>
        <v>-</v>
      </c>
      <c r="CM46" s="306" t="str">
        <f>IF(AK46="-","-",VLOOKUP($A46,AMABat!$A$10:$AS$1137,CM$9,FALSE)-AK46)</f>
        <v>-</v>
      </c>
      <c r="CN46" s="306" t="e">
        <f>IF(AL46="-","-",VLOOKUP($A46,AMABat!$A$10:$AS$1137,CN$9,FALSE)-AL46)</f>
        <v>#N/A</v>
      </c>
      <c r="CO46" s="306" t="e">
        <f>IF(AM46="-","-",VLOOKUP($A46,AMABat!$A$10:$AS$1137,CO$9,FALSE)-AM46)</f>
        <v>#N/A</v>
      </c>
      <c r="CP46" s="306" t="str">
        <f>IF(AN46="-","-",VLOOKUP($A46,AMABat!$A$10:$AS$1137,CP$9,FALSE)-AN46)</f>
        <v>-</v>
      </c>
      <c r="CQ46" s="306" t="e">
        <f>IF(AO46="-","-",VLOOKUP($A46,AMABat!$A$10:$AS$1137,CQ$9,FALSE)-AO46)</f>
        <v>#N/A</v>
      </c>
      <c r="CR46" s="306" t="e">
        <f>IF(AP46="-","-",VLOOKUP($A46,AMABat!$A$10:$AS$1137,CR$9,FALSE)-AP46)</f>
        <v>#N/A</v>
      </c>
      <c r="CS46" s="306" t="e">
        <f>IF(AQ46="-","-",VLOOKUP($A46,AMABat!$A$10:$AS$1137,CS$9,FALSE)-AQ46)</f>
        <v>#N/A</v>
      </c>
      <c r="CT46" s="84" t="e">
        <f t="shared" si="61"/>
        <v>#N/A</v>
      </c>
      <c r="CU46" s="84" t="e">
        <f t="shared" si="62"/>
        <v>#N/A</v>
      </c>
      <c r="CV46" s="84" t="e">
        <f t="shared" si="63"/>
        <v>#N/A</v>
      </c>
      <c r="CW46" s="84" t="e">
        <f t="shared" si="64"/>
        <v>#N/A</v>
      </c>
      <c r="CX46" s="84" t="e">
        <f t="shared" si="65"/>
        <v>#N/A</v>
      </c>
    </row>
    <row r="47" spans="1:102" x14ac:dyDescent="0.25">
      <c r="A47" s="306" t="s">
        <v>638</v>
      </c>
      <c r="B47" s="305" t="s">
        <v>534</v>
      </c>
      <c r="C47" s="305"/>
      <c r="D47" s="305">
        <v>9</v>
      </c>
      <c r="E47" s="305" t="s">
        <v>32</v>
      </c>
      <c r="F47" s="305" t="s">
        <v>81</v>
      </c>
      <c r="G47" t="s">
        <v>79</v>
      </c>
      <c r="H47" t="s">
        <v>860</v>
      </c>
      <c r="I47" s="305" t="s">
        <v>861</v>
      </c>
      <c r="J47" t="s">
        <v>814</v>
      </c>
      <c r="K47" t="s">
        <v>187</v>
      </c>
      <c r="L47">
        <v>24</v>
      </c>
      <c r="M47" t="s">
        <v>83</v>
      </c>
      <c r="N47" t="s">
        <v>83</v>
      </c>
      <c r="O47" t="s">
        <v>808</v>
      </c>
      <c r="P47" s="206" t="s">
        <v>773</v>
      </c>
      <c r="Q47" t="s">
        <v>200</v>
      </c>
      <c r="R47" s="206" t="s">
        <v>199</v>
      </c>
      <c r="S47">
        <v>3</v>
      </c>
      <c r="T47">
        <v>3</v>
      </c>
      <c r="U47">
        <v>6</v>
      </c>
      <c r="V47">
        <v>6</v>
      </c>
      <c r="W47" s="206">
        <v>2</v>
      </c>
      <c r="X47">
        <v>4</v>
      </c>
      <c r="Y47">
        <v>4</v>
      </c>
      <c r="Z47">
        <v>7</v>
      </c>
      <c r="AA47">
        <v>6</v>
      </c>
      <c r="AB47" s="206">
        <v>3</v>
      </c>
      <c r="AC47">
        <v>4</v>
      </c>
      <c r="AD47">
        <v>7</v>
      </c>
      <c r="AE47">
        <v>1</v>
      </c>
      <c r="AF47" s="305">
        <v>1</v>
      </c>
      <c r="AG47" t="s">
        <v>32</v>
      </c>
      <c r="AH47" t="s">
        <v>32</v>
      </c>
      <c r="AI47" t="s">
        <v>32</v>
      </c>
      <c r="AJ47" t="s">
        <v>32</v>
      </c>
      <c r="AK47" t="s">
        <v>32</v>
      </c>
      <c r="AL47">
        <v>3</v>
      </c>
      <c r="AM47">
        <v>1</v>
      </c>
      <c r="AN47" s="206">
        <v>5</v>
      </c>
      <c r="AO47">
        <v>8</v>
      </c>
      <c r="AP47">
        <v>6</v>
      </c>
      <c r="AQ47" s="206">
        <v>7</v>
      </c>
      <c r="AR47" s="78" t="s">
        <v>32</v>
      </c>
      <c r="AS47" s="206">
        <v>0</v>
      </c>
      <c r="AT47" s="372" t="s">
        <v>779</v>
      </c>
      <c r="AU47" s="6">
        <f t="shared" si="34"/>
        <v>3.5</v>
      </c>
      <c r="AV47" s="9" t="str">
        <f t="shared" si="35"/>
        <v>Minors</v>
      </c>
      <c r="AW47" s="6">
        <f t="shared" si="36"/>
        <v>4.666666666666667</v>
      </c>
      <c r="AX47" s="6" t="str">
        <f t="shared" si="37"/>
        <v>Bench</v>
      </c>
      <c r="AY47" s="9">
        <f t="shared" si="38"/>
        <v>4.5</v>
      </c>
      <c r="AZ47" s="9" t="str">
        <f t="shared" si="39"/>
        <v>Bench</v>
      </c>
      <c r="BA47" s="46">
        <f t="shared" si="40"/>
        <v>0</v>
      </c>
      <c r="BB47" s="205">
        <f t="shared" si="41"/>
        <v>0</v>
      </c>
      <c r="BC47" s="205">
        <f t="shared" si="42"/>
        <v>0</v>
      </c>
      <c r="BD47" s="205">
        <f t="shared" si="43"/>
        <v>0</v>
      </c>
      <c r="BE47" s="205">
        <f t="shared" si="44"/>
        <v>0</v>
      </c>
      <c r="BF47" s="205">
        <f t="shared" si="45"/>
        <v>0</v>
      </c>
      <c r="BG47" s="205">
        <f t="shared" si="46"/>
        <v>0</v>
      </c>
      <c r="BH47" s="205">
        <f t="shared" si="47"/>
        <v>0</v>
      </c>
      <c r="BI47" s="206">
        <f t="shared" si="48"/>
        <v>0</v>
      </c>
      <c r="BJ47" s="46">
        <f t="shared" si="49"/>
        <v>0</v>
      </c>
      <c r="BK47" s="205">
        <f t="shared" si="50"/>
        <v>0</v>
      </c>
      <c r="BL47" s="205">
        <f t="shared" si="51"/>
        <v>0</v>
      </c>
      <c r="BM47" s="205">
        <f t="shared" si="52"/>
        <v>0</v>
      </c>
      <c r="BN47" s="205">
        <f t="shared" si="53"/>
        <v>0</v>
      </c>
      <c r="BO47" s="205">
        <f t="shared" si="54"/>
        <v>0</v>
      </c>
      <c r="BP47" s="205">
        <f t="shared" si="55"/>
        <v>0</v>
      </c>
      <c r="BQ47" s="205">
        <f t="shared" si="56"/>
        <v>0</v>
      </c>
      <c r="BR47" s="206">
        <f t="shared" si="57"/>
        <v>0</v>
      </c>
      <c r="BS47" s="206">
        <f t="shared" si="58"/>
        <v>2</v>
      </c>
      <c r="BT47" s="7">
        <f t="shared" si="59"/>
        <v>1</v>
      </c>
      <c r="BU47" t="str">
        <f t="shared" si="60"/>
        <v/>
      </c>
      <c r="BV47" s="306" t="e">
        <f>IF(S47="-","-",VLOOKUP($A47,AMABat!$A$10:$AS$1137,BV$9,FALSE)-S47)</f>
        <v>#N/A</v>
      </c>
      <c r="BW47" s="306" t="e">
        <f>IF(T47="-","-",VLOOKUP($A47,AMABat!$A$10:$AS$1137,BW$9,FALSE)-T47)</f>
        <v>#N/A</v>
      </c>
      <c r="BX47" s="306" t="e">
        <f>IF(U47="-","-",VLOOKUP($A47,AMABat!$A$10:$AS$1137,BX$9,FALSE)-U47)</f>
        <v>#N/A</v>
      </c>
      <c r="BY47" s="306" t="e">
        <f>IF(V47="-","-",VLOOKUP($A47,AMABat!$A$10:$AS$1137,BY$9,FALSE)-V47)</f>
        <v>#N/A</v>
      </c>
      <c r="BZ47" s="306" t="e">
        <f>IF(W47="-","-",VLOOKUP($A47,AMABat!$A$10:$AS$1137,BZ$9,FALSE)-W47)</f>
        <v>#N/A</v>
      </c>
      <c r="CA47" s="306" t="e">
        <f>IF(X47="-","-",VLOOKUP($A47,AMABat!$A$10:$AS$1137,CA$9,FALSE)-X47)</f>
        <v>#N/A</v>
      </c>
      <c r="CB47" s="306" t="e">
        <f>IF(Y47="-","-",VLOOKUP($A47,AMABat!$A$10:$AS$1137,CB$9,FALSE)-Y47)</f>
        <v>#N/A</v>
      </c>
      <c r="CC47" s="306" t="e">
        <f>IF(Z47="-","-",VLOOKUP($A47,AMABat!$A$10:$AS$1137,CC$9,FALSE)-Z47)</f>
        <v>#N/A</v>
      </c>
      <c r="CD47" s="306" t="e">
        <f>IF(AA47="-","-",VLOOKUP($A47,AMABat!$A$10:$AS$1137,CD$9,FALSE)-AA47)</f>
        <v>#N/A</v>
      </c>
      <c r="CE47" s="306" t="e">
        <f>IF(AB47="-","-",VLOOKUP($A47,AMABat!$A$10:$AS$1137,CE$9,FALSE)-AB47)</f>
        <v>#N/A</v>
      </c>
      <c r="CF47" s="306" t="e">
        <f>IF(AC47="-","-",VLOOKUP($A47,AMABat!$A$10:$AS$1137,CF$9,FALSE)-AC47)</f>
        <v>#N/A</v>
      </c>
      <c r="CG47" s="306" t="e">
        <f>IF(AD47="-","-",VLOOKUP($A47,AMABat!$A$10:$AS$1137,CG$9,FALSE)-AD47)</f>
        <v>#N/A</v>
      </c>
      <c r="CH47" s="306" t="e">
        <f>IF(AE47="-","-",VLOOKUP($A47,AMABat!$A$10:$AS$1137,CH$9,FALSE)-AE47)</f>
        <v>#N/A</v>
      </c>
      <c r="CI47" s="306" t="str">
        <f>IF(AG47="-","-",VLOOKUP($A47,AMABat!$A$10:$AS$1137,CI$9,FALSE)-AG47)</f>
        <v>-</v>
      </c>
      <c r="CJ47" s="306" t="str">
        <f>IF(AH47="-","-",VLOOKUP($A47,AMABat!$A$10:$AS$1137,CJ$9,FALSE)-AH47)</f>
        <v>-</v>
      </c>
      <c r="CK47" s="306" t="str">
        <f>IF(AI47="-","-",VLOOKUP($A47,AMABat!$A$10:$AS$1137,CK$9,FALSE)-AI47)</f>
        <v>-</v>
      </c>
      <c r="CL47" s="306" t="str">
        <f>IF(AJ47="-","-",VLOOKUP($A47,AMABat!$A$10:$AS$1137,CL$9,FALSE)-AJ47)</f>
        <v>-</v>
      </c>
      <c r="CM47" s="306" t="str">
        <f>IF(AK47="-","-",VLOOKUP($A47,AMABat!$A$10:$AS$1137,CM$9,FALSE)-AK47)</f>
        <v>-</v>
      </c>
      <c r="CN47" s="306" t="e">
        <f>IF(AL47="-","-",VLOOKUP($A47,AMABat!$A$10:$AS$1137,CN$9,FALSE)-AL47)</f>
        <v>#N/A</v>
      </c>
      <c r="CO47" s="306" t="e">
        <f>IF(AM47="-","-",VLOOKUP($A47,AMABat!$A$10:$AS$1137,CO$9,FALSE)-AM47)</f>
        <v>#N/A</v>
      </c>
      <c r="CP47" s="306" t="e">
        <f>IF(AN47="-","-",VLOOKUP($A47,AMABat!$A$10:$AS$1137,CP$9,FALSE)-AN47)</f>
        <v>#N/A</v>
      </c>
      <c r="CQ47" s="306" t="e">
        <f>IF(AO47="-","-",VLOOKUP($A47,AMABat!$A$10:$AS$1137,CQ$9,FALSE)-AO47)</f>
        <v>#N/A</v>
      </c>
      <c r="CR47" s="306" t="e">
        <f>IF(AP47="-","-",VLOOKUP($A47,AMABat!$A$10:$AS$1137,CR$9,FALSE)-AP47)</f>
        <v>#N/A</v>
      </c>
      <c r="CS47" s="306" t="e">
        <f>IF(AQ47="-","-",VLOOKUP($A47,AMABat!$A$10:$AS$1137,CS$9,FALSE)-AQ47)</f>
        <v>#N/A</v>
      </c>
      <c r="CT47" s="84" t="e">
        <f t="shared" si="61"/>
        <v>#N/A</v>
      </c>
      <c r="CU47" s="84" t="e">
        <f t="shared" si="62"/>
        <v>#N/A</v>
      </c>
      <c r="CV47" s="84" t="e">
        <f t="shared" si="63"/>
        <v>#N/A</v>
      </c>
      <c r="CW47" s="84" t="e">
        <f t="shared" si="64"/>
        <v>#N/A</v>
      </c>
      <c r="CX47" s="84" t="e">
        <f t="shared" si="65"/>
        <v>#N/A</v>
      </c>
    </row>
    <row r="48" spans="1:102" x14ac:dyDescent="0.25">
      <c r="A48" s="306" t="s">
        <v>639</v>
      </c>
      <c r="B48" s="305" t="s">
        <v>534</v>
      </c>
      <c r="C48" s="305"/>
      <c r="D48" s="305" t="s">
        <v>32</v>
      </c>
      <c r="E48" s="305" t="s">
        <v>32</v>
      </c>
      <c r="F48" s="305" t="s">
        <v>81</v>
      </c>
      <c r="G48" t="s">
        <v>71</v>
      </c>
      <c r="H48" t="s">
        <v>421</v>
      </c>
      <c r="I48" s="305" t="s">
        <v>432</v>
      </c>
      <c r="J48" t="s">
        <v>763</v>
      </c>
      <c r="K48" t="s">
        <v>402</v>
      </c>
      <c r="L48">
        <v>28</v>
      </c>
      <c r="M48" t="s">
        <v>82</v>
      </c>
      <c r="N48" t="s">
        <v>83</v>
      </c>
      <c r="O48" t="s">
        <v>764</v>
      </c>
      <c r="P48" s="268" t="s">
        <v>764</v>
      </c>
      <c r="Q48" t="s">
        <v>201</v>
      </c>
      <c r="R48" s="268" t="s">
        <v>199</v>
      </c>
      <c r="S48">
        <v>3</v>
      </c>
      <c r="T48">
        <v>3</v>
      </c>
      <c r="U48">
        <v>4</v>
      </c>
      <c r="V48">
        <v>8</v>
      </c>
      <c r="W48" s="268">
        <v>3</v>
      </c>
      <c r="X48">
        <v>4</v>
      </c>
      <c r="Y48">
        <v>3</v>
      </c>
      <c r="Z48">
        <v>4</v>
      </c>
      <c r="AA48">
        <v>8</v>
      </c>
      <c r="AB48" s="268">
        <v>4</v>
      </c>
      <c r="AC48">
        <v>4</v>
      </c>
      <c r="AD48">
        <v>3</v>
      </c>
      <c r="AE48">
        <v>8</v>
      </c>
      <c r="AF48" s="305">
        <v>6</v>
      </c>
      <c r="AG48">
        <v>8</v>
      </c>
      <c r="AH48" t="s">
        <v>32</v>
      </c>
      <c r="AI48" t="s">
        <v>32</v>
      </c>
      <c r="AJ48" t="s">
        <v>32</v>
      </c>
      <c r="AK48" t="s">
        <v>32</v>
      </c>
      <c r="AL48" t="s">
        <v>32</v>
      </c>
      <c r="AM48" t="s">
        <v>32</v>
      </c>
      <c r="AN48" s="268" t="s">
        <v>32</v>
      </c>
      <c r="AO48">
        <v>1</v>
      </c>
      <c r="AP48">
        <v>1</v>
      </c>
      <c r="AQ48" s="268">
        <v>2</v>
      </c>
      <c r="AR48" s="78">
        <v>510000</v>
      </c>
      <c r="AS48" s="268" t="s">
        <v>33</v>
      </c>
      <c r="AT48" s="372" t="s">
        <v>199</v>
      </c>
      <c r="AU48" s="6">
        <f t="shared" si="34"/>
        <v>3.5</v>
      </c>
      <c r="AV48" s="9" t="str">
        <f t="shared" si="35"/>
        <v>Minors</v>
      </c>
      <c r="AW48" s="6">
        <f t="shared" si="36"/>
        <v>4.333333333333333</v>
      </c>
      <c r="AX48" s="6" t="str">
        <f t="shared" si="37"/>
        <v>Bench</v>
      </c>
      <c r="AY48" s="9">
        <f t="shared" si="38"/>
        <v>3.5</v>
      </c>
      <c r="AZ48" s="9" t="str">
        <f t="shared" si="39"/>
        <v>Minors</v>
      </c>
      <c r="BA48" s="266">
        <f t="shared" si="40"/>
        <v>0</v>
      </c>
      <c r="BB48" s="267">
        <f t="shared" si="41"/>
        <v>0</v>
      </c>
      <c r="BC48" s="267">
        <f t="shared" si="42"/>
        <v>0</v>
      </c>
      <c r="BD48" s="267">
        <f t="shared" si="43"/>
        <v>0</v>
      </c>
      <c r="BE48" s="267">
        <f t="shared" si="44"/>
        <v>0</v>
      </c>
      <c r="BF48" s="267">
        <f t="shared" si="45"/>
        <v>0</v>
      </c>
      <c r="BG48" s="267">
        <f t="shared" si="46"/>
        <v>0</v>
      </c>
      <c r="BH48" s="267">
        <f t="shared" si="47"/>
        <v>0</v>
      </c>
      <c r="BI48" s="268">
        <f t="shared" si="48"/>
        <v>0</v>
      </c>
      <c r="BJ48" s="266">
        <f t="shared" si="49"/>
        <v>0</v>
      </c>
      <c r="BK48" s="267">
        <f t="shared" si="50"/>
        <v>0</v>
      </c>
      <c r="BL48" s="267">
        <f t="shared" si="51"/>
        <v>0</v>
      </c>
      <c r="BM48" s="267">
        <f t="shared" si="52"/>
        <v>0</v>
      </c>
      <c r="BN48" s="267">
        <f t="shared" si="53"/>
        <v>0</v>
      </c>
      <c r="BO48" s="267">
        <f t="shared" si="54"/>
        <v>0</v>
      </c>
      <c r="BP48" s="267">
        <f t="shared" si="55"/>
        <v>0</v>
      </c>
      <c r="BQ48" s="267">
        <f t="shared" si="56"/>
        <v>0</v>
      </c>
      <c r="BR48" s="268">
        <f t="shared" si="57"/>
        <v>0</v>
      </c>
      <c r="BS48" s="268">
        <f t="shared" si="58"/>
        <v>0</v>
      </c>
      <c r="BT48" s="7">
        <f t="shared" si="59"/>
        <v>2</v>
      </c>
      <c r="BU48" t="str">
        <f t="shared" si="60"/>
        <v/>
      </c>
      <c r="BV48" s="306" t="e">
        <f>IF(S48="-","-",VLOOKUP($A48,AMABat!$A$10:$AS$1137,BV$9,FALSE)-S48)</f>
        <v>#N/A</v>
      </c>
      <c r="BW48" s="306" t="e">
        <f>IF(T48="-","-",VLOOKUP($A48,AMABat!$A$10:$AS$1137,BW$9,FALSE)-T48)</f>
        <v>#N/A</v>
      </c>
      <c r="BX48" s="306" t="e">
        <f>IF(U48="-","-",VLOOKUP($A48,AMABat!$A$10:$AS$1137,BX$9,FALSE)-U48)</f>
        <v>#N/A</v>
      </c>
      <c r="BY48" s="306" t="e">
        <f>IF(V48="-","-",VLOOKUP($A48,AMABat!$A$10:$AS$1137,BY$9,FALSE)-V48)</f>
        <v>#N/A</v>
      </c>
      <c r="BZ48" s="306" t="e">
        <f>IF(W48="-","-",VLOOKUP($A48,AMABat!$A$10:$AS$1137,BZ$9,FALSE)-W48)</f>
        <v>#N/A</v>
      </c>
      <c r="CA48" s="306" t="e">
        <f>IF(X48="-","-",VLOOKUP($A48,AMABat!$A$10:$AS$1137,CA$9,FALSE)-X48)</f>
        <v>#N/A</v>
      </c>
      <c r="CB48" s="306" t="e">
        <f>IF(Y48="-","-",VLOOKUP($A48,AMABat!$A$10:$AS$1137,CB$9,FALSE)-Y48)</f>
        <v>#N/A</v>
      </c>
      <c r="CC48" s="306" t="e">
        <f>IF(Z48="-","-",VLOOKUP($A48,AMABat!$A$10:$AS$1137,CC$9,FALSE)-Z48)</f>
        <v>#N/A</v>
      </c>
      <c r="CD48" s="306" t="e">
        <f>IF(AA48="-","-",VLOOKUP($A48,AMABat!$A$10:$AS$1137,CD$9,FALSE)-AA48)</f>
        <v>#N/A</v>
      </c>
      <c r="CE48" s="306" t="e">
        <f>IF(AB48="-","-",VLOOKUP($A48,AMABat!$A$10:$AS$1137,CE$9,FALSE)-AB48)</f>
        <v>#N/A</v>
      </c>
      <c r="CF48" s="306" t="e">
        <f>IF(AC48="-","-",VLOOKUP($A48,AMABat!$A$10:$AS$1137,CF$9,FALSE)-AC48)</f>
        <v>#N/A</v>
      </c>
      <c r="CG48" s="306" t="e">
        <f>IF(AD48="-","-",VLOOKUP($A48,AMABat!$A$10:$AS$1137,CG$9,FALSE)-AD48)</f>
        <v>#N/A</v>
      </c>
      <c r="CH48" s="306" t="e">
        <f>IF(AE48="-","-",VLOOKUP($A48,AMABat!$A$10:$AS$1137,CH$9,FALSE)-AE48)</f>
        <v>#N/A</v>
      </c>
      <c r="CI48" s="306" t="e">
        <f>IF(AG48="-","-",VLOOKUP($A48,AMABat!$A$10:$AS$1137,CI$9,FALSE)-AG48)</f>
        <v>#N/A</v>
      </c>
      <c r="CJ48" s="306" t="str">
        <f>IF(AH48="-","-",VLOOKUP($A48,AMABat!$A$10:$AS$1137,CJ$9,FALSE)-AH48)</f>
        <v>-</v>
      </c>
      <c r="CK48" s="306" t="str">
        <f>IF(AI48="-","-",VLOOKUP($A48,AMABat!$A$10:$AS$1137,CK$9,FALSE)-AI48)</f>
        <v>-</v>
      </c>
      <c r="CL48" s="306" t="str">
        <f>IF(AJ48="-","-",VLOOKUP($A48,AMABat!$A$10:$AS$1137,CL$9,FALSE)-AJ48)</f>
        <v>-</v>
      </c>
      <c r="CM48" s="306" t="str">
        <f>IF(AK48="-","-",VLOOKUP($A48,AMABat!$A$10:$AS$1137,CM$9,FALSE)-AK48)</f>
        <v>-</v>
      </c>
      <c r="CN48" s="306" t="str">
        <f>IF(AL48="-","-",VLOOKUP($A48,AMABat!$A$10:$AS$1137,CN$9,FALSE)-AL48)</f>
        <v>-</v>
      </c>
      <c r="CO48" s="306" t="str">
        <f>IF(AM48="-","-",VLOOKUP($A48,AMABat!$A$10:$AS$1137,CO$9,FALSE)-AM48)</f>
        <v>-</v>
      </c>
      <c r="CP48" s="306" t="str">
        <f>IF(AN48="-","-",VLOOKUP($A48,AMABat!$A$10:$AS$1137,CP$9,FALSE)-AN48)</f>
        <v>-</v>
      </c>
      <c r="CQ48" s="306" t="e">
        <f>IF(AO48="-","-",VLOOKUP($A48,AMABat!$A$10:$AS$1137,CQ$9,FALSE)-AO48)</f>
        <v>#N/A</v>
      </c>
      <c r="CR48" s="306" t="e">
        <f>IF(AP48="-","-",VLOOKUP($A48,AMABat!$A$10:$AS$1137,CR$9,FALSE)-AP48)</f>
        <v>#N/A</v>
      </c>
      <c r="CS48" s="306" t="e">
        <f>IF(AQ48="-","-",VLOOKUP($A48,AMABat!$A$10:$AS$1137,CS$9,FALSE)-AQ48)</f>
        <v>#N/A</v>
      </c>
      <c r="CT48" s="84" t="e">
        <f t="shared" si="61"/>
        <v>#N/A</v>
      </c>
      <c r="CU48" s="84" t="e">
        <f t="shared" si="62"/>
        <v>#N/A</v>
      </c>
      <c r="CV48" s="84" t="e">
        <f t="shared" si="63"/>
        <v>#N/A</v>
      </c>
      <c r="CW48" s="84" t="e">
        <f t="shared" si="64"/>
        <v>#N/A</v>
      </c>
      <c r="CX48" s="84" t="e">
        <f t="shared" si="65"/>
        <v>#N/A</v>
      </c>
    </row>
    <row r="49" spans="1:102" x14ac:dyDescent="0.25">
      <c r="A49" s="306" t="s">
        <v>640</v>
      </c>
      <c r="B49" s="305" t="s">
        <v>534</v>
      </c>
      <c r="C49" s="305"/>
      <c r="D49" s="305">
        <v>9</v>
      </c>
      <c r="E49" s="305" t="s">
        <v>32</v>
      </c>
      <c r="F49" s="305" t="s">
        <v>81</v>
      </c>
      <c r="G49" t="s">
        <v>74</v>
      </c>
      <c r="H49" t="s">
        <v>413</v>
      </c>
      <c r="I49" s="305" t="s">
        <v>722</v>
      </c>
      <c r="J49" t="s">
        <v>769</v>
      </c>
      <c r="K49" t="s">
        <v>186</v>
      </c>
      <c r="L49">
        <v>28</v>
      </c>
      <c r="M49" t="s">
        <v>83</v>
      </c>
      <c r="N49" t="s">
        <v>83</v>
      </c>
      <c r="O49" t="s">
        <v>764</v>
      </c>
      <c r="P49" s="268" t="s">
        <v>764</v>
      </c>
      <c r="Q49" t="s">
        <v>200</v>
      </c>
      <c r="R49" s="268" t="s">
        <v>200</v>
      </c>
      <c r="S49">
        <v>3</v>
      </c>
      <c r="T49">
        <v>4</v>
      </c>
      <c r="U49">
        <v>4</v>
      </c>
      <c r="V49">
        <v>8</v>
      </c>
      <c r="W49" s="268">
        <v>2</v>
      </c>
      <c r="X49">
        <v>3</v>
      </c>
      <c r="Y49">
        <v>4</v>
      </c>
      <c r="Z49">
        <v>4</v>
      </c>
      <c r="AA49">
        <v>8</v>
      </c>
      <c r="AB49" s="268">
        <v>3</v>
      </c>
      <c r="AC49">
        <v>8</v>
      </c>
      <c r="AD49">
        <v>7</v>
      </c>
      <c r="AE49">
        <v>1</v>
      </c>
      <c r="AF49" s="305">
        <v>1</v>
      </c>
      <c r="AG49" t="s">
        <v>32</v>
      </c>
      <c r="AH49" t="s">
        <v>32</v>
      </c>
      <c r="AI49">
        <v>8</v>
      </c>
      <c r="AJ49">
        <v>2</v>
      </c>
      <c r="AK49">
        <v>6</v>
      </c>
      <c r="AL49" t="s">
        <v>32</v>
      </c>
      <c r="AM49" t="s">
        <v>32</v>
      </c>
      <c r="AN49" s="268" t="s">
        <v>32</v>
      </c>
      <c r="AO49">
        <v>7</v>
      </c>
      <c r="AP49">
        <v>10</v>
      </c>
      <c r="AQ49" s="268">
        <v>10</v>
      </c>
      <c r="AR49" s="78" t="s">
        <v>32</v>
      </c>
      <c r="AS49" s="268" t="s">
        <v>33</v>
      </c>
      <c r="AT49" s="372" t="s">
        <v>199</v>
      </c>
      <c r="AU49" s="6">
        <f t="shared" si="34"/>
        <v>3.5</v>
      </c>
      <c r="AV49" s="9" t="str">
        <f t="shared" si="35"/>
        <v>Minors</v>
      </c>
      <c r="AW49" s="6">
        <f t="shared" si="36"/>
        <v>3.5</v>
      </c>
      <c r="AX49" s="6" t="str">
        <f t="shared" si="37"/>
        <v>Minors</v>
      </c>
      <c r="AY49" s="9">
        <f t="shared" si="38"/>
        <v>3.5</v>
      </c>
      <c r="AZ49" s="9" t="str">
        <f t="shared" si="39"/>
        <v>Minors</v>
      </c>
      <c r="BA49" s="266">
        <f t="shared" si="40"/>
        <v>0</v>
      </c>
      <c r="BB49" s="267">
        <f t="shared" si="41"/>
        <v>0</v>
      </c>
      <c r="BC49" s="267">
        <f t="shared" si="42"/>
        <v>0</v>
      </c>
      <c r="BD49" s="267">
        <f t="shared" si="43"/>
        <v>0</v>
      </c>
      <c r="BE49" s="267">
        <f t="shared" si="44"/>
        <v>0</v>
      </c>
      <c r="BF49" s="267">
        <f t="shared" si="45"/>
        <v>0</v>
      </c>
      <c r="BG49" s="267">
        <f t="shared" si="46"/>
        <v>0</v>
      </c>
      <c r="BH49" s="267">
        <f t="shared" si="47"/>
        <v>0</v>
      </c>
      <c r="BI49" s="268">
        <f t="shared" si="48"/>
        <v>0</v>
      </c>
      <c r="BJ49" s="266">
        <f t="shared" si="49"/>
        <v>0</v>
      </c>
      <c r="BK49" s="267">
        <f t="shared" si="50"/>
        <v>0</v>
      </c>
      <c r="BL49" s="267">
        <f t="shared" si="51"/>
        <v>0</v>
      </c>
      <c r="BM49" s="267">
        <f t="shared" si="52"/>
        <v>0</v>
      </c>
      <c r="BN49" s="267">
        <f t="shared" si="53"/>
        <v>0</v>
      </c>
      <c r="BO49" s="267">
        <f t="shared" si="54"/>
        <v>0</v>
      </c>
      <c r="BP49" s="267">
        <f t="shared" si="55"/>
        <v>0</v>
      </c>
      <c r="BQ49" s="267">
        <f t="shared" si="56"/>
        <v>0</v>
      </c>
      <c r="BR49" s="268">
        <f t="shared" si="57"/>
        <v>0</v>
      </c>
      <c r="BS49" s="268">
        <f t="shared" si="58"/>
        <v>4</v>
      </c>
      <c r="BT49" s="7">
        <f t="shared" si="59"/>
        <v>2</v>
      </c>
      <c r="BU49" t="str">
        <f t="shared" si="60"/>
        <v/>
      </c>
      <c r="BV49" s="306" t="e">
        <f>IF(S49="-","-",VLOOKUP($A49,AMABat!$A$10:$AS$1137,BV$9,FALSE)-S49)</f>
        <v>#N/A</v>
      </c>
      <c r="BW49" s="306" t="e">
        <f>IF(T49="-","-",VLOOKUP($A49,AMABat!$A$10:$AS$1137,BW$9,FALSE)-T49)</f>
        <v>#N/A</v>
      </c>
      <c r="BX49" s="306" t="e">
        <f>IF(U49="-","-",VLOOKUP($A49,AMABat!$A$10:$AS$1137,BX$9,FALSE)-U49)</f>
        <v>#N/A</v>
      </c>
      <c r="BY49" s="306" t="e">
        <f>IF(V49="-","-",VLOOKUP($A49,AMABat!$A$10:$AS$1137,BY$9,FALSE)-V49)</f>
        <v>#N/A</v>
      </c>
      <c r="BZ49" s="306" t="e">
        <f>IF(W49="-","-",VLOOKUP($A49,AMABat!$A$10:$AS$1137,BZ$9,FALSE)-W49)</f>
        <v>#N/A</v>
      </c>
      <c r="CA49" s="306" t="e">
        <f>IF(X49="-","-",VLOOKUP($A49,AMABat!$A$10:$AS$1137,CA$9,FALSE)-X49)</f>
        <v>#N/A</v>
      </c>
      <c r="CB49" s="306" t="e">
        <f>IF(Y49="-","-",VLOOKUP($A49,AMABat!$A$10:$AS$1137,CB$9,FALSE)-Y49)</f>
        <v>#N/A</v>
      </c>
      <c r="CC49" s="306" t="e">
        <f>IF(Z49="-","-",VLOOKUP($A49,AMABat!$A$10:$AS$1137,CC$9,FALSE)-Z49)</f>
        <v>#N/A</v>
      </c>
      <c r="CD49" s="306" t="e">
        <f>IF(AA49="-","-",VLOOKUP($A49,AMABat!$A$10:$AS$1137,CD$9,FALSE)-AA49)</f>
        <v>#N/A</v>
      </c>
      <c r="CE49" s="306" t="e">
        <f>IF(AB49="-","-",VLOOKUP($A49,AMABat!$A$10:$AS$1137,CE$9,FALSE)-AB49)</f>
        <v>#N/A</v>
      </c>
      <c r="CF49" s="306" t="e">
        <f>IF(AC49="-","-",VLOOKUP($A49,AMABat!$A$10:$AS$1137,CF$9,FALSE)-AC49)</f>
        <v>#N/A</v>
      </c>
      <c r="CG49" s="306" t="e">
        <f>IF(AD49="-","-",VLOOKUP($A49,AMABat!$A$10:$AS$1137,CG$9,FALSE)-AD49)</f>
        <v>#N/A</v>
      </c>
      <c r="CH49" s="306" t="e">
        <f>IF(AE49="-","-",VLOOKUP($A49,AMABat!$A$10:$AS$1137,CH$9,FALSE)-AE49)</f>
        <v>#N/A</v>
      </c>
      <c r="CI49" s="306" t="str">
        <f>IF(AG49="-","-",VLOOKUP($A49,AMABat!$A$10:$AS$1137,CI$9,FALSE)-AG49)</f>
        <v>-</v>
      </c>
      <c r="CJ49" s="306" t="str">
        <f>IF(AH49="-","-",VLOOKUP($A49,AMABat!$A$10:$AS$1137,CJ$9,FALSE)-AH49)</f>
        <v>-</v>
      </c>
      <c r="CK49" s="306" t="e">
        <f>IF(AI49="-","-",VLOOKUP($A49,AMABat!$A$10:$AS$1137,CK$9,FALSE)-AI49)</f>
        <v>#N/A</v>
      </c>
      <c r="CL49" s="306" t="e">
        <f>IF(AJ49="-","-",VLOOKUP($A49,AMABat!$A$10:$AS$1137,CL$9,FALSE)-AJ49)</f>
        <v>#N/A</v>
      </c>
      <c r="CM49" s="306" t="e">
        <f>IF(AK49="-","-",VLOOKUP($A49,AMABat!$A$10:$AS$1137,CM$9,FALSE)-AK49)</f>
        <v>#N/A</v>
      </c>
      <c r="CN49" s="306" t="str">
        <f>IF(AL49="-","-",VLOOKUP($A49,AMABat!$A$10:$AS$1137,CN$9,FALSE)-AL49)</f>
        <v>-</v>
      </c>
      <c r="CO49" s="306" t="str">
        <f>IF(AM49="-","-",VLOOKUP($A49,AMABat!$A$10:$AS$1137,CO$9,FALSE)-AM49)</f>
        <v>-</v>
      </c>
      <c r="CP49" s="306" t="str">
        <f>IF(AN49="-","-",VLOOKUP($A49,AMABat!$A$10:$AS$1137,CP$9,FALSE)-AN49)</f>
        <v>-</v>
      </c>
      <c r="CQ49" s="306" t="e">
        <f>IF(AO49="-","-",VLOOKUP($A49,AMABat!$A$10:$AS$1137,CQ$9,FALSE)-AO49)</f>
        <v>#N/A</v>
      </c>
      <c r="CR49" s="306" t="e">
        <f>IF(AP49="-","-",VLOOKUP($A49,AMABat!$A$10:$AS$1137,CR$9,FALSE)-AP49)</f>
        <v>#N/A</v>
      </c>
      <c r="CS49" s="306" t="e">
        <f>IF(AQ49="-","-",VLOOKUP($A49,AMABat!$A$10:$AS$1137,CS$9,FALSE)-AQ49)</f>
        <v>#N/A</v>
      </c>
      <c r="CT49" s="84" t="e">
        <f t="shared" si="61"/>
        <v>#N/A</v>
      </c>
      <c r="CU49" s="84" t="e">
        <f t="shared" si="62"/>
        <v>#N/A</v>
      </c>
      <c r="CV49" s="84" t="e">
        <f t="shared" si="63"/>
        <v>#N/A</v>
      </c>
      <c r="CW49" s="84" t="e">
        <f t="shared" si="64"/>
        <v>#N/A</v>
      </c>
      <c r="CX49" s="84" t="e">
        <f t="shared" si="65"/>
        <v>#N/A</v>
      </c>
    </row>
    <row r="50" spans="1:102" x14ac:dyDescent="0.25">
      <c r="A50" s="306" t="s">
        <v>641</v>
      </c>
      <c r="B50" s="305" t="s">
        <v>534</v>
      </c>
      <c r="C50" s="305"/>
      <c r="D50" s="305" t="s">
        <v>32</v>
      </c>
      <c r="E50" s="305" t="s">
        <v>32</v>
      </c>
      <c r="F50" s="305" t="s">
        <v>72</v>
      </c>
      <c r="G50" t="s">
        <v>76</v>
      </c>
      <c r="H50" t="s">
        <v>717</v>
      </c>
      <c r="I50" s="305" t="s">
        <v>809</v>
      </c>
      <c r="J50" t="s">
        <v>814</v>
      </c>
      <c r="K50" t="s">
        <v>187</v>
      </c>
      <c r="L50">
        <v>20</v>
      </c>
      <c r="M50" t="s">
        <v>83</v>
      </c>
      <c r="N50" t="s">
        <v>83</v>
      </c>
      <c r="O50" t="s">
        <v>773</v>
      </c>
      <c r="P50" s="3" t="s">
        <v>865</v>
      </c>
      <c r="Q50" t="s">
        <v>200</v>
      </c>
      <c r="R50" s="3" t="s">
        <v>200</v>
      </c>
      <c r="S50">
        <v>4</v>
      </c>
      <c r="T50">
        <v>7</v>
      </c>
      <c r="U50">
        <v>4</v>
      </c>
      <c r="V50">
        <v>5</v>
      </c>
      <c r="W50" s="3">
        <v>5</v>
      </c>
      <c r="X50">
        <v>6</v>
      </c>
      <c r="Y50">
        <v>7</v>
      </c>
      <c r="Z50">
        <v>6</v>
      </c>
      <c r="AA50">
        <v>6</v>
      </c>
      <c r="AB50" s="3">
        <v>6</v>
      </c>
      <c r="AC50">
        <v>8</v>
      </c>
      <c r="AD50">
        <v>8</v>
      </c>
      <c r="AE50">
        <v>1</v>
      </c>
      <c r="AF50" s="305">
        <v>1</v>
      </c>
      <c r="AG50" t="s">
        <v>32</v>
      </c>
      <c r="AH50" t="s">
        <v>32</v>
      </c>
      <c r="AI50" t="s">
        <v>32</v>
      </c>
      <c r="AJ50">
        <v>3</v>
      </c>
      <c r="AK50">
        <v>6</v>
      </c>
      <c r="AL50" t="s">
        <v>32</v>
      </c>
      <c r="AM50" t="s">
        <v>32</v>
      </c>
      <c r="AN50" s="3">
        <v>1</v>
      </c>
      <c r="AO50">
        <v>9</v>
      </c>
      <c r="AP50">
        <v>6</v>
      </c>
      <c r="AQ50" s="3">
        <v>4</v>
      </c>
      <c r="AR50" s="78" t="s">
        <v>32</v>
      </c>
      <c r="AS50" s="3" t="s">
        <v>33</v>
      </c>
      <c r="AT50" s="372" t="s">
        <v>199</v>
      </c>
      <c r="AU50" s="6">
        <f t="shared" si="34"/>
        <v>3.333333333333333</v>
      </c>
      <c r="AV50" s="9" t="str">
        <f t="shared" si="35"/>
        <v>Minors</v>
      </c>
      <c r="AW50" s="6">
        <f t="shared" si="36"/>
        <v>6.5</v>
      </c>
      <c r="AX50" s="6" t="str">
        <f t="shared" si="37"/>
        <v>Reg</v>
      </c>
      <c r="AY50" s="9">
        <f t="shared" si="38"/>
        <v>6.5</v>
      </c>
      <c r="AZ50" s="9" t="str">
        <f t="shared" si="39"/>
        <v>Reg</v>
      </c>
      <c r="BA50" s="46">
        <f t="shared" si="40"/>
        <v>0</v>
      </c>
      <c r="BB50" s="5">
        <f t="shared" si="41"/>
        <v>0</v>
      </c>
      <c r="BC50" s="5">
        <f t="shared" si="42"/>
        <v>0</v>
      </c>
      <c r="BD50" s="5">
        <f t="shared" si="43"/>
        <v>0</v>
      </c>
      <c r="BE50" s="5">
        <f t="shared" si="44"/>
        <v>0</v>
      </c>
      <c r="BF50" s="5">
        <f t="shared" si="45"/>
        <v>0</v>
      </c>
      <c r="BG50" s="5">
        <f t="shared" si="46"/>
        <v>0</v>
      </c>
      <c r="BH50" s="5">
        <f t="shared" si="47"/>
        <v>0</v>
      </c>
      <c r="BI50" s="3">
        <f t="shared" si="48"/>
        <v>0</v>
      </c>
      <c r="BJ50" s="46">
        <f t="shared" si="49"/>
        <v>0</v>
      </c>
      <c r="BK50" s="5">
        <f t="shared" si="50"/>
        <v>0</v>
      </c>
      <c r="BL50" s="5">
        <f t="shared" si="51"/>
        <v>0</v>
      </c>
      <c r="BM50" s="5">
        <f t="shared" si="52"/>
        <v>0</v>
      </c>
      <c r="BN50" s="5">
        <f t="shared" si="53"/>
        <v>0</v>
      </c>
      <c r="BO50" s="5">
        <f t="shared" si="54"/>
        <v>0</v>
      </c>
      <c r="BP50" s="5">
        <f t="shared" si="55"/>
        <v>0</v>
      </c>
      <c r="BQ50" s="5">
        <f t="shared" si="56"/>
        <v>1</v>
      </c>
      <c r="BR50" s="3">
        <f t="shared" si="57"/>
        <v>1</v>
      </c>
      <c r="BS50" s="3">
        <f t="shared" si="58"/>
        <v>2</v>
      </c>
      <c r="BT50" s="7">
        <f t="shared" si="59"/>
        <v>1</v>
      </c>
      <c r="BU50" t="str">
        <f t="shared" si="60"/>
        <v/>
      </c>
      <c r="BV50" s="306" t="e">
        <f>IF(S50="-","-",VLOOKUP($A50,AMABat!$A$10:$AS$1137,BV$9,FALSE)-S50)</f>
        <v>#N/A</v>
      </c>
      <c r="BW50" s="306" t="e">
        <f>IF(T50="-","-",VLOOKUP($A50,AMABat!$A$10:$AS$1137,BW$9,FALSE)-T50)</f>
        <v>#N/A</v>
      </c>
      <c r="BX50" s="306" t="e">
        <f>IF(U50="-","-",VLOOKUP($A50,AMABat!$A$10:$AS$1137,BX$9,FALSE)-U50)</f>
        <v>#N/A</v>
      </c>
      <c r="BY50" s="306" t="e">
        <f>IF(V50="-","-",VLOOKUP($A50,AMABat!$A$10:$AS$1137,BY$9,FALSE)-V50)</f>
        <v>#N/A</v>
      </c>
      <c r="BZ50" s="306" t="e">
        <f>IF(W50="-","-",VLOOKUP($A50,AMABat!$A$10:$AS$1137,BZ$9,FALSE)-W50)</f>
        <v>#N/A</v>
      </c>
      <c r="CA50" s="306" t="e">
        <f>IF(X50="-","-",VLOOKUP($A50,AMABat!$A$10:$AS$1137,CA$9,FALSE)-X50)</f>
        <v>#N/A</v>
      </c>
      <c r="CB50" s="306" t="e">
        <f>IF(Y50="-","-",VLOOKUP($A50,AMABat!$A$10:$AS$1137,CB$9,FALSE)-Y50)</f>
        <v>#N/A</v>
      </c>
      <c r="CC50" s="306" t="e">
        <f>IF(Z50="-","-",VLOOKUP($A50,AMABat!$A$10:$AS$1137,CC$9,FALSE)-Z50)</f>
        <v>#N/A</v>
      </c>
      <c r="CD50" s="306" t="e">
        <f>IF(AA50="-","-",VLOOKUP($A50,AMABat!$A$10:$AS$1137,CD$9,FALSE)-AA50)</f>
        <v>#N/A</v>
      </c>
      <c r="CE50" s="306" t="e">
        <f>IF(AB50="-","-",VLOOKUP($A50,AMABat!$A$10:$AS$1137,CE$9,FALSE)-AB50)</f>
        <v>#N/A</v>
      </c>
      <c r="CF50" s="306" t="e">
        <f>IF(AC50="-","-",VLOOKUP($A50,AMABat!$A$10:$AS$1137,CF$9,FALSE)-AC50)</f>
        <v>#N/A</v>
      </c>
      <c r="CG50" s="306" t="e">
        <f>IF(AD50="-","-",VLOOKUP($A50,AMABat!$A$10:$AS$1137,CG$9,FALSE)-AD50)</f>
        <v>#N/A</v>
      </c>
      <c r="CH50" s="306" t="e">
        <f>IF(AE50="-","-",VLOOKUP($A50,AMABat!$A$10:$AS$1137,CH$9,FALSE)-AE50)</f>
        <v>#N/A</v>
      </c>
      <c r="CI50" s="306" t="str">
        <f>IF(AG50="-","-",VLOOKUP($A50,AMABat!$A$10:$AS$1137,CI$9,FALSE)-AG50)</f>
        <v>-</v>
      </c>
      <c r="CJ50" s="306" t="str">
        <f>IF(AH50="-","-",VLOOKUP($A50,AMABat!$A$10:$AS$1137,CJ$9,FALSE)-AH50)</f>
        <v>-</v>
      </c>
      <c r="CK50" s="306" t="str">
        <f>IF(AI50="-","-",VLOOKUP($A50,AMABat!$A$10:$AS$1137,CK$9,FALSE)-AI50)</f>
        <v>-</v>
      </c>
      <c r="CL50" s="306" t="e">
        <f>IF(AJ50="-","-",VLOOKUP($A50,AMABat!$A$10:$AS$1137,CL$9,FALSE)-AJ50)</f>
        <v>#N/A</v>
      </c>
      <c r="CM50" s="306" t="e">
        <f>IF(AK50="-","-",VLOOKUP($A50,AMABat!$A$10:$AS$1137,CM$9,FALSE)-AK50)</f>
        <v>#N/A</v>
      </c>
      <c r="CN50" s="306" t="str">
        <f>IF(AL50="-","-",VLOOKUP($A50,AMABat!$A$10:$AS$1137,CN$9,FALSE)-AL50)</f>
        <v>-</v>
      </c>
      <c r="CO50" s="306" t="str">
        <f>IF(AM50="-","-",VLOOKUP($A50,AMABat!$A$10:$AS$1137,CO$9,FALSE)-AM50)</f>
        <v>-</v>
      </c>
      <c r="CP50" s="306" t="e">
        <f>IF(AN50="-","-",VLOOKUP($A50,AMABat!$A$10:$AS$1137,CP$9,FALSE)-AN50)</f>
        <v>#N/A</v>
      </c>
      <c r="CQ50" s="306" t="e">
        <f>IF(AO50="-","-",VLOOKUP($A50,AMABat!$A$10:$AS$1137,CQ$9,FALSE)-AO50)</f>
        <v>#N/A</v>
      </c>
      <c r="CR50" s="306" t="e">
        <f>IF(AP50="-","-",VLOOKUP($A50,AMABat!$A$10:$AS$1137,CR$9,FALSE)-AP50)</f>
        <v>#N/A</v>
      </c>
      <c r="CS50" s="306" t="e">
        <f>IF(AQ50="-","-",VLOOKUP($A50,AMABat!$A$10:$AS$1137,CS$9,FALSE)-AQ50)</f>
        <v>#N/A</v>
      </c>
      <c r="CT50" s="84" t="e">
        <f t="shared" si="61"/>
        <v>#N/A</v>
      </c>
      <c r="CU50" s="84" t="e">
        <f t="shared" si="62"/>
        <v>#N/A</v>
      </c>
      <c r="CV50" s="84" t="e">
        <f t="shared" si="63"/>
        <v>#N/A</v>
      </c>
      <c r="CW50" s="84" t="e">
        <f t="shared" si="64"/>
        <v>#N/A</v>
      </c>
      <c r="CX50" s="84" t="e">
        <f t="shared" si="65"/>
        <v>#N/A</v>
      </c>
    </row>
    <row r="51" spans="1:102" x14ac:dyDescent="0.25">
      <c r="A51" s="306" t="s">
        <v>642</v>
      </c>
      <c r="B51" s="305" t="s">
        <v>534</v>
      </c>
      <c r="C51" s="305"/>
      <c r="D51" s="305" t="s">
        <v>32</v>
      </c>
      <c r="E51" s="305" t="s">
        <v>32</v>
      </c>
      <c r="F51" s="305" t="s">
        <v>81</v>
      </c>
      <c r="G51" t="s">
        <v>78</v>
      </c>
      <c r="H51" t="s">
        <v>407</v>
      </c>
      <c r="I51" s="305" t="s">
        <v>792</v>
      </c>
      <c r="J51" t="s">
        <v>802</v>
      </c>
      <c r="K51" t="s">
        <v>277</v>
      </c>
      <c r="L51">
        <v>22</v>
      </c>
      <c r="M51" t="s">
        <v>83</v>
      </c>
      <c r="N51" t="s">
        <v>83</v>
      </c>
      <c r="O51" t="s">
        <v>773</v>
      </c>
      <c r="P51" s="3" t="s">
        <v>764</v>
      </c>
      <c r="Q51" t="s">
        <v>199</v>
      </c>
      <c r="R51" s="3" t="s">
        <v>199</v>
      </c>
      <c r="S51">
        <v>4</v>
      </c>
      <c r="T51">
        <v>5</v>
      </c>
      <c r="U51">
        <v>5</v>
      </c>
      <c r="V51">
        <v>4</v>
      </c>
      <c r="W51" s="3">
        <v>4</v>
      </c>
      <c r="X51">
        <v>5</v>
      </c>
      <c r="Y51">
        <v>6</v>
      </c>
      <c r="Z51">
        <v>6</v>
      </c>
      <c r="AA51">
        <v>5</v>
      </c>
      <c r="AB51" s="3">
        <v>6</v>
      </c>
      <c r="AC51">
        <v>2</v>
      </c>
      <c r="AD51">
        <v>5</v>
      </c>
      <c r="AE51">
        <v>1</v>
      </c>
      <c r="AF51" s="305">
        <v>1</v>
      </c>
      <c r="AG51" t="s">
        <v>32</v>
      </c>
      <c r="AH51" t="s">
        <v>32</v>
      </c>
      <c r="AI51" t="s">
        <v>32</v>
      </c>
      <c r="AJ51" t="s">
        <v>32</v>
      </c>
      <c r="AK51" t="s">
        <v>32</v>
      </c>
      <c r="AL51">
        <v>2</v>
      </c>
      <c r="AM51">
        <v>8</v>
      </c>
      <c r="AN51" s="3">
        <v>1</v>
      </c>
      <c r="AO51">
        <v>10</v>
      </c>
      <c r="AP51">
        <v>4</v>
      </c>
      <c r="AQ51" s="3">
        <v>5</v>
      </c>
      <c r="AR51" s="78" t="s">
        <v>32</v>
      </c>
      <c r="AS51" s="3" t="s">
        <v>33</v>
      </c>
      <c r="AT51" s="372" t="s">
        <v>199</v>
      </c>
      <c r="AU51" s="6">
        <f t="shared" si="34"/>
        <v>3.333333333333333</v>
      </c>
      <c r="AV51" s="9" t="str">
        <f t="shared" si="35"/>
        <v>Minors</v>
      </c>
      <c r="AW51" s="6">
        <f t="shared" si="36"/>
        <v>4.833333333333333</v>
      </c>
      <c r="AX51" s="6" t="str">
        <f t="shared" si="37"/>
        <v>Bench</v>
      </c>
      <c r="AY51" s="9">
        <f t="shared" si="38"/>
        <v>4.833333333333333</v>
      </c>
      <c r="AZ51" s="9" t="str">
        <f t="shared" si="39"/>
        <v>Bench</v>
      </c>
      <c r="BA51" s="46">
        <f t="shared" si="40"/>
        <v>0</v>
      </c>
      <c r="BB51" s="5">
        <f t="shared" si="41"/>
        <v>0</v>
      </c>
      <c r="BC51" s="5">
        <f t="shared" si="42"/>
        <v>0</v>
      </c>
      <c r="BD51" s="5">
        <f t="shared" si="43"/>
        <v>0</v>
      </c>
      <c r="BE51" s="5">
        <f t="shared" si="44"/>
        <v>0</v>
      </c>
      <c r="BF51" s="5">
        <f t="shared" si="45"/>
        <v>0</v>
      </c>
      <c r="BG51" s="5">
        <f t="shared" si="46"/>
        <v>0</v>
      </c>
      <c r="BH51" s="5">
        <f t="shared" si="47"/>
        <v>0</v>
      </c>
      <c r="BI51" s="3">
        <f t="shared" si="48"/>
        <v>0</v>
      </c>
      <c r="BJ51" s="46">
        <f t="shared" si="49"/>
        <v>0</v>
      </c>
      <c r="BK51" s="5">
        <f t="shared" si="50"/>
        <v>0</v>
      </c>
      <c r="BL51" s="5">
        <f t="shared" si="51"/>
        <v>0</v>
      </c>
      <c r="BM51" s="5">
        <f t="shared" si="52"/>
        <v>0</v>
      </c>
      <c r="BN51" s="5">
        <f t="shared" si="53"/>
        <v>0</v>
      </c>
      <c r="BO51" s="5">
        <f t="shared" si="54"/>
        <v>0</v>
      </c>
      <c r="BP51" s="5">
        <f t="shared" si="55"/>
        <v>0</v>
      </c>
      <c r="BQ51" s="5">
        <f t="shared" si="56"/>
        <v>0</v>
      </c>
      <c r="BR51" s="3">
        <f t="shared" si="57"/>
        <v>0</v>
      </c>
      <c r="BS51" s="3">
        <f t="shared" si="58"/>
        <v>1</v>
      </c>
      <c r="BT51" s="7">
        <f t="shared" si="59"/>
        <v>2</v>
      </c>
      <c r="BU51" t="str">
        <f t="shared" si="60"/>
        <v/>
      </c>
      <c r="BV51" s="306" t="e">
        <f>IF(S51="-","-",VLOOKUP($A51,AMABat!$A$10:$AS$1137,BV$9,FALSE)-S51)</f>
        <v>#N/A</v>
      </c>
      <c r="BW51" s="306" t="e">
        <f>IF(T51="-","-",VLOOKUP($A51,AMABat!$A$10:$AS$1137,BW$9,FALSE)-T51)</f>
        <v>#N/A</v>
      </c>
      <c r="BX51" s="306" t="e">
        <f>IF(U51="-","-",VLOOKUP($A51,AMABat!$A$10:$AS$1137,BX$9,FALSE)-U51)</f>
        <v>#N/A</v>
      </c>
      <c r="BY51" s="306" t="e">
        <f>IF(V51="-","-",VLOOKUP($A51,AMABat!$A$10:$AS$1137,BY$9,FALSE)-V51)</f>
        <v>#N/A</v>
      </c>
      <c r="BZ51" s="306" t="e">
        <f>IF(W51="-","-",VLOOKUP($A51,AMABat!$A$10:$AS$1137,BZ$9,FALSE)-W51)</f>
        <v>#N/A</v>
      </c>
      <c r="CA51" s="306" t="e">
        <f>IF(X51="-","-",VLOOKUP($A51,AMABat!$A$10:$AS$1137,CA$9,FALSE)-X51)</f>
        <v>#N/A</v>
      </c>
      <c r="CB51" s="306" t="e">
        <f>IF(Y51="-","-",VLOOKUP($A51,AMABat!$A$10:$AS$1137,CB$9,FALSE)-Y51)</f>
        <v>#N/A</v>
      </c>
      <c r="CC51" s="306" t="e">
        <f>IF(Z51="-","-",VLOOKUP($A51,AMABat!$A$10:$AS$1137,CC$9,FALSE)-Z51)</f>
        <v>#N/A</v>
      </c>
      <c r="CD51" s="306" t="e">
        <f>IF(AA51="-","-",VLOOKUP($A51,AMABat!$A$10:$AS$1137,CD$9,FALSE)-AA51)</f>
        <v>#N/A</v>
      </c>
      <c r="CE51" s="306" t="e">
        <f>IF(AB51="-","-",VLOOKUP($A51,AMABat!$A$10:$AS$1137,CE$9,FALSE)-AB51)</f>
        <v>#N/A</v>
      </c>
      <c r="CF51" s="306" t="e">
        <f>IF(AC51="-","-",VLOOKUP($A51,AMABat!$A$10:$AS$1137,CF$9,FALSE)-AC51)</f>
        <v>#N/A</v>
      </c>
      <c r="CG51" s="306" t="e">
        <f>IF(AD51="-","-",VLOOKUP($A51,AMABat!$A$10:$AS$1137,CG$9,FALSE)-AD51)</f>
        <v>#N/A</v>
      </c>
      <c r="CH51" s="306" t="e">
        <f>IF(AE51="-","-",VLOOKUP($A51,AMABat!$A$10:$AS$1137,CH$9,FALSE)-AE51)</f>
        <v>#N/A</v>
      </c>
      <c r="CI51" s="306" t="str">
        <f>IF(AG51="-","-",VLOOKUP($A51,AMABat!$A$10:$AS$1137,CI$9,FALSE)-AG51)</f>
        <v>-</v>
      </c>
      <c r="CJ51" s="306" t="str">
        <f>IF(AH51="-","-",VLOOKUP($A51,AMABat!$A$10:$AS$1137,CJ$9,FALSE)-AH51)</f>
        <v>-</v>
      </c>
      <c r="CK51" s="306" t="str">
        <f>IF(AI51="-","-",VLOOKUP($A51,AMABat!$A$10:$AS$1137,CK$9,FALSE)-AI51)</f>
        <v>-</v>
      </c>
      <c r="CL51" s="306" t="str">
        <f>IF(AJ51="-","-",VLOOKUP($A51,AMABat!$A$10:$AS$1137,CL$9,FALSE)-AJ51)</f>
        <v>-</v>
      </c>
      <c r="CM51" s="306" t="str">
        <f>IF(AK51="-","-",VLOOKUP($A51,AMABat!$A$10:$AS$1137,CM$9,FALSE)-AK51)</f>
        <v>-</v>
      </c>
      <c r="CN51" s="306" t="e">
        <f>IF(AL51="-","-",VLOOKUP($A51,AMABat!$A$10:$AS$1137,CN$9,FALSE)-AL51)</f>
        <v>#N/A</v>
      </c>
      <c r="CO51" s="306" t="e">
        <f>IF(AM51="-","-",VLOOKUP($A51,AMABat!$A$10:$AS$1137,CO$9,FALSE)-AM51)</f>
        <v>#N/A</v>
      </c>
      <c r="CP51" s="306" t="e">
        <f>IF(AN51="-","-",VLOOKUP($A51,AMABat!$A$10:$AS$1137,CP$9,FALSE)-AN51)</f>
        <v>#N/A</v>
      </c>
      <c r="CQ51" s="306" t="e">
        <f>IF(AO51="-","-",VLOOKUP($A51,AMABat!$A$10:$AS$1137,CQ$9,FALSE)-AO51)</f>
        <v>#N/A</v>
      </c>
      <c r="CR51" s="306" t="e">
        <f>IF(AP51="-","-",VLOOKUP($A51,AMABat!$A$10:$AS$1137,CR$9,FALSE)-AP51)</f>
        <v>#N/A</v>
      </c>
      <c r="CS51" s="306" t="e">
        <f>IF(AQ51="-","-",VLOOKUP($A51,AMABat!$A$10:$AS$1137,CS$9,FALSE)-AQ51)</f>
        <v>#N/A</v>
      </c>
      <c r="CT51" s="84" t="e">
        <f t="shared" si="61"/>
        <v>#N/A</v>
      </c>
      <c r="CU51" s="84" t="e">
        <f t="shared" si="62"/>
        <v>#N/A</v>
      </c>
      <c r="CV51" s="84" t="e">
        <f t="shared" si="63"/>
        <v>#N/A</v>
      </c>
      <c r="CW51" s="84" t="e">
        <f t="shared" si="64"/>
        <v>#N/A</v>
      </c>
      <c r="CX51" s="84" t="e">
        <f t="shared" si="65"/>
        <v>#N/A</v>
      </c>
    </row>
    <row r="52" spans="1:102" x14ac:dyDescent="0.25">
      <c r="A52" s="306" t="s">
        <v>643</v>
      </c>
      <c r="B52" s="305"/>
      <c r="C52" s="305"/>
      <c r="D52" s="305" t="s">
        <v>32</v>
      </c>
      <c r="E52" s="305" t="s">
        <v>32</v>
      </c>
      <c r="F52" s="305" t="s">
        <v>72</v>
      </c>
      <c r="G52" t="s">
        <v>75</v>
      </c>
      <c r="H52" t="s">
        <v>812</v>
      </c>
      <c r="I52" s="305" t="s">
        <v>813</v>
      </c>
      <c r="J52" t="s">
        <v>814</v>
      </c>
      <c r="K52" t="s">
        <v>187</v>
      </c>
      <c r="L52">
        <v>24</v>
      </c>
      <c r="M52" t="s">
        <v>82</v>
      </c>
      <c r="N52" t="s">
        <v>83</v>
      </c>
      <c r="O52" t="s">
        <v>773</v>
      </c>
      <c r="P52" s="224" t="s">
        <v>764</v>
      </c>
      <c r="Q52" t="s">
        <v>200</v>
      </c>
      <c r="R52" s="224" t="s">
        <v>200</v>
      </c>
      <c r="S52">
        <v>4</v>
      </c>
      <c r="T52">
        <v>4</v>
      </c>
      <c r="U52">
        <v>5</v>
      </c>
      <c r="V52">
        <v>4</v>
      </c>
      <c r="W52" s="224">
        <v>2</v>
      </c>
      <c r="X52">
        <v>4</v>
      </c>
      <c r="Y52">
        <v>4</v>
      </c>
      <c r="Z52">
        <v>6</v>
      </c>
      <c r="AA52">
        <v>6</v>
      </c>
      <c r="AB52" s="224">
        <v>3</v>
      </c>
      <c r="AC52">
        <v>10</v>
      </c>
      <c r="AD52">
        <v>8</v>
      </c>
      <c r="AE52">
        <v>1</v>
      </c>
      <c r="AF52" s="305">
        <v>1</v>
      </c>
      <c r="AG52" t="s">
        <v>32</v>
      </c>
      <c r="AH52" t="s">
        <v>32</v>
      </c>
      <c r="AI52">
        <v>1</v>
      </c>
      <c r="AJ52">
        <v>6</v>
      </c>
      <c r="AK52" t="s">
        <v>32</v>
      </c>
      <c r="AL52" t="s">
        <v>32</v>
      </c>
      <c r="AM52" t="s">
        <v>32</v>
      </c>
      <c r="AN52" s="224" t="s">
        <v>32</v>
      </c>
      <c r="AO52">
        <v>3</v>
      </c>
      <c r="AP52">
        <v>3</v>
      </c>
      <c r="AQ52" s="224">
        <v>4</v>
      </c>
      <c r="AR52" t="s">
        <v>32</v>
      </c>
      <c r="AS52" s="224">
        <v>0</v>
      </c>
      <c r="AT52" s="372" t="s">
        <v>199</v>
      </c>
      <c r="AU52" s="6">
        <f t="shared" si="34"/>
        <v>3.333333333333333</v>
      </c>
      <c r="AV52" s="9" t="str">
        <f t="shared" si="35"/>
        <v>Minors</v>
      </c>
      <c r="AW52" s="6">
        <f t="shared" si="36"/>
        <v>4.333333333333333</v>
      </c>
      <c r="AX52" s="6" t="str">
        <f t="shared" si="37"/>
        <v>Bench</v>
      </c>
      <c r="AY52" s="9">
        <f t="shared" si="38"/>
        <v>4.333333333333333</v>
      </c>
      <c r="AZ52" s="9" t="str">
        <f t="shared" si="39"/>
        <v>Bench</v>
      </c>
      <c r="BA52" s="46">
        <f t="shared" si="40"/>
        <v>0</v>
      </c>
      <c r="BB52" s="223">
        <f t="shared" si="41"/>
        <v>0</v>
      </c>
      <c r="BC52" s="223">
        <f t="shared" si="42"/>
        <v>0</v>
      </c>
      <c r="BD52" s="223">
        <f t="shared" si="43"/>
        <v>0</v>
      </c>
      <c r="BE52" s="223">
        <f t="shared" si="44"/>
        <v>0</v>
      </c>
      <c r="BF52" s="223">
        <f t="shared" si="45"/>
        <v>0</v>
      </c>
      <c r="BG52" s="223">
        <f t="shared" si="46"/>
        <v>0</v>
      </c>
      <c r="BH52" s="223">
        <f t="shared" si="47"/>
        <v>0</v>
      </c>
      <c r="BI52" s="224">
        <f t="shared" si="48"/>
        <v>0</v>
      </c>
      <c r="BJ52" s="46">
        <f t="shared" si="49"/>
        <v>0</v>
      </c>
      <c r="BK52" s="223">
        <f t="shared" si="50"/>
        <v>0</v>
      </c>
      <c r="BL52" s="223">
        <f t="shared" si="51"/>
        <v>0</v>
      </c>
      <c r="BM52" s="223">
        <f t="shared" si="52"/>
        <v>0</v>
      </c>
      <c r="BN52" s="223">
        <f t="shared" si="53"/>
        <v>0</v>
      </c>
      <c r="BO52" s="223">
        <f t="shared" si="54"/>
        <v>0</v>
      </c>
      <c r="BP52" s="223">
        <f t="shared" si="55"/>
        <v>0</v>
      </c>
      <c r="BQ52" s="223">
        <f t="shared" si="56"/>
        <v>0</v>
      </c>
      <c r="BR52" s="224">
        <f t="shared" si="57"/>
        <v>0</v>
      </c>
      <c r="BS52" s="224">
        <f t="shared" si="58"/>
        <v>0</v>
      </c>
      <c r="BT52" s="7">
        <f t="shared" si="59"/>
        <v>1</v>
      </c>
      <c r="BU52" t="str">
        <f t="shared" si="60"/>
        <v/>
      </c>
      <c r="BV52" s="306" t="e">
        <f>IF(S52="-","-",VLOOKUP($A52,AMABat!$A$10:$AS$1137,BV$9,FALSE)-S52)</f>
        <v>#N/A</v>
      </c>
      <c r="BW52" s="306" t="e">
        <f>IF(T52="-","-",VLOOKUP($A52,AMABat!$A$10:$AS$1137,BW$9,FALSE)-T52)</f>
        <v>#N/A</v>
      </c>
      <c r="BX52" s="306" t="e">
        <f>IF(U52="-","-",VLOOKUP($A52,AMABat!$A$10:$AS$1137,BX$9,FALSE)-U52)</f>
        <v>#N/A</v>
      </c>
      <c r="BY52" s="306" t="e">
        <f>IF(V52="-","-",VLOOKUP($A52,AMABat!$A$10:$AS$1137,BY$9,FALSE)-V52)</f>
        <v>#N/A</v>
      </c>
      <c r="BZ52" s="306" t="e">
        <f>IF(W52="-","-",VLOOKUP($A52,AMABat!$A$10:$AS$1137,BZ$9,FALSE)-W52)</f>
        <v>#N/A</v>
      </c>
      <c r="CA52" s="306" t="e">
        <f>IF(X52="-","-",VLOOKUP($A52,AMABat!$A$10:$AS$1137,CA$9,FALSE)-X52)</f>
        <v>#N/A</v>
      </c>
      <c r="CB52" s="306" t="e">
        <f>IF(Y52="-","-",VLOOKUP($A52,AMABat!$A$10:$AS$1137,CB$9,FALSE)-Y52)</f>
        <v>#N/A</v>
      </c>
      <c r="CC52" s="306" t="e">
        <f>IF(Z52="-","-",VLOOKUP($A52,AMABat!$A$10:$AS$1137,CC$9,FALSE)-Z52)</f>
        <v>#N/A</v>
      </c>
      <c r="CD52" s="306" t="e">
        <f>IF(AA52="-","-",VLOOKUP($A52,AMABat!$A$10:$AS$1137,CD$9,FALSE)-AA52)</f>
        <v>#N/A</v>
      </c>
      <c r="CE52" s="306" t="e">
        <f>IF(AB52="-","-",VLOOKUP($A52,AMABat!$A$10:$AS$1137,CE$9,FALSE)-AB52)</f>
        <v>#N/A</v>
      </c>
      <c r="CF52" s="306" t="e">
        <f>IF(AC52="-","-",VLOOKUP($A52,AMABat!$A$10:$AS$1137,CF$9,FALSE)-AC52)</f>
        <v>#N/A</v>
      </c>
      <c r="CG52" s="306" t="e">
        <f>IF(AD52="-","-",VLOOKUP($A52,AMABat!$A$10:$AS$1137,CG$9,FALSE)-AD52)</f>
        <v>#N/A</v>
      </c>
      <c r="CH52" s="306" t="e">
        <f>IF(AE52="-","-",VLOOKUP($A52,AMABat!$A$10:$AS$1137,CH$9,FALSE)-AE52)</f>
        <v>#N/A</v>
      </c>
      <c r="CI52" s="306" t="str">
        <f>IF(AG52="-","-",VLOOKUP($A52,AMABat!$A$10:$AS$1137,CI$9,FALSE)-AG52)</f>
        <v>-</v>
      </c>
      <c r="CJ52" s="306" t="str">
        <f>IF(AH52="-","-",VLOOKUP($A52,AMABat!$A$10:$AS$1137,CJ$9,FALSE)-AH52)</f>
        <v>-</v>
      </c>
      <c r="CK52" s="306" t="e">
        <f>IF(AI52="-","-",VLOOKUP($A52,AMABat!$A$10:$AS$1137,CK$9,FALSE)-AI52)</f>
        <v>#N/A</v>
      </c>
      <c r="CL52" s="306" t="e">
        <f>IF(AJ52="-","-",VLOOKUP($A52,AMABat!$A$10:$AS$1137,CL$9,FALSE)-AJ52)</f>
        <v>#N/A</v>
      </c>
      <c r="CM52" s="306" t="str">
        <f>IF(AK52="-","-",VLOOKUP($A52,AMABat!$A$10:$AS$1137,CM$9,FALSE)-AK52)</f>
        <v>-</v>
      </c>
      <c r="CN52" s="306" t="str">
        <f>IF(AL52="-","-",VLOOKUP($A52,AMABat!$A$10:$AS$1137,CN$9,FALSE)-AL52)</f>
        <v>-</v>
      </c>
      <c r="CO52" s="306" t="str">
        <f>IF(AM52="-","-",VLOOKUP($A52,AMABat!$A$10:$AS$1137,CO$9,FALSE)-AM52)</f>
        <v>-</v>
      </c>
      <c r="CP52" s="306" t="str">
        <f>IF(AN52="-","-",VLOOKUP($A52,AMABat!$A$10:$AS$1137,CP$9,FALSE)-AN52)</f>
        <v>-</v>
      </c>
      <c r="CQ52" s="306" t="e">
        <f>IF(AO52="-","-",VLOOKUP($A52,AMABat!$A$10:$AS$1137,CQ$9,FALSE)-AO52)</f>
        <v>#N/A</v>
      </c>
      <c r="CR52" s="306" t="e">
        <f>IF(AP52="-","-",VLOOKUP($A52,AMABat!$A$10:$AS$1137,CR$9,FALSE)-AP52)</f>
        <v>#N/A</v>
      </c>
      <c r="CS52" s="306" t="e">
        <f>IF(AQ52="-","-",VLOOKUP($A52,AMABat!$A$10:$AS$1137,CS$9,FALSE)-AQ52)</f>
        <v>#N/A</v>
      </c>
      <c r="CT52" s="84" t="e">
        <f t="shared" si="61"/>
        <v>#N/A</v>
      </c>
      <c r="CU52" s="84" t="e">
        <f t="shared" si="62"/>
        <v>#N/A</v>
      </c>
      <c r="CV52" s="84" t="e">
        <f t="shared" si="63"/>
        <v>#N/A</v>
      </c>
      <c r="CW52" s="84" t="e">
        <f t="shared" si="64"/>
        <v>#N/A</v>
      </c>
      <c r="CX52" s="84" t="e">
        <f t="shared" si="65"/>
        <v>#N/A</v>
      </c>
    </row>
    <row r="53" spans="1:102" x14ac:dyDescent="0.25">
      <c r="A53" s="306" t="s">
        <v>644</v>
      </c>
      <c r="B53" s="305" t="s">
        <v>534</v>
      </c>
      <c r="C53" s="305"/>
      <c r="D53" s="305" t="s">
        <v>32</v>
      </c>
      <c r="E53" s="305" t="s">
        <v>32</v>
      </c>
      <c r="F53" s="305" t="s">
        <v>72</v>
      </c>
      <c r="G53" t="s">
        <v>77</v>
      </c>
      <c r="H53" t="s">
        <v>830</v>
      </c>
      <c r="I53" s="305" t="s">
        <v>831</v>
      </c>
      <c r="J53" t="s">
        <v>814</v>
      </c>
      <c r="K53" t="s">
        <v>187</v>
      </c>
      <c r="L53">
        <v>24</v>
      </c>
      <c r="M53" t="s">
        <v>83</v>
      </c>
      <c r="N53" t="s">
        <v>83</v>
      </c>
      <c r="O53" t="s">
        <v>808</v>
      </c>
      <c r="P53" s="233" t="s">
        <v>773</v>
      </c>
      <c r="Q53" t="s">
        <v>200</v>
      </c>
      <c r="R53" s="233" t="s">
        <v>200</v>
      </c>
      <c r="S53">
        <v>4</v>
      </c>
      <c r="T53">
        <v>5</v>
      </c>
      <c r="U53">
        <v>4</v>
      </c>
      <c r="V53">
        <v>5</v>
      </c>
      <c r="W53" s="233">
        <v>7</v>
      </c>
      <c r="X53">
        <v>5</v>
      </c>
      <c r="Y53">
        <v>5</v>
      </c>
      <c r="Z53">
        <v>4</v>
      </c>
      <c r="AA53">
        <v>5</v>
      </c>
      <c r="AB53" s="233">
        <v>7</v>
      </c>
      <c r="AC53">
        <v>3</v>
      </c>
      <c r="AD53">
        <v>6</v>
      </c>
      <c r="AE53">
        <v>1</v>
      </c>
      <c r="AF53" s="305">
        <v>1</v>
      </c>
      <c r="AG53" t="s">
        <v>32</v>
      </c>
      <c r="AH53">
        <v>1</v>
      </c>
      <c r="AI53" t="s">
        <v>32</v>
      </c>
      <c r="AJ53" t="s">
        <v>32</v>
      </c>
      <c r="AK53" t="s">
        <v>32</v>
      </c>
      <c r="AL53">
        <v>6</v>
      </c>
      <c r="AM53">
        <v>1</v>
      </c>
      <c r="AN53" s="233" t="s">
        <v>32</v>
      </c>
      <c r="AO53">
        <v>8</v>
      </c>
      <c r="AP53">
        <v>8</v>
      </c>
      <c r="AQ53" s="233">
        <v>5</v>
      </c>
      <c r="AR53" s="78" t="s">
        <v>32</v>
      </c>
      <c r="AS53" s="233">
        <v>0</v>
      </c>
      <c r="AT53" s="372" t="s">
        <v>779</v>
      </c>
      <c r="AU53" s="6">
        <f t="shared" si="34"/>
        <v>3.333333333333333</v>
      </c>
      <c r="AV53" s="9" t="str">
        <f t="shared" si="35"/>
        <v>Minors</v>
      </c>
      <c r="AW53" s="6">
        <f t="shared" si="36"/>
        <v>4.166666666666667</v>
      </c>
      <c r="AX53" s="6" t="str">
        <f t="shared" si="37"/>
        <v>Bench</v>
      </c>
      <c r="AY53" s="9">
        <f t="shared" si="38"/>
        <v>4.166666666666667</v>
      </c>
      <c r="AZ53" s="9" t="str">
        <f t="shared" si="39"/>
        <v>Bench</v>
      </c>
      <c r="BA53" s="46">
        <f t="shared" si="40"/>
        <v>0</v>
      </c>
      <c r="BB53" s="232">
        <f t="shared" si="41"/>
        <v>0</v>
      </c>
      <c r="BC53" s="232">
        <f t="shared" si="42"/>
        <v>0</v>
      </c>
      <c r="BD53" s="232">
        <f t="shared" si="43"/>
        <v>0</v>
      </c>
      <c r="BE53" s="232">
        <f t="shared" si="44"/>
        <v>0</v>
      </c>
      <c r="BF53" s="232">
        <f t="shared" si="45"/>
        <v>0</v>
      </c>
      <c r="BG53" s="232">
        <f t="shared" si="46"/>
        <v>0</v>
      </c>
      <c r="BH53" s="232">
        <f t="shared" si="47"/>
        <v>0</v>
      </c>
      <c r="BI53" s="233">
        <f t="shared" si="48"/>
        <v>0</v>
      </c>
      <c r="BJ53" s="46">
        <f t="shared" si="49"/>
        <v>0</v>
      </c>
      <c r="BK53" s="232">
        <f t="shared" si="50"/>
        <v>0</v>
      </c>
      <c r="BL53" s="232">
        <f t="shared" si="51"/>
        <v>0</v>
      </c>
      <c r="BM53" s="232">
        <f t="shared" si="52"/>
        <v>0</v>
      </c>
      <c r="BN53" s="232">
        <f t="shared" si="53"/>
        <v>0</v>
      </c>
      <c r="BO53" s="232">
        <f t="shared" si="54"/>
        <v>0</v>
      </c>
      <c r="BP53" s="232">
        <f t="shared" si="55"/>
        <v>0</v>
      </c>
      <c r="BQ53" s="232">
        <f t="shared" si="56"/>
        <v>0</v>
      </c>
      <c r="BR53" s="233">
        <f t="shared" si="57"/>
        <v>1</v>
      </c>
      <c r="BS53" s="233">
        <f t="shared" si="58"/>
        <v>3</v>
      </c>
      <c r="BT53" s="7">
        <f t="shared" si="59"/>
        <v>1</v>
      </c>
      <c r="BU53" t="str">
        <f t="shared" si="60"/>
        <v/>
      </c>
      <c r="BV53" s="306" t="e">
        <f>IF(S53="-","-",VLOOKUP($A53,AMABat!$A$10:$AS$1137,BV$9,FALSE)-S53)</f>
        <v>#N/A</v>
      </c>
      <c r="BW53" s="306" t="e">
        <f>IF(T53="-","-",VLOOKUP($A53,AMABat!$A$10:$AS$1137,BW$9,FALSE)-T53)</f>
        <v>#N/A</v>
      </c>
      <c r="BX53" s="306" t="e">
        <f>IF(U53="-","-",VLOOKUP($A53,AMABat!$A$10:$AS$1137,BX$9,FALSE)-U53)</f>
        <v>#N/A</v>
      </c>
      <c r="BY53" s="306" t="e">
        <f>IF(V53="-","-",VLOOKUP($A53,AMABat!$A$10:$AS$1137,BY$9,FALSE)-V53)</f>
        <v>#N/A</v>
      </c>
      <c r="BZ53" s="306" t="e">
        <f>IF(W53="-","-",VLOOKUP($A53,AMABat!$A$10:$AS$1137,BZ$9,FALSE)-W53)</f>
        <v>#N/A</v>
      </c>
      <c r="CA53" s="306" t="e">
        <f>IF(X53="-","-",VLOOKUP($A53,AMABat!$A$10:$AS$1137,CA$9,FALSE)-X53)</f>
        <v>#N/A</v>
      </c>
      <c r="CB53" s="306" t="e">
        <f>IF(Y53="-","-",VLOOKUP($A53,AMABat!$A$10:$AS$1137,CB$9,FALSE)-Y53)</f>
        <v>#N/A</v>
      </c>
      <c r="CC53" s="306" t="e">
        <f>IF(Z53="-","-",VLOOKUP($A53,AMABat!$A$10:$AS$1137,CC$9,FALSE)-Z53)</f>
        <v>#N/A</v>
      </c>
      <c r="CD53" s="306" t="e">
        <f>IF(AA53="-","-",VLOOKUP($A53,AMABat!$A$10:$AS$1137,CD$9,FALSE)-AA53)</f>
        <v>#N/A</v>
      </c>
      <c r="CE53" s="306" t="e">
        <f>IF(AB53="-","-",VLOOKUP($A53,AMABat!$A$10:$AS$1137,CE$9,FALSE)-AB53)</f>
        <v>#N/A</v>
      </c>
      <c r="CF53" s="306" t="e">
        <f>IF(AC53="-","-",VLOOKUP($A53,AMABat!$A$10:$AS$1137,CF$9,FALSE)-AC53)</f>
        <v>#N/A</v>
      </c>
      <c r="CG53" s="306" t="e">
        <f>IF(AD53="-","-",VLOOKUP($A53,AMABat!$A$10:$AS$1137,CG$9,FALSE)-AD53)</f>
        <v>#N/A</v>
      </c>
      <c r="CH53" s="306" t="e">
        <f>IF(AE53="-","-",VLOOKUP($A53,AMABat!$A$10:$AS$1137,CH$9,FALSE)-AE53)</f>
        <v>#N/A</v>
      </c>
      <c r="CI53" s="306" t="str">
        <f>IF(AG53="-","-",VLOOKUP($A53,AMABat!$A$10:$AS$1137,CI$9,FALSE)-AG53)</f>
        <v>-</v>
      </c>
      <c r="CJ53" s="306" t="e">
        <f>IF(AH53="-","-",VLOOKUP($A53,AMABat!$A$10:$AS$1137,CJ$9,FALSE)-AH53)</f>
        <v>#N/A</v>
      </c>
      <c r="CK53" s="306" t="str">
        <f>IF(AI53="-","-",VLOOKUP($A53,AMABat!$A$10:$AS$1137,CK$9,FALSE)-AI53)</f>
        <v>-</v>
      </c>
      <c r="CL53" s="306" t="str">
        <f>IF(AJ53="-","-",VLOOKUP($A53,AMABat!$A$10:$AS$1137,CL$9,FALSE)-AJ53)</f>
        <v>-</v>
      </c>
      <c r="CM53" s="306" t="str">
        <f>IF(AK53="-","-",VLOOKUP($A53,AMABat!$A$10:$AS$1137,CM$9,FALSE)-AK53)</f>
        <v>-</v>
      </c>
      <c r="CN53" s="306" t="e">
        <f>IF(AL53="-","-",VLOOKUP($A53,AMABat!$A$10:$AS$1137,CN$9,FALSE)-AL53)</f>
        <v>#N/A</v>
      </c>
      <c r="CO53" s="306" t="e">
        <f>IF(AM53="-","-",VLOOKUP($A53,AMABat!$A$10:$AS$1137,CO$9,FALSE)-AM53)</f>
        <v>#N/A</v>
      </c>
      <c r="CP53" s="306" t="str">
        <f>IF(AN53="-","-",VLOOKUP($A53,AMABat!$A$10:$AS$1137,CP$9,FALSE)-AN53)</f>
        <v>-</v>
      </c>
      <c r="CQ53" s="306" t="e">
        <f>IF(AO53="-","-",VLOOKUP($A53,AMABat!$A$10:$AS$1137,CQ$9,FALSE)-AO53)</f>
        <v>#N/A</v>
      </c>
      <c r="CR53" s="306" t="e">
        <f>IF(AP53="-","-",VLOOKUP($A53,AMABat!$A$10:$AS$1137,CR$9,FALSE)-AP53)</f>
        <v>#N/A</v>
      </c>
      <c r="CS53" s="306" t="e">
        <f>IF(AQ53="-","-",VLOOKUP($A53,AMABat!$A$10:$AS$1137,CS$9,FALSE)-AQ53)</f>
        <v>#N/A</v>
      </c>
      <c r="CT53" s="84" t="e">
        <f t="shared" si="61"/>
        <v>#N/A</v>
      </c>
      <c r="CU53" s="84" t="e">
        <f t="shared" si="62"/>
        <v>#N/A</v>
      </c>
      <c r="CV53" s="84" t="e">
        <f t="shared" si="63"/>
        <v>#N/A</v>
      </c>
      <c r="CW53" s="84" t="e">
        <f t="shared" si="64"/>
        <v>#N/A</v>
      </c>
      <c r="CX53" s="84" t="e">
        <f t="shared" si="65"/>
        <v>#N/A</v>
      </c>
    </row>
    <row r="54" spans="1:102" x14ac:dyDescent="0.25">
      <c r="A54" s="306" t="s">
        <v>645</v>
      </c>
      <c r="B54" s="305" t="s">
        <v>534</v>
      </c>
      <c r="C54" s="305"/>
      <c r="D54" s="305" t="s">
        <v>32</v>
      </c>
      <c r="E54" s="305" t="s">
        <v>32</v>
      </c>
      <c r="F54" s="305" t="s">
        <v>81</v>
      </c>
      <c r="G54" s="84" t="s">
        <v>76</v>
      </c>
      <c r="H54" s="84" t="s">
        <v>877</v>
      </c>
      <c r="I54" s="306" t="s">
        <v>1135</v>
      </c>
      <c r="J54" s="84" t="s">
        <v>783</v>
      </c>
      <c r="K54" s="84" t="s">
        <v>185</v>
      </c>
      <c r="L54" s="84">
        <v>30</v>
      </c>
      <c r="M54" s="84" t="s">
        <v>83</v>
      </c>
      <c r="N54" s="84" t="s">
        <v>83</v>
      </c>
      <c r="O54" s="84" t="s">
        <v>773</v>
      </c>
      <c r="P54" s="271" t="s">
        <v>773</v>
      </c>
      <c r="Q54" s="84" t="s">
        <v>200</v>
      </c>
      <c r="R54" s="271" t="s">
        <v>199</v>
      </c>
      <c r="S54" s="84">
        <v>4</v>
      </c>
      <c r="T54" s="84">
        <v>3</v>
      </c>
      <c r="U54" s="84">
        <v>2</v>
      </c>
      <c r="V54" s="84">
        <v>7</v>
      </c>
      <c r="W54" s="271">
        <v>6</v>
      </c>
      <c r="X54" s="84">
        <v>4</v>
      </c>
      <c r="Y54" s="84">
        <v>3</v>
      </c>
      <c r="Z54" s="84">
        <v>2</v>
      </c>
      <c r="AA54" s="84">
        <v>7</v>
      </c>
      <c r="AB54" s="271">
        <v>6</v>
      </c>
      <c r="AC54" s="84">
        <v>9</v>
      </c>
      <c r="AD54" s="84">
        <v>6</v>
      </c>
      <c r="AE54" s="84">
        <v>1</v>
      </c>
      <c r="AF54" s="306">
        <v>1</v>
      </c>
      <c r="AG54" s="84" t="s">
        <v>32</v>
      </c>
      <c r="AH54" s="84" t="s">
        <v>32</v>
      </c>
      <c r="AI54" s="84">
        <v>1</v>
      </c>
      <c r="AJ54" s="84">
        <v>5</v>
      </c>
      <c r="AK54" s="84">
        <v>4</v>
      </c>
      <c r="AL54" s="84">
        <v>1</v>
      </c>
      <c r="AM54" s="84" t="s">
        <v>32</v>
      </c>
      <c r="AN54" s="271">
        <v>4</v>
      </c>
      <c r="AO54" s="84">
        <v>9</v>
      </c>
      <c r="AP54" s="84">
        <v>8</v>
      </c>
      <c r="AQ54" s="271">
        <v>9</v>
      </c>
      <c r="AR54" s="85" t="s">
        <v>32</v>
      </c>
      <c r="AS54" s="271" t="s">
        <v>33</v>
      </c>
      <c r="AT54" s="377" t="s">
        <v>529</v>
      </c>
      <c r="AU54" s="86">
        <f t="shared" si="34"/>
        <v>3.333333333333333</v>
      </c>
      <c r="AV54" s="87" t="str">
        <f t="shared" si="35"/>
        <v>Minors</v>
      </c>
      <c r="AW54" s="86">
        <f t="shared" si="36"/>
        <v>3.333333333333333</v>
      </c>
      <c r="AX54" s="86" t="str">
        <f t="shared" si="37"/>
        <v>Minors</v>
      </c>
      <c r="AY54" s="87">
        <f t="shared" si="38"/>
        <v>3.333333333333333</v>
      </c>
      <c r="AZ54" s="87" t="str">
        <f t="shared" si="39"/>
        <v>Minors</v>
      </c>
      <c r="BA54" s="269">
        <f t="shared" si="40"/>
        <v>0</v>
      </c>
      <c r="BB54" s="270">
        <f t="shared" si="41"/>
        <v>0</v>
      </c>
      <c r="BC54" s="270">
        <f t="shared" si="42"/>
        <v>0</v>
      </c>
      <c r="BD54" s="270">
        <f t="shared" si="43"/>
        <v>0</v>
      </c>
      <c r="BE54" s="270">
        <f t="shared" si="44"/>
        <v>0</v>
      </c>
      <c r="BF54" s="270">
        <f t="shared" si="45"/>
        <v>0</v>
      </c>
      <c r="BG54" s="270">
        <f t="shared" si="46"/>
        <v>0</v>
      </c>
      <c r="BH54" s="270">
        <f t="shared" si="47"/>
        <v>0</v>
      </c>
      <c r="BI54" s="271">
        <f t="shared" si="48"/>
        <v>0</v>
      </c>
      <c r="BJ54" s="269">
        <f t="shared" si="49"/>
        <v>0</v>
      </c>
      <c r="BK54" s="270">
        <f t="shared" si="50"/>
        <v>0</v>
      </c>
      <c r="BL54" s="270">
        <f t="shared" si="51"/>
        <v>0</v>
      </c>
      <c r="BM54" s="270">
        <f t="shared" si="52"/>
        <v>0</v>
      </c>
      <c r="BN54" s="270">
        <f t="shared" si="53"/>
        <v>0</v>
      </c>
      <c r="BO54" s="270">
        <f t="shared" si="54"/>
        <v>0</v>
      </c>
      <c r="BP54" s="270">
        <f t="shared" si="55"/>
        <v>0</v>
      </c>
      <c r="BQ54" s="270">
        <f t="shared" si="56"/>
        <v>0</v>
      </c>
      <c r="BR54" s="271">
        <f t="shared" si="57"/>
        <v>0</v>
      </c>
      <c r="BS54" s="271">
        <f t="shared" si="58"/>
        <v>5</v>
      </c>
      <c r="BT54" s="89">
        <f t="shared" si="59"/>
        <v>1</v>
      </c>
      <c r="BU54" s="84" t="str">
        <f t="shared" si="60"/>
        <v/>
      </c>
      <c r="BV54" s="306" t="e">
        <f>IF(S54="-","-",VLOOKUP($A54,AMABat!$A$10:$AS$1137,BV$9,FALSE)-S54)</f>
        <v>#N/A</v>
      </c>
      <c r="BW54" s="306" t="e">
        <f>IF(T54="-","-",VLOOKUP($A54,AMABat!$A$10:$AS$1137,BW$9,FALSE)-T54)</f>
        <v>#N/A</v>
      </c>
      <c r="BX54" s="306" t="e">
        <f>IF(U54="-","-",VLOOKUP($A54,AMABat!$A$10:$AS$1137,BX$9,FALSE)-U54)</f>
        <v>#N/A</v>
      </c>
      <c r="BY54" s="306" t="e">
        <f>IF(V54="-","-",VLOOKUP($A54,AMABat!$A$10:$AS$1137,BY$9,FALSE)-V54)</f>
        <v>#N/A</v>
      </c>
      <c r="BZ54" s="306" t="e">
        <f>IF(W54="-","-",VLOOKUP($A54,AMABat!$A$10:$AS$1137,BZ$9,FALSE)-W54)</f>
        <v>#N/A</v>
      </c>
      <c r="CA54" s="306" t="e">
        <f>IF(X54="-","-",VLOOKUP($A54,AMABat!$A$10:$AS$1137,CA$9,FALSE)-X54)</f>
        <v>#N/A</v>
      </c>
      <c r="CB54" s="306" t="e">
        <f>IF(Y54="-","-",VLOOKUP($A54,AMABat!$A$10:$AS$1137,CB$9,FALSE)-Y54)</f>
        <v>#N/A</v>
      </c>
      <c r="CC54" s="306" t="e">
        <f>IF(Z54="-","-",VLOOKUP($A54,AMABat!$A$10:$AS$1137,CC$9,FALSE)-Z54)</f>
        <v>#N/A</v>
      </c>
      <c r="CD54" s="306" t="e">
        <f>IF(AA54="-","-",VLOOKUP($A54,AMABat!$A$10:$AS$1137,CD$9,FALSE)-AA54)</f>
        <v>#N/A</v>
      </c>
      <c r="CE54" s="306" t="e">
        <f>IF(AB54="-","-",VLOOKUP($A54,AMABat!$A$10:$AS$1137,CE$9,FALSE)-AB54)</f>
        <v>#N/A</v>
      </c>
      <c r="CF54" s="306" t="e">
        <f>IF(AC54="-","-",VLOOKUP($A54,AMABat!$A$10:$AS$1137,CF$9,FALSE)-AC54)</f>
        <v>#N/A</v>
      </c>
      <c r="CG54" s="306" t="e">
        <f>IF(AD54="-","-",VLOOKUP($A54,AMABat!$A$10:$AS$1137,CG$9,FALSE)-AD54)</f>
        <v>#N/A</v>
      </c>
      <c r="CH54" s="306" t="e">
        <f>IF(AE54="-","-",VLOOKUP($A54,AMABat!$A$10:$AS$1137,CH$9,FALSE)-AE54)</f>
        <v>#N/A</v>
      </c>
      <c r="CI54" s="306" t="str">
        <f>IF(AG54="-","-",VLOOKUP($A54,AMABat!$A$10:$AS$1137,CI$9,FALSE)-AG54)</f>
        <v>-</v>
      </c>
      <c r="CJ54" s="306" t="str">
        <f>IF(AH54="-","-",VLOOKUP($A54,AMABat!$A$10:$AS$1137,CJ$9,FALSE)-AH54)</f>
        <v>-</v>
      </c>
      <c r="CK54" s="306" t="e">
        <f>IF(AI54="-","-",VLOOKUP($A54,AMABat!$A$10:$AS$1137,CK$9,FALSE)-AI54)</f>
        <v>#N/A</v>
      </c>
      <c r="CL54" s="306" t="e">
        <f>IF(AJ54="-","-",VLOOKUP($A54,AMABat!$A$10:$AS$1137,CL$9,FALSE)-AJ54)</f>
        <v>#N/A</v>
      </c>
      <c r="CM54" s="306" t="e">
        <f>IF(AK54="-","-",VLOOKUP($A54,AMABat!$A$10:$AS$1137,CM$9,FALSE)-AK54)</f>
        <v>#N/A</v>
      </c>
      <c r="CN54" s="306" t="e">
        <f>IF(AL54="-","-",VLOOKUP($A54,AMABat!$A$10:$AS$1137,CN$9,FALSE)-AL54)</f>
        <v>#N/A</v>
      </c>
      <c r="CO54" s="306" t="str">
        <f>IF(AM54="-","-",VLOOKUP($A54,AMABat!$A$10:$AS$1137,CO$9,FALSE)-AM54)</f>
        <v>-</v>
      </c>
      <c r="CP54" s="306" t="e">
        <f>IF(AN54="-","-",VLOOKUP($A54,AMABat!$A$10:$AS$1137,CP$9,FALSE)-AN54)</f>
        <v>#N/A</v>
      </c>
      <c r="CQ54" s="306" t="e">
        <f>IF(AO54="-","-",VLOOKUP($A54,AMABat!$A$10:$AS$1137,CQ$9,FALSE)-AO54)</f>
        <v>#N/A</v>
      </c>
      <c r="CR54" s="306" t="e">
        <f>IF(AP54="-","-",VLOOKUP($A54,AMABat!$A$10:$AS$1137,CR$9,FALSE)-AP54)</f>
        <v>#N/A</v>
      </c>
      <c r="CS54" s="306" t="e">
        <f>IF(AQ54="-","-",VLOOKUP($A54,AMABat!$A$10:$AS$1137,CS$9,FALSE)-AQ54)</f>
        <v>#N/A</v>
      </c>
      <c r="CT54" s="84" t="e">
        <f t="shared" si="61"/>
        <v>#N/A</v>
      </c>
      <c r="CU54" s="84" t="e">
        <f t="shared" si="62"/>
        <v>#N/A</v>
      </c>
      <c r="CV54" s="84" t="e">
        <f t="shared" si="63"/>
        <v>#N/A</v>
      </c>
      <c r="CW54" s="84" t="e">
        <f t="shared" si="64"/>
        <v>#N/A</v>
      </c>
      <c r="CX54" s="84" t="e">
        <f t="shared" si="65"/>
        <v>#N/A</v>
      </c>
    </row>
    <row r="55" spans="1:102" x14ac:dyDescent="0.25">
      <c r="A55" s="306" t="s">
        <v>646</v>
      </c>
      <c r="B55" s="305" t="s">
        <v>534</v>
      </c>
      <c r="C55" s="305"/>
      <c r="D55" s="305" t="s">
        <v>32</v>
      </c>
      <c r="E55" s="305" t="s">
        <v>32</v>
      </c>
      <c r="F55" s="305" t="s">
        <v>81</v>
      </c>
      <c r="G55" t="s">
        <v>76</v>
      </c>
      <c r="H55" t="s">
        <v>839</v>
      </c>
      <c r="I55" s="305" t="s">
        <v>840</v>
      </c>
      <c r="J55" t="s">
        <v>769</v>
      </c>
      <c r="K55" t="s">
        <v>186</v>
      </c>
      <c r="L55">
        <v>28</v>
      </c>
      <c r="M55" t="s">
        <v>83</v>
      </c>
      <c r="N55" t="s">
        <v>83</v>
      </c>
      <c r="O55" t="s">
        <v>773</v>
      </c>
      <c r="P55" s="268" t="s">
        <v>773</v>
      </c>
      <c r="Q55" t="s">
        <v>201</v>
      </c>
      <c r="R55" s="268" t="s">
        <v>200</v>
      </c>
      <c r="S55">
        <v>4</v>
      </c>
      <c r="T55">
        <v>3</v>
      </c>
      <c r="U55">
        <v>3</v>
      </c>
      <c r="V55">
        <v>5</v>
      </c>
      <c r="W55" s="268">
        <v>3</v>
      </c>
      <c r="X55">
        <v>4</v>
      </c>
      <c r="Y55">
        <v>3</v>
      </c>
      <c r="Z55">
        <v>3</v>
      </c>
      <c r="AA55">
        <v>5</v>
      </c>
      <c r="AB55" s="268">
        <v>4</v>
      </c>
      <c r="AC55">
        <v>9</v>
      </c>
      <c r="AD55">
        <v>8</v>
      </c>
      <c r="AE55">
        <v>1</v>
      </c>
      <c r="AF55" s="305">
        <v>1</v>
      </c>
      <c r="AG55" t="s">
        <v>32</v>
      </c>
      <c r="AH55" t="s">
        <v>32</v>
      </c>
      <c r="AI55">
        <v>6</v>
      </c>
      <c r="AJ55">
        <v>8</v>
      </c>
      <c r="AK55">
        <v>6</v>
      </c>
      <c r="AL55" t="s">
        <v>32</v>
      </c>
      <c r="AM55" t="s">
        <v>32</v>
      </c>
      <c r="AN55" s="268" t="s">
        <v>32</v>
      </c>
      <c r="AO55">
        <v>9</v>
      </c>
      <c r="AP55">
        <v>10</v>
      </c>
      <c r="AQ55" s="268">
        <v>6</v>
      </c>
      <c r="AR55" s="78" t="s">
        <v>32</v>
      </c>
      <c r="AS55" s="268" t="s">
        <v>33</v>
      </c>
      <c r="AT55" s="372" t="s">
        <v>529</v>
      </c>
      <c r="AU55" s="6">
        <f t="shared" si="34"/>
        <v>3</v>
      </c>
      <c r="AV55" s="9" t="str">
        <f t="shared" si="35"/>
        <v>Minors</v>
      </c>
      <c r="AW55" s="6">
        <f t="shared" si="36"/>
        <v>3</v>
      </c>
      <c r="AX55" s="6" t="str">
        <f t="shared" si="37"/>
        <v>Minors</v>
      </c>
      <c r="AY55" s="9">
        <f t="shared" si="38"/>
        <v>3</v>
      </c>
      <c r="AZ55" s="9" t="str">
        <f t="shared" si="39"/>
        <v>Minors</v>
      </c>
      <c r="BA55" s="266">
        <f t="shared" si="40"/>
        <v>0</v>
      </c>
      <c r="BB55" s="267">
        <f t="shared" si="41"/>
        <v>0</v>
      </c>
      <c r="BC55" s="267">
        <f t="shared" si="42"/>
        <v>0</v>
      </c>
      <c r="BD55" s="267">
        <f t="shared" si="43"/>
        <v>0</v>
      </c>
      <c r="BE55" s="267">
        <f t="shared" si="44"/>
        <v>0</v>
      </c>
      <c r="BF55" s="267">
        <f t="shared" si="45"/>
        <v>0</v>
      </c>
      <c r="BG55" s="267">
        <f t="shared" si="46"/>
        <v>0</v>
      </c>
      <c r="BH55" s="267">
        <f t="shared" si="47"/>
        <v>0</v>
      </c>
      <c r="BI55" s="268">
        <f t="shared" si="48"/>
        <v>0</v>
      </c>
      <c r="BJ55" s="266">
        <f t="shared" si="49"/>
        <v>0</v>
      </c>
      <c r="BK55" s="267">
        <f t="shared" si="50"/>
        <v>0</v>
      </c>
      <c r="BL55" s="267">
        <f t="shared" si="51"/>
        <v>0</v>
      </c>
      <c r="BM55" s="267">
        <f t="shared" si="52"/>
        <v>0</v>
      </c>
      <c r="BN55" s="267">
        <f t="shared" si="53"/>
        <v>0</v>
      </c>
      <c r="BO55" s="267">
        <f t="shared" si="54"/>
        <v>0</v>
      </c>
      <c r="BP55" s="267">
        <f t="shared" si="55"/>
        <v>0</v>
      </c>
      <c r="BQ55" s="267">
        <f t="shared" si="56"/>
        <v>0</v>
      </c>
      <c r="BR55" s="268">
        <f t="shared" si="57"/>
        <v>0</v>
      </c>
      <c r="BS55" s="268">
        <f t="shared" si="58"/>
        <v>4</v>
      </c>
      <c r="BT55" s="7">
        <f t="shared" si="59"/>
        <v>2</v>
      </c>
      <c r="BU55" t="str">
        <f t="shared" si="60"/>
        <v/>
      </c>
      <c r="BV55" s="306" t="e">
        <f>IF(S55="-","-",VLOOKUP($A55,AMABat!$A$10:$AS$1137,BV$9,FALSE)-S55)</f>
        <v>#N/A</v>
      </c>
      <c r="BW55" s="306" t="e">
        <f>IF(T55="-","-",VLOOKUP($A55,AMABat!$A$10:$AS$1137,BW$9,FALSE)-T55)</f>
        <v>#N/A</v>
      </c>
      <c r="BX55" s="306" t="e">
        <f>IF(U55="-","-",VLOOKUP($A55,AMABat!$A$10:$AS$1137,BX$9,FALSE)-U55)</f>
        <v>#N/A</v>
      </c>
      <c r="BY55" s="306" t="e">
        <f>IF(V55="-","-",VLOOKUP($A55,AMABat!$A$10:$AS$1137,BY$9,FALSE)-V55)</f>
        <v>#N/A</v>
      </c>
      <c r="BZ55" s="306" t="e">
        <f>IF(W55="-","-",VLOOKUP($A55,AMABat!$A$10:$AS$1137,BZ$9,FALSE)-W55)</f>
        <v>#N/A</v>
      </c>
      <c r="CA55" s="306" t="e">
        <f>IF(X55="-","-",VLOOKUP($A55,AMABat!$A$10:$AS$1137,CA$9,FALSE)-X55)</f>
        <v>#N/A</v>
      </c>
      <c r="CB55" s="306" t="e">
        <f>IF(Y55="-","-",VLOOKUP($A55,AMABat!$A$10:$AS$1137,CB$9,FALSE)-Y55)</f>
        <v>#N/A</v>
      </c>
      <c r="CC55" s="306" t="e">
        <f>IF(Z55="-","-",VLOOKUP($A55,AMABat!$A$10:$AS$1137,CC$9,FALSE)-Z55)</f>
        <v>#N/A</v>
      </c>
      <c r="CD55" s="306" t="e">
        <f>IF(AA55="-","-",VLOOKUP($A55,AMABat!$A$10:$AS$1137,CD$9,FALSE)-AA55)</f>
        <v>#N/A</v>
      </c>
      <c r="CE55" s="306" t="e">
        <f>IF(AB55="-","-",VLOOKUP($A55,AMABat!$A$10:$AS$1137,CE$9,FALSE)-AB55)</f>
        <v>#N/A</v>
      </c>
      <c r="CF55" s="306" t="e">
        <f>IF(AC55="-","-",VLOOKUP($A55,AMABat!$A$10:$AS$1137,CF$9,FALSE)-AC55)</f>
        <v>#N/A</v>
      </c>
      <c r="CG55" s="306" t="e">
        <f>IF(AD55="-","-",VLOOKUP($A55,AMABat!$A$10:$AS$1137,CG$9,FALSE)-AD55)</f>
        <v>#N/A</v>
      </c>
      <c r="CH55" s="306" t="e">
        <f>IF(AE55="-","-",VLOOKUP($A55,AMABat!$A$10:$AS$1137,CH$9,FALSE)-AE55)</f>
        <v>#N/A</v>
      </c>
      <c r="CI55" s="306" t="str">
        <f>IF(AG55="-","-",VLOOKUP($A55,AMABat!$A$10:$AS$1137,CI$9,FALSE)-AG55)</f>
        <v>-</v>
      </c>
      <c r="CJ55" s="306" t="str">
        <f>IF(AH55="-","-",VLOOKUP($A55,AMABat!$A$10:$AS$1137,CJ$9,FALSE)-AH55)</f>
        <v>-</v>
      </c>
      <c r="CK55" s="306" t="e">
        <f>IF(AI55="-","-",VLOOKUP($A55,AMABat!$A$10:$AS$1137,CK$9,FALSE)-AI55)</f>
        <v>#N/A</v>
      </c>
      <c r="CL55" s="306" t="e">
        <f>IF(AJ55="-","-",VLOOKUP($A55,AMABat!$A$10:$AS$1137,CL$9,FALSE)-AJ55)</f>
        <v>#N/A</v>
      </c>
      <c r="CM55" s="306" t="e">
        <f>IF(AK55="-","-",VLOOKUP($A55,AMABat!$A$10:$AS$1137,CM$9,FALSE)-AK55)</f>
        <v>#N/A</v>
      </c>
      <c r="CN55" s="306" t="str">
        <f>IF(AL55="-","-",VLOOKUP($A55,AMABat!$A$10:$AS$1137,CN$9,FALSE)-AL55)</f>
        <v>-</v>
      </c>
      <c r="CO55" s="306" t="str">
        <f>IF(AM55="-","-",VLOOKUP($A55,AMABat!$A$10:$AS$1137,CO$9,FALSE)-AM55)</f>
        <v>-</v>
      </c>
      <c r="CP55" s="306" t="str">
        <f>IF(AN55="-","-",VLOOKUP($A55,AMABat!$A$10:$AS$1137,CP$9,FALSE)-AN55)</f>
        <v>-</v>
      </c>
      <c r="CQ55" s="306" t="e">
        <f>IF(AO55="-","-",VLOOKUP($A55,AMABat!$A$10:$AS$1137,CQ$9,FALSE)-AO55)</f>
        <v>#N/A</v>
      </c>
      <c r="CR55" s="306" t="e">
        <f>IF(AP55="-","-",VLOOKUP($A55,AMABat!$A$10:$AS$1137,CR$9,FALSE)-AP55)</f>
        <v>#N/A</v>
      </c>
      <c r="CS55" s="306" t="e">
        <f>IF(AQ55="-","-",VLOOKUP($A55,AMABat!$A$10:$AS$1137,CS$9,FALSE)-AQ55)</f>
        <v>#N/A</v>
      </c>
      <c r="CT55" s="84" t="e">
        <f t="shared" si="61"/>
        <v>#N/A</v>
      </c>
      <c r="CU55" s="84" t="e">
        <f t="shared" si="62"/>
        <v>#N/A</v>
      </c>
      <c r="CV55" s="84" t="e">
        <f t="shared" si="63"/>
        <v>#N/A</v>
      </c>
      <c r="CW55" s="84" t="e">
        <f t="shared" si="64"/>
        <v>#N/A</v>
      </c>
      <c r="CX55" s="84" t="e">
        <f t="shared" si="65"/>
        <v>#N/A</v>
      </c>
    </row>
    <row r="56" spans="1:102" x14ac:dyDescent="0.25">
      <c r="A56" s="306" t="s">
        <v>647</v>
      </c>
      <c r="B56" s="305" t="s">
        <v>534</v>
      </c>
      <c r="C56" s="305"/>
      <c r="D56" s="305" t="s">
        <v>32</v>
      </c>
      <c r="E56" s="305" t="s">
        <v>32</v>
      </c>
      <c r="F56" s="305" t="s">
        <v>81</v>
      </c>
      <c r="G56" t="s">
        <v>78</v>
      </c>
      <c r="H56" t="s">
        <v>443</v>
      </c>
      <c r="I56" s="305" t="s">
        <v>493</v>
      </c>
      <c r="J56" t="s">
        <v>783</v>
      </c>
      <c r="K56" t="s">
        <v>185</v>
      </c>
      <c r="L56">
        <v>30</v>
      </c>
      <c r="M56" t="s">
        <v>83</v>
      </c>
      <c r="N56" t="s">
        <v>83</v>
      </c>
      <c r="O56" t="s">
        <v>773</v>
      </c>
      <c r="P56" s="233" t="s">
        <v>773</v>
      </c>
      <c r="Q56" t="s">
        <v>200</v>
      </c>
      <c r="R56" s="233" t="s">
        <v>199</v>
      </c>
      <c r="S56">
        <v>4</v>
      </c>
      <c r="T56">
        <v>3</v>
      </c>
      <c r="U56">
        <v>4</v>
      </c>
      <c r="V56">
        <v>4</v>
      </c>
      <c r="W56" s="233">
        <v>3</v>
      </c>
      <c r="X56">
        <v>4</v>
      </c>
      <c r="Y56">
        <v>3</v>
      </c>
      <c r="Z56">
        <v>4</v>
      </c>
      <c r="AA56">
        <v>4</v>
      </c>
      <c r="AB56" s="233">
        <v>3</v>
      </c>
      <c r="AC56">
        <v>1</v>
      </c>
      <c r="AD56">
        <v>5</v>
      </c>
      <c r="AE56">
        <v>1</v>
      </c>
      <c r="AF56" s="305">
        <v>1</v>
      </c>
      <c r="AG56" t="s">
        <v>32</v>
      </c>
      <c r="AH56" t="s">
        <v>32</v>
      </c>
      <c r="AI56" t="s">
        <v>32</v>
      </c>
      <c r="AJ56" t="s">
        <v>32</v>
      </c>
      <c r="AK56" t="s">
        <v>32</v>
      </c>
      <c r="AL56">
        <v>10</v>
      </c>
      <c r="AM56">
        <v>7</v>
      </c>
      <c r="AN56" s="233" t="s">
        <v>32</v>
      </c>
      <c r="AO56">
        <v>8</v>
      </c>
      <c r="AP56">
        <v>10</v>
      </c>
      <c r="AQ56" s="233">
        <v>10</v>
      </c>
      <c r="AR56" t="s">
        <v>32</v>
      </c>
      <c r="AS56" s="233" t="s">
        <v>33</v>
      </c>
      <c r="AT56" s="372" t="s">
        <v>199</v>
      </c>
      <c r="AU56" s="6">
        <f t="shared" si="34"/>
        <v>3</v>
      </c>
      <c r="AV56" s="9" t="str">
        <f t="shared" si="35"/>
        <v>Minors</v>
      </c>
      <c r="AW56" s="6">
        <f t="shared" si="36"/>
        <v>3</v>
      </c>
      <c r="AX56" s="6" t="str">
        <f t="shared" si="37"/>
        <v>Minors</v>
      </c>
      <c r="AY56" s="9">
        <f t="shared" si="38"/>
        <v>3</v>
      </c>
      <c r="AZ56" s="9" t="str">
        <f t="shared" si="39"/>
        <v>Minors</v>
      </c>
      <c r="BA56" s="46">
        <f t="shared" si="40"/>
        <v>0</v>
      </c>
      <c r="BB56" s="232">
        <f t="shared" si="41"/>
        <v>0</v>
      </c>
      <c r="BC56" s="232">
        <f t="shared" si="42"/>
        <v>0</v>
      </c>
      <c r="BD56" s="232">
        <f t="shared" si="43"/>
        <v>0</v>
      </c>
      <c r="BE56" s="232">
        <f t="shared" si="44"/>
        <v>0</v>
      </c>
      <c r="BF56" s="232">
        <f t="shared" si="45"/>
        <v>0</v>
      </c>
      <c r="BG56" s="232">
        <f t="shared" si="46"/>
        <v>0</v>
      </c>
      <c r="BH56" s="232">
        <f t="shared" si="47"/>
        <v>0</v>
      </c>
      <c r="BI56" s="233">
        <f t="shared" si="48"/>
        <v>0</v>
      </c>
      <c r="BJ56" s="46">
        <f t="shared" si="49"/>
        <v>0</v>
      </c>
      <c r="BK56" s="232">
        <f t="shared" si="50"/>
        <v>0</v>
      </c>
      <c r="BL56" s="232">
        <f t="shared" si="51"/>
        <v>0</v>
      </c>
      <c r="BM56" s="232">
        <f t="shared" si="52"/>
        <v>0</v>
      </c>
      <c r="BN56" s="232">
        <f t="shared" si="53"/>
        <v>0</v>
      </c>
      <c r="BO56" s="232">
        <f t="shared" si="54"/>
        <v>0</v>
      </c>
      <c r="BP56" s="232">
        <f t="shared" si="55"/>
        <v>0</v>
      </c>
      <c r="BQ56" s="232">
        <f t="shared" si="56"/>
        <v>0</v>
      </c>
      <c r="BR56" s="233">
        <f t="shared" si="57"/>
        <v>0</v>
      </c>
      <c r="BS56" s="233">
        <f t="shared" si="58"/>
        <v>5</v>
      </c>
      <c r="BT56" s="7">
        <f t="shared" si="59"/>
        <v>2</v>
      </c>
      <c r="BU56" t="str">
        <f t="shared" si="60"/>
        <v/>
      </c>
      <c r="BV56" s="306" t="e">
        <f>IF(S56="-","-",VLOOKUP($A56,AMABat!$A$10:$AS$1137,BV$9,FALSE)-S56)</f>
        <v>#N/A</v>
      </c>
      <c r="BW56" s="306" t="e">
        <f>IF(T56="-","-",VLOOKUP($A56,AMABat!$A$10:$AS$1137,BW$9,FALSE)-T56)</f>
        <v>#N/A</v>
      </c>
      <c r="BX56" s="306" t="e">
        <f>IF(U56="-","-",VLOOKUP($A56,AMABat!$A$10:$AS$1137,BX$9,FALSE)-U56)</f>
        <v>#N/A</v>
      </c>
      <c r="BY56" s="306" t="e">
        <f>IF(V56="-","-",VLOOKUP($A56,AMABat!$A$10:$AS$1137,BY$9,FALSE)-V56)</f>
        <v>#N/A</v>
      </c>
      <c r="BZ56" s="306" t="e">
        <f>IF(W56="-","-",VLOOKUP($A56,AMABat!$A$10:$AS$1137,BZ$9,FALSE)-W56)</f>
        <v>#N/A</v>
      </c>
      <c r="CA56" s="306" t="e">
        <f>IF(X56="-","-",VLOOKUP($A56,AMABat!$A$10:$AS$1137,CA$9,FALSE)-X56)</f>
        <v>#N/A</v>
      </c>
      <c r="CB56" s="306" t="e">
        <f>IF(Y56="-","-",VLOOKUP($A56,AMABat!$A$10:$AS$1137,CB$9,FALSE)-Y56)</f>
        <v>#N/A</v>
      </c>
      <c r="CC56" s="306" t="e">
        <f>IF(Z56="-","-",VLOOKUP($A56,AMABat!$A$10:$AS$1137,CC$9,FALSE)-Z56)</f>
        <v>#N/A</v>
      </c>
      <c r="CD56" s="306" t="e">
        <f>IF(AA56="-","-",VLOOKUP($A56,AMABat!$A$10:$AS$1137,CD$9,FALSE)-AA56)</f>
        <v>#N/A</v>
      </c>
      <c r="CE56" s="306" t="e">
        <f>IF(AB56="-","-",VLOOKUP($A56,AMABat!$A$10:$AS$1137,CE$9,FALSE)-AB56)</f>
        <v>#N/A</v>
      </c>
      <c r="CF56" s="306" t="e">
        <f>IF(AC56="-","-",VLOOKUP($A56,AMABat!$A$10:$AS$1137,CF$9,FALSE)-AC56)</f>
        <v>#N/A</v>
      </c>
      <c r="CG56" s="306" t="e">
        <f>IF(AD56="-","-",VLOOKUP($A56,AMABat!$A$10:$AS$1137,CG$9,FALSE)-AD56)</f>
        <v>#N/A</v>
      </c>
      <c r="CH56" s="306" t="e">
        <f>IF(AE56="-","-",VLOOKUP($A56,AMABat!$A$10:$AS$1137,CH$9,FALSE)-AE56)</f>
        <v>#N/A</v>
      </c>
      <c r="CI56" s="306" t="str">
        <f>IF(AG56="-","-",VLOOKUP($A56,AMABat!$A$10:$AS$1137,CI$9,FALSE)-AG56)</f>
        <v>-</v>
      </c>
      <c r="CJ56" s="306" t="str">
        <f>IF(AH56="-","-",VLOOKUP($A56,AMABat!$A$10:$AS$1137,CJ$9,FALSE)-AH56)</f>
        <v>-</v>
      </c>
      <c r="CK56" s="306" t="str">
        <f>IF(AI56="-","-",VLOOKUP($A56,AMABat!$A$10:$AS$1137,CK$9,FALSE)-AI56)</f>
        <v>-</v>
      </c>
      <c r="CL56" s="306" t="str">
        <f>IF(AJ56="-","-",VLOOKUP($A56,AMABat!$A$10:$AS$1137,CL$9,FALSE)-AJ56)</f>
        <v>-</v>
      </c>
      <c r="CM56" s="306" t="str">
        <f>IF(AK56="-","-",VLOOKUP($A56,AMABat!$A$10:$AS$1137,CM$9,FALSE)-AK56)</f>
        <v>-</v>
      </c>
      <c r="CN56" s="306" t="e">
        <f>IF(AL56="-","-",VLOOKUP($A56,AMABat!$A$10:$AS$1137,CN$9,FALSE)-AL56)</f>
        <v>#N/A</v>
      </c>
      <c r="CO56" s="306" t="e">
        <f>IF(AM56="-","-",VLOOKUP($A56,AMABat!$A$10:$AS$1137,CO$9,FALSE)-AM56)</f>
        <v>#N/A</v>
      </c>
      <c r="CP56" s="306" t="str">
        <f>IF(AN56="-","-",VLOOKUP($A56,AMABat!$A$10:$AS$1137,CP$9,FALSE)-AN56)</f>
        <v>-</v>
      </c>
      <c r="CQ56" s="306" t="e">
        <f>IF(AO56="-","-",VLOOKUP($A56,AMABat!$A$10:$AS$1137,CQ$9,FALSE)-AO56)</f>
        <v>#N/A</v>
      </c>
      <c r="CR56" s="306" t="e">
        <f>IF(AP56="-","-",VLOOKUP($A56,AMABat!$A$10:$AS$1137,CR$9,FALSE)-AP56)</f>
        <v>#N/A</v>
      </c>
      <c r="CS56" s="306" t="e">
        <f>IF(AQ56="-","-",VLOOKUP($A56,AMABat!$A$10:$AS$1137,CS$9,FALSE)-AQ56)</f>
        <v>#N/A</v>
      </c>
      <c r="CT56" s="84" t="e">
        <f t="shared" si="61"/>
        <v>#N/A</v>
      </c>
      <c r="CU56" s="84" t="e">
        <f t="shared" si="62"/>
        <v>#N/A</v>
      </c>
      <c r="CV56" s="84" t="e">
        <f t="shared" si="63"/>
        <v>#N/A</v>
      </c>
      <c r="CW56" s="84" t="e">
        <f t="shared" si="64"/>
        <v>#N/A</v>
      </c>
      <c r="CX56" s="84" t="e">
        <f t="shared" si="65"/>
        <v>#N/A</v>
      </c>
    </row>
    <row r="57" spans="1:102" x14ac:dyDescent="0.25">
      <c r="A57" s="306" t="s">
        <v>648</v>
      </c>
      <c r="B57" s="305" t="s">
        <v>534</v>
      </c>
      <c r="C57" s="305"/>
      <c r="D57" s="305" t="s">
        <v>32</v>
      </c>
      <c r="E57" s="305" t="s">
        <v>32</v>
      </c>
      <c r="F57" s="305" t="s">
        <v>72</v>
      </c>
      <c r="G57" t="s">
        <v>78</v>
      </c>
      <c r="H57" t="s">
        <v>712</v>
      </c>
      <c r="I57" s="305" t="s">
        <v>489</v>
      </c>
      <c r="J57" t="s">
        <v>769</v>
      </c>
      <c r="K57" t="s">
        <v>186</v>
      </c>
      <c r="L57">
        <v>29</v>
      </c>
      <c r="M57" t="s">
        <v>83</v>
      </c>
      <c r="N57" t="s">
        <v>83</v>
      </c>
      <c r="O57" t="s">
        <v>773</v>
      </c>
      <c r="P57" s="3" t="s">
        <v>773</v>
      </c>
      <c r="Q57" t="s">
        <v>200</v>
      </c>
      <c r="R57" s="3" t="s">
        <v>199</v>
      </c>
      <c r="S57">
        <v>4</v>
      </c>
      <c r="T57">
        <v>5</v>
      </c>
      <c r="U57">
        <v>2</v>
      </c>
      <c r="V57">
        <v>6</v>
      </c>
      <c r="W57" s="3">
        <v>10</v>
      </c>
      <c r="X57">
        <v>4</v>
      </c>
      <c r="Y57">
        <v>5</v>
      </c>
      <c r="Z57">
        <v>2</v>
      </c>
      <c r="AA57">
        <v>6</v>
      </c>
      <c r="AB57" s="3">
        <v>10</v>
      </c>
      <c r="AC57">
        <v>2</v>
      </c>
      <c r="AD57">
        <v>9</v>
      </c>
      <c r="AE57">
        <v>1</v>
      </c>
      <c r="AF57" s="305">
        <v>1</v>
      </c>
      <c r="AG57" t="s">
        <v>32</v>
      </c>
      <c r="AH57" t="s">
        <v>32</v>
      </c>
      <c r="AI57" t="s">
        <v>32</v>
      </c>
      <c r="AJ57" t="s">
        <v>32</v>
      </c>
      <c r="AK57" t="s">
        <v>32</v>
      </c>
      <c r="AL57">
        <v>8</v>
      </c>
      <c r="AM57">
        <v>9</v>
      </c>
      <c r="AN57" s="3">
        <v>9</v>
      </c>
      <c r="AO57">
        <v>7</v>
      </c>
      <c r="AP57">
        <v>10</v>
      </c>
      <c r="AQ57" s="3">
        <v>10</v>
      </c>
      <c r="AR57" t="s">
        <v>32</v>
      </c>
      <c r="AS57" s="3" t="s">
        <v>33</v>
      </c>
      <c r="AT57" s="372" t="s">
        <v>529</v>
      </c>
      <c r="AU57" s="6">
        <f t="shared" si="34"/>
        <v>3</v>
      </c>
      <c r="AV57" s="9" t="str">
        <f t="shared" si="35"/>
        <v>Minors</v>
      </c>
      <c r="AW57" s="6">
        <f t="shared" si="36"/>
        <v>3</v>
      </c>
      <c r="AX57" s="6" t="str">
        <f t="shared" si="37"/>
        <v>Minors</v>
      </c>
      <c r="AY57" s="9">
        <f t="shared" si="38"/>
        <v>3</v>
      </c>
      <c r="AZ57" s="9" t="str">
        <f t="shared" si="39"/>
        <v>Minors</v>
      </c>
      <c r="BA57" s="46">
        <f t="shared" si="40"/>
        <v>0</v>
      </c>
      <c r="BB57" s="5">
        <f t="shared" si="41"/>
        <v>0</v>
      </c>
      <c r="BC57" s="5">
        <f t="shared" si="42"/>
        <v>0</v>
      </c>
      <c r="BD57" s="5">
        <f t="shared" si="43"/>
        <v>0</v>
      </c>
      <c r="BE57" s="5">
        <f t="shared" si="44"/>
        <v>0</v>
      </c>
      <c r="BF57" s="5">
        <f t="shared" si="45"/>
        <v>0</v>
      </c>
      <c r="BG57" s="5">
        <f t="shared" si="46"/>
        <v>0</v>
      </c>
      <c r="BH57" s="5">
        <f t="shared" si="47"/>
        <v>0</v>
      </c>
      <c r="BI57" s="3">
        <f t="shared" si="48"/>
        <v>0</v>
      </c>
      <c r="BJ57" s="46">
        <f t="shared" si="49"/>
        <v>0</v>
      </c>
      <c r="BK57" s="5">
        <f t="shared" si="50"/>
        <v>0</v>
      </c>
      <c r="BL57" s="5">
        <f t="shared" si="51"/>
        <v>0</v>
      </c>
      <c r="BM57" s="5">
        <f t="shared" si="52"/>
        <v>0</v>
      </c>
      <c r="BN57" s="5">
        <f t="shared" si="53"/>
        <v>0</v>
      </c>
      <c r="BO57" s="5">
        <f t="shared" si="54"/>
        <v>0</v>
      </c>
      <c r="BP57" s="5">
        <f t="shared" si="55"/>
        <v>0</v>
      </c>
      <c r="BQ57" s="5">
        <f t="shared" si="56"/>
        <v>0</v>
      </c>
      <c r="BR57" s="3">
        <f t="shared" si="57"/>
        <v>0</v>
      </c>
      <c r="BS57" s="3">
        <f t="shared" si="58"/>
        <v>4</v>
      </c>
      <c r="BT57" s="7">
        <f t="shared" si="59"/>
        <v>2</v>
      </c>
      <c r="BU57" t="str">
        <f t="shared" si="60"/>
        <v/>
      </c>
      <c r="BV57" s="306" t="e">
        <f>IF(S57="-","-",VLOOKUP($A57,AMABat!$A$10:$AS$1137,BV$9,FALSE)-S57)</f>
        <v>#N/A</v>
      </c>
      <c r="BW57" s="306" t="e">
        <f>IF(T57="-","-",VLOOKUP($A57,AMABat!$A$10:$AS$1137,BW$9,FALSE)-T57)</f>
        <v>#N/A</v>
      </c>
      <c r="BX57" s="306" t="e">
        <f>IF(U57="-","-",VLOOKUP($A57,AMABat!$A$10:$AS$1137,BX$9,FALSE)-U57)</f>
        <v>#N/A</v>
      </c>
      <c r="BY57" s="306" t="e">
        <f>IF(V57="-","-",VLOOKUP($A57,AMABat!$A$10:$AS$1137,BY$9,FALSE)-V57)</f>
        <v>#N/A</v>
      </c>
      <c r="BZ57" s="306" t="e">
        <f>IF(W57="-","-",VLOOKUP($A57,AMABat!$A$10:$AS$1137,BZ$9,FALSE)-W57)</f>
        <v>#N/A</v>
      </c>
      <c r="CA57" s="306" t="e">
        <f>IF(X57="-","-",VLOOKUP($A57,AMABat!$A$10:$AS$1137,CA$9,FALSE)-X57)</f>
        <v>#N/A</v>
      </c>
      <c r="CB57" s="306" t="e">
        <f>IF(Y57="-","-",VLOOKUP($A57,AMABat!$A$10:$AS$1137,CB$9,FALSE)-Y57)</f>
        <v>#N/A</v>
      </c>
      <c r="CC57" s="306" t="e">
        <f>IF(Z57="-","-",VLOOKUP($A57,AMABat!$A$10:$AS$1137,CC$9,FALSE)-Z57)</f>
        <v>#N/A</v>
      </c>
      <c r="CD57" s="306" t="e">
        <f>IF(AA57="-","-",VLOOKUP($A57,AMABat!$A$10:$AS$1137,CD$9,FALSE)-AA57)</f>
        <v>#N/A</v>
      </c>
      <c r="CE57" s="306" t="e">
        <f>IF(AB57="-","-",VLOOKUP($A57,AMABat!$A$10:$AS$1137,CE$9,FALSE)-AB57)</f>
        <v>#N/A</v>
      </c>
      <c r="CF57" s="306" t="e">
        <f>IF(AC57="-","-",VLOOKUP($A57,AMABat!$A$10:$AS$1137,CF$9,FALSE)-AC57)</f>
        <v>#N/A</v>
      </c>
      <c r="CG57" s="306" t="e">
        <f>IF(AD57="-","-",VLOOKUP($A57,AMABat!$A$10:$AS$1137,CG$9,FALSE)-AD57)</f>
        <v>#N/A</v>
      </c>
      <c r="CH57" s="306" t="e">
        <f>IF(AE57="-","-",VLOOKUP($A57,AMABat!$A$10:$AS$1137,CH$9,FALSE)-AE57)</f>
        <v>#N/A</v>
      </c>
      <c r="CI57" s="306" t="str">
        <f>IF(AG57="-","-",VLOOKUP($A57,AMABat!$A$10:$AS$1137,CI$9,FALSE)-AG57)</f>
        <v>-</v>
      </c>
      <c r="CJ57" s="306" t="str">
        <f>IF(AH57="-","-",VLOOKUP($A57,AMABat!$A$10:$AS$1137,CJ$9,FALSE)-AH57)</f>
        <v>-</v>
      </c>
      <c r="CK57" s="306" t="str">
        <f>IF(AI57="-","-",VLOOKUP($A57,AMABat!$A$10:$AS$1137,CK$9,FALSE)-AI57)</f>
        <v>-</v>
      </c>
      <c r="CL57" s="306" t="str">
        <f>IF(AJ57="-","-",VLOOKUP($A57,AMABat!$A$10:$AS$1137,CL$9,FALSE)-AJ57)</f>
        <v>-</v>
      </c>
      <c r="CM57" s="306" t="str">
        <f>IF(AK57="-","-",VLOOKUP($A57,AMABat!$A$10:$AS$1137,CM$9,FALSE)-AK57)</f>
        <v>-</v>
      </c>
      <c r="CN57" s="306" t="e">
        <f>IF(AL57="-","-",VLOOKUP($A57,AMABat!$A$10:$AS$1137,CN$9,FALSE)-AL57)</f>
        <v>#N/A</v>
      </c>
      <c r="CO57" s="306" t="e">
        <f>IF(AM57="-","-",VLOOKUP($A57,AMABat!$A$10:$AS$1137,CO$9,FALSE)-AM57)</f>
        <v>#N/A</v>
      </c>
      <c r="CP57" s="306" t="e">
        <f>IF(AN57="-","-",VLOOKUP($A57,AMABat!$A$10:$AS$1137,CP$9,FALSE)-AN57)</f>
        <v>#N/A</v>
      </c>
      <c r="CQ57" s="306" t="e">
        <f>IF(AO57="-","-",VLOOKUP($A57,AMABat!$A$10:$AS$1137,CQ$9,FALSE)-AO57)</f>
        <v>#N/A</v>
      </c>
      <c r="CR57" s="306" t="e">
        <f>IF(AP57="-","-",VLOOKUP($A57,AMABat!$A$10:$AS$1137,CR$9,FALSE)-AP57)</f>
        <v>#N/A</v>
      </c>
      <c r="CS57" s="306" t="e">
        <f>IF(AQ57="-","-",VLOOKUP($A57,AMABat!$A$10:$AS$1137,CS$9,FALSE)-AQ57)</f>
        <v>#N/A</v>
      </c>
      <c r="CT57" s="84" t="e">
        <f t="shared" si="61"/>
        <v>#N/A</v>
      </c>
      <c r="CU57" s="84" t="e">
        <f t="shared" si="62"/>
        <v>#N/A</v>
      </c>
      <c r="CV57" s="84" t="e">
        <f t="shared" si="63"/>
        <v>#N/A</v>
      </c>
      <c r="CW57" s="84" t="e">
        <f t="shared" si="64"/>
        <v>#N/A</v>
      </c>
      <c r="CX57" s="84" t="e">
        <f t="shared" si="65"/>
        <v>#N/A</v>
      </c>
    </row>
    <row r="58" spans="1:102" x14ac:dyDescent="0.25">
      <c r="A58" s="306" t="s">
        <v>649</v>
      </c>
      <c r="B58" s="305" t="s">
        <v>534</v>
      </c>
      <c r="C58" s="305"/>
      <c r="D58" s="305" t="s">
        <v>32</v>
      </c>
      <c r="E58" s="305" t="s">
        <v>32</v>
      </c>
      <c r="F58" s="305" t="s">
        <v>72</v>
      </c>
      <c r="G58" t="s">
        <v>79</v>
      </c>
      <c r="H58" t="s">
        <v>841</v>
      </c>
      <c r="I58" s="305" t="s">
        <v>842</v>
      </c>
      <c r="J58" t="s">
        <v>814</v>
      </c>
      <c r="K58" t="s">
        <v>187</v>
      </c>
      <c r="L58">
        <v>23</v>
      </c>
      <c r="M58" t="s">
        <v>82</v>
      </c>
      <c r="N58" t="s">
        <v>83</v>
      </c>
      <c r="O58" t="s">
        <v>773</v>
      </c>
      <c r="P58" s="268" t="s">
        <v>773</v>
      </c>
      <c r="Q58" t="s">
        <v>199</v>
      </c>
      <c r="R58" s="268" t="s">
        <v>200</v>
      </c>
      <c r="S58">
        <v>3</v>
      </c>
      <c r="T58">
        <v>4</v>
      </c>
      <c r="U58">
        <v>4</v>
      </c>
      <c r="V58">
        <v>6</v>
      </c>
      <c r="W58" s="268">
        <v>3</v>
      </c>
      <c r="X58">
        <v>4</v>
      </c>
      <c r="Y58">
        <v>4</v>
      </c>
      <c r="Z58">
        <v>4</v>
      </c>
      <c r="AA58">
        <v>6</v>
      </c>
      <c r="AB58" s="268">
        <v>4</v>
      </c>
      <c r="AC58">
        <v>4</v>
      </c>
      <c r="AD58">
        <v>7</v>
      </c>
      <c r="AE58">
        <v>1</v>
      </c>
      <c r="AF58" s="305">
        <v>1</v>
      </c>
      <c r="AG58" t="s">
        <v>32</v>
      </c>
      <c r="AH58" t="s">
        <v>32</v>
      </c>
      <c r="AI58" t="s">
        <v>32</v>
      </c>
      <c r="AJ58" t="s">
        <v>32</v>
      </c>
      <c r="AK58" t="s">
        <v>32</v>
      </c>
      <c r="AL58">
        <v>2</v>
      </c>
      <c r="AM58" t="s">
        <v>32</v>
      </c>
      <c r="AN58" s="268">
        <v>8</v>
      </c>
      <c r="AO58">
        <v>6</v>
      </c>
      <c r="AP58">
        <v>7</v>
      </c>
      <c r="AQ58" s="268">
        <v>10</v>
      </c>
      <c r="AR58" t="s">
        <v>32</v>
      </c>
      <c r="AS58" s="268" t="s">
        <v>33</v>
      </c>
      <c r="AT58" s="372" t="s">
        <v>199</v>
      </c>
      <c r="AU58" s="6">
        <f t="shared" si="34"/>
        <v>2.833333333333333</v>
      </c>
      <c r="AV58" s="9" t="str">
        <f t="shared" si="35"/>
        <v>Minors</v>
      </c>
      <c r="AW58" s="6">
        <f t="shared" si="36"/>
        <v>3.666666666666667</v>
      </c>
      <c r="AX58" s="6" t="str">
        <f t="shared" si="37"/>
        <v>Minors</v>
      </c>
      <c r="AY58" s="9">
        <f t="shared" si="38"/>
        <v>3.666666666666667</v>
      </c>
      <c r="AZ58" s="9" t="str">
        <f t="shared" si="39"/>
        <v>Minors</v>
      </c>
      <c r="BA58" s="266">
        <f t="shared" si="40"/>
        <v>0</v>
      </c>
      <c r="BB58" s="267">
        <f t="shared" si="41"/>
        <v>0</v>
      </c>
      <c r="BC58" s="267">
        <f t="shared" si="42"/>
        <v>0</v>
      </c>
      <c r="BD58" s="267">
        <f t="shared" si="43"/>
        <v>0</v>
      </c>
      <c r="BE58" s="267">
        <f t="shared" si="44"/>
        <v>0</v>
      </c>
      <c r="BF58" s="267">
        <f t="shared" si="45"/>
        <v>0</v>
      </c>
      <c r="BG58" s="267">
        <f t="shared" si="46"/>
        <v>0</v>
      </c>
      <c r="BH58" s="267">
        <f t="shared" si="47"/>
        <v>0</v>
      </c>
      <c r="BI58" s="268">
        <f t="shared" si="48"/>
        <v>0</v>
      </c>
      <c r="BJ58" s="266">
        <f t="shared" si="49"/>
        <v>0</v>
      </c>
      <c r="BK58" s="267">
        <f t="shared" si="50"/>
        <v>0</v>
      </c>
      <c r="BL58" s="267">
        <f t="shared" si="51"/>
        <v>0</v>
      </c>
      <c r="BM58" s="267">
        <f t="shared" si="52"/>
        <v>0</v>
      </c>
      <c r="BN58" s="267">
        <f t="shared" si="53"/>
        <v>0</v>
      </c>
      <c r="BO58" s="267">
        <f t="shared" si="54"/>
        <v>0</v>
      </c>
      <c r="BP58" s="267">
        <f t="shared" si="55"/>
        <v>0</v>
      </c>
      <c r="BQ58" s="267">
        <f t="shared" si="56"/>
        <v>0</v>
      </c>
      <c r="BR58" s="268">
        <f t="shared" si="57"/>
        <v>0</v>
      </c>
      <c r="BS58" s="268">
        <f t="shared" si="58"/>
        <v>2</v>
      </c>
      <c r="BT58" s="7">
        <f t="shared" si="59"/>
        <v>2</v>
      </c>
      <c r="BU58" t="str">
        <f t="shared" si="60"/>
        <v/>
      </c>
      <c r="BV58" s="306" t="e">
        <f>IF(S58="-","-",VLOOKUP($A58,AMABat!$A$10:$AS$1137,BV$9,FALSE)-S58)</f>
        <v>#N/A</v>
      </c>
      <c r="BW58" s="306" t="e">
        <f>IF(T58="-","-",VLOOKUP($A58,AMABat!$A$10:$AS$1137,BW$9,FALSE)-T58)</f>
        <v>#N/A</v>
      </c>
      <c r="BX58" s="306" t="e">
        <f>IF(U58="-","-",VLOOKUP($A58,AMABat!$A$10:$AS$1137,BX$9,FALSE)-U58)</f>
        <v>#N/A</v>
      </c>
      <c r="BY58" s="306" t="e">
        <f>IF(V58="-","-",VLOOKUP($A58,AMABat!$A$10:$AS$1137,BY$9,FALSE)-V58)</f>
        <v>#N/A</v>
      </c>
      <c r="BZ58" s="306" t="e">
        <f>IF(W58="-","-",VLOOKUP($A58,AMABat!$A$10:$AS$1137,BZ$9,FALSE)-W58)</f>
        <v>#N/A</v>
      </c>
      <c r="CA58" s="306" t="e">
        <f>IF(X58="-","-",VLOOKUP($A58,AMABat!$A$10:$AS$1137,CA$9,FALSE)-X58)</f>
        <v>#N/A</v>
      </c>
      <c r="CB58" s="306" t="e">
        <f>IF(Y58="-","-",VLOOKUP($A58,AMABat!$A$10:$AS$1137,CB$9,FALSE)-Y58)</f>
        <v>#N/A</v>
      </c>
      <c r="CC58" s="306" t="e">
        <f>IF(Z58="-","-",VLOOKUP($A58,AMABat!$A$10:$AS$1137,CC$9,FALSE)-Z58)</f>
        <v>#N/A</v>
      </c>
      <c r="CD58" s="306" t="e">
        <f>IF(AA58="-","-",VLOOKUP($A58,AMABat!$A$10:$AS$1137,CD$9,FALSE)-AA58)</f>
        <v>#N/A</v>
      </c>
      <c r="CE58" s="306" t="e">
        <f>IF(AB58="-","-",VLOOKUP($A58,AMABat!$A$10:$AS$1137,CE$9,FALSE)-AB58)</f>
        <v>#N/A</v>
      </c>
      <c r="CF58" s="306" t="e">
        <f>IF(AC58="-","-",VLOOKUP($A58,AMABat!$A$10:$AS$1137,CF$9,FALSE)-AC58)</f>
        <v>#N/A</v>
      </c>
      <c r="CG58" s="306" t="e">
        <f>IF(AD58="-","-",VLOOKUP($A58,AMABat!$A$10:$AS$1137,CG$9,FALSE)-AD58)</f>
        <v>#N/A</v>
      </c>
      <c r="CH58" s="306" t="e">
        <f>IF(AE58="-","-",VLOOKUP($A58,AMABat!$A$10:$AS$1137,CH$9,FALSE)-AE58)</f>
        <v>#N/A</v>
      </c>
      <c r="CI58" s="306" t="str">
        <f>IF(AG58="-","-",VLOOKUP($A58,AMABat!$A$10:$AS$1137,CI$9,FALSE)-AG58)</f>
        <v>-</v>
      </c>
      <c r="CJ58" s="306" t="str">
        <f>IF(AH58="-","-",VLOOKUP($A58,AMABat!$A$10:$AS$1137,CJ$9,FALSE)-AH58)</f>
        <v>-</v>
      </c>
      <c r="CK58" s="306" t="str">
        <f>IF(AI58="-","-",VLOOKUP($A58,AMABat!$A$10:$AS$1137,CK$9,FALSE)-AI58)</f>
        <v>-</v>
      </c>
      <c r="CL58" s="306" t="str">
        <f>IF(AJ58="-","-",VLOOKUP($A58,AMABat!$A$10:$AS$1137,CL$9,FALSE)-AJ58)</f>
        <v>-</v>
      </c>
      <c r="CM58" s="306" t="str">
        <f>IF(AK58="-","-",VLOOKUP($A58,AMABat!$A$10:$AS$1137,CM$9,FALSE)-AK58)</f>
        <v>-</v>
      </c>
      <c r="CN58" s="306" t="e">
        <f>IF(AL58="-","-",VLOOKUP($A58,AMABat!$A$10:$AS$1137,CN$9,FALSE)-AL58)</f>
        <v>#N/A</v>
      </c>
      <c r="CO58" s="306" t="str">
        <f>IF(AM58="-","-",VLOOKUP($A58,AMABat!$A$10:$AS$1137,CO$9,FALSE)-AM58)</f>
        <v>-</v>
      </c>
      <c r="CP58" s="306" t="e">
        <f>IF(AN58="-","-",VLOOKUP($A58,AMABat!$A$10:$AS$1137,CP$9,FALSE)-AN58)</f>
        <v>#N/A</v>
      </c>
      <c r="CQ58" s="306" t="e">
        <f>IF(AO58="-","-",VLOOKUP($A58,AMABat!$A$10:$AS$1137,CQ$9,FALSE)-AO58)</f>
        <v>#N/A</v>
      </c>
      <c r="CR58" s="306" t="e">
        <f>IF(AP58="-","-",VLOOKUP($A58,AMABat!$A$10:$AS$1137,CR$9,FALSE)-AP58)</f>
        <v>#N/A</v>
      </c>
      <c r="CS58" s="306" t="e">
        <f>IF(AQ58="-","-",VLOOKUP($A58,AMABat!$A$10:$AS$1137,CS$9,FALSE)-AQ58)</f>
        <v>#N/A</v>
      </c>
      <c r="CT58" s="84" t="e">
        <f t="shared" si="61"/>
        <v>#N/A</v>
      </c>
      <c r="CU58" s="84" t="e">
        <f t="shared" si="62"/>
        <v>#N/A</v>
      </c>
      <c r="CV58" s="84" t="e">
        <f t="shared" si="63"/>
        <v>#N/A</v>
      </c>
      <c r="CW58" s="84" t="e">
        <f t="shared" si="64"/>
        <v>#N/A</v>
      </c>
      <c r="CX58" s="84" t="e">
        <f t="shared" si="65"/>
        <v>#N/A</v>
      </c>
    </row>
    <row r="59" spans="1:102" x14ac:dyDescent="0.25">
      <c r="A59" s="306" t="s">
        <v>650</v>
      </c>
      <c r="B59" s="305" t="s">
        <v>534</v>
      </c>
      <c r="C59" s="305"/>
      <c r="D59" s="305" t="s">
        <v>32</v>
      </c>
      <c r="E59" s="305" t="s">
        <v>32</v>
      </c>
      <c r="F59" s="305" t="s">
        <v>81</v>
      </c>
      <c r="G59" t="s">
        <v>71</v>
      </c>
      <c r="H59" t="s">
        <v>859</v>
      </c>
      <c r="I59" s="305" t="s">
        <v>439</v>
      </c>
      <c r="J59" t="s">
        <v>769</v>
      </c>
      <c r="K59" t="s">
        <v>186</v>
      </c>
      <c r="L59">
        <v>26</v>
      </c>
      <c r="M59" t="s">
        <v>83</v>
      </c>
      <c r="N59" t="s">
        <v>83</v>
      </c>
      <c r="O59" t="s">
        <v>773</v>
      </c>
      <c r="P59" s="235" t="s">
        <v>764</v>
      </c>
      <c r="Q59" t="s">
        <v>200</v>
      </c>
      <c r="R59" s="235" t="s">
        <v>200</v>
      </c>
      <c r="S59">
        <v>3</v>
      </c>
      <c r="T59">
        <v>5</v>
      </c>
      <c r="U59">
        <v>5</v>
      </c>
      <c r="V59">
        <v>5</v>
      </c>
      <c r="W59" s="235">
        <v>6</v>
      </c>
      <c r="X59">
        <v>4</v>
      </c>
      <c r="Y59">
        <v>5</v>
      </c>
      <c r="Z59">
        <v>5</v>
      </c>
      <c r="AA59">
        <v>5</v>
      </c>
      <c r="AB59" s="235">
        <v>6</v>
      </c>
      <c r="AC59">
        <v>4</v>
      </c>
      <c r="AD59">
        <v>3</v>
      </c>
      <c r="AE59">
        <v>6</v>
      </c>
      <c r="AF59" s="305">
        <v>7</v>
      </c>
      <c r="AG59">
        <v>7</v>
      </c>
      <c r="AH59" t="s">
        <v>32</v>
      </c>
      <c r="AI59" t="s">
        <v>32</v>
      </c>
      <c r="AJ59" t="s">
        <v>32</v>
      </c>
      <c r="AK59" t="s">
        <v>32</v>
      </c>
      <c r="AL59" t="s">
        <v>32</v>
      </c>
      <c r="AM59" t="s">
        <v>32</v>
      </c>
      <c r="AN59" s="235" t="s">
        <v>32</v>
      </c>
      <c r="AO59">
        <v>1</v>
      </c>
      <c r="AP59">
        <v>3</v>
      </c>
      <c r="AQ59" s="235">
        <v>1</v>
      </c>
      <c r="AR59" s="78" t="s">
        <v>32</v>
      </c>
      <c r="AS59" s="235">
        <v>0</v>
      </c>
      <c r="AT59" s="372" t="s">
        <v>529</v>
      </c>
      <c r="AU59" s="6">
        <f t="shared" si="34"/>
        <v>2.833333333333333</v>
      </c>
      <c r="AV59" s="9" t="str">
        <f t="shared" si="35"/>
        <v>Minors</v>
      </c>
      <c r="AW59" s="6">
        <f t="shared" si="36"/>
        <v>3.666666666666667</v>
      </c>
      <c r="AX59" s="6" t="str">
        <f t="shared" si="37"/>
        <v>Minors</v>
      </c>
      <c r="AY59" s="9">
        <f t="shared" si="38"/>
        <v>2.833333333333333</v>
      </c>
      <c r="AZ59" s="9" t="str">
        <f t="shared" si="39"/>
        <v>Minors</v>
      </c>
      <c r="BA59" s="46">
        <f t="shared" si="40"/>
        <v>0</v>
      </c>
      <c r="BB59" s="234">
        <f t="shared" si="41"/>
        <v>0</v>
      </c>
      <c r="BC59" s="234">
        <f t="shared" si="42"/>
        <v>0</v>
      </c>
      <c r="BD59" s="234">
        <f t="shared" si="43"/>
        <v>0</v>
      </c>
      <c r="BE59" s="234">
        <f t="shared" si="44"/>
        <v>0</v>
      </c>
      <c r="BF59" s="234">
        <f t="shared" si="45"/>
        <v>0</v>
      </c>
      <c r="BG59" s="234">
        <f t="shared" si="46"/>
        <v>0</v>
      </c>
      <c r="BH59" s="234">
        <f t="shared" si="47"/>
        <v>0</v>
      </c>
      <c r="BI59" s="235">
        <f t="shared" si="48"/>
        <v>0</v>
      </c>
      <c r="BJ59" s="46">
        <f t="shared" si="49"/>
        <v>0</v>
      </c>
      <c r="BK59" s="234">
        <f t="shared" si="50"/>
        <v>0</v>
      </c>
      <c r="BL59" s="234">
        <f t="shared" si="51"/>
        <v>0</v>
      </c>
      <c r="BM59" s="234">
        <f t="shared" si="52"/>
        <v>0</v>
      </c>
      <c r="BN59" s="234">
        <f t="shared" si="53"/>
        <v>0</v>
      </c>
      <c r="BO59" s="234">
        <f t="shared" si="54"/>
        <v>0</v>
      </c>
      <c r="BP59" s="234">
        <f t="shared" si="55"/>
        <v>0</v>
      </c>
      <c r="BQ59" s="234">
        <f t="shared" si="56"/>
        <v>0</v>
      </c>
      <c r="BR59" s="235">
        <f t="shared" si="57"/>
        <v>0</v>
      </c>
      <c r="BS59" s="235">
        <f t="shared" si="58"/>
        <v>0</v>
      </c>
      <c r="BT59" s="7">
        <f t="shared" si="59"/>
        <v>2</v>
      </c>
      <c r="BU59" t="str">
        <f t="shared" si="60"/>
        <v/>
      </c>
      <c r="BV59" s="306" t="e">
        <f>IF(S59="-","-",VLOOKUP($A59,AMABat!$A$10:$AS$1137,BV$9,FALSE)-S59)</f>
        <v>#N/A</v>
      </c>
      <c r="BW59" s="306" t="e">
        <f>IF(T59="-","-",VLOOKUP($A59,AMABat!$A$10:$AS$1137,BW$9,FALSE)-T59)</f>
        <v>#N/A</v>
      </c>
      <c r="BX59" s="306" t="e">
        <f>IF(U59="-","-",VLOOKUP($A59,AMABat!$A$10:$AS$1137,BX$9,FALSE)-U59)</f>
        <v>#N/A</v>
      </c>
      <c r="BY59" s="306" t="e">
        <f>IF(V59="-","-",VLOOKUP($A59,AMABat!$A$10:$AS$1137,BY$9,FALSE)-V59)</f>
        <v>#N/A</v>
      </c>
      <c r="BZ59" s="306" t="e">
        <f>IF(W59="-","-",VLOOKUP($A59,AMABat!$A$10:$AS$1137,BZ$9,FALSE)-W59)</f>
        <v>#N/A</v>
      </c>
      <c r="CA59" s="306" t="e">
        <f>IF(X59="-","-",VLOOKUP($A59,AMABat!$A$10:$AS$1137,CA$9,FALSE)-X59)</f>
        <v>#N/A</v>
      </c>
      <c r="CB59" s="306" t="e">
        <f>IF(Y59="-","-",VLOOKUP($A59,AMABat!$A$10:$AS$1137,CB$9,FALSE)-Y59)</f>
        <v>#N/A</v>
      </c>
      <c r="CC59" s="306" t="e">
        <f>IF(Z59="-","-",VLOOKUP($A59,AMABat!$A$10:$AS$1137,CC$9,FALSE)-Z59)</f>
        <v>#N/A</v>
      </c>
      <c r="CD59" s="306" t="e">
        <f>IF(AA59="-","-",VLOOKUP($A59,AMABat!$A$10:$AS$1137,CD$9,FALSE)-AA59)</f>
        <v>#N/A</v>
      </c>
      <c r="CE59" s="306" t="e">
        <f>IF(AB59="-","-",VLOOKUP($A59,AMABat!$A$10:$AS$1137,CE$9,FALSE)-AB59)</f>
        <v>#N/A</v>
      </c>
      <c r="CF59" s="306" t="e">
        <f>IF(AC59="-","-",VLOOKUP($A59,AMABat!$A$10:$AS$1137,CF$9,FALSE)-AC59)</f>
        <v>#N/A</v>
      </c>
      <c r="CG59" s="306" t="e">
        <f>IF(AD59="-","-",VLOOKUP($A59,AMABat!$A$10:$AS$1137,CG$9,FALSE)-AD59)</f>
        <v>#N/A</v>
      </c>
      <c r="CH59" s="306" t="e">
        <f>IF(AE59="-","-",VLOOKUP($A59,AMABat!$A$10:$AS$1137,CH$9,FALSE)-AE59)</f>
        <v>#N/A</v>
      </c>
      <c r="CI59" s="306" t="e">
        <f>IF(AG59="-","-",VLOOKUP($A59,AMABat!$A$10:$AS$1137,CI$9,FALSE)-AG59)</f>
        <v>#N/A</v>
      </c>
      <c r="CJ59" s="306" t="str">
        <f>IF(AH59="-","-",VLOOKUP($A59,AMABat!$A$10:$AS$1137,CJ$9,FALSE)-AH59)</f>
        <v>-</v>
      </c>
      <c r="CK59" s="306" t="str">
        <f>IF(AI59="-","-",VLOOKUP($A59,AMABat!$A$10:$AS$1137,CK$9,FALSE)-AI59)</f>
        <v>-</v>
      </c>
      <c r="CL59" s="306" t="str">
        <f>IF(AJ59="-","-",VLOOKUP($A59,AMABat!$A$10:$AS$1137,CL$9,FALSE)-AJ59)</f>
        <v>-</v>
      </c>
      <c r="CM59" s="306" t="str">
        <f>IF(AK59="-","-",VLOOKUP($A59,AMABat!$A$10:$AS$1137,CM$9,FALSE)-AK59)</f>
        <v>-</v>
      </c>
      <c r="CN59" s="306" t="str">
        <f>IF(AL59="-","-",VLOOKUP($A59,AMABat!$A$10:$AS$1137,CN$9,FALSE)-AL59)</f>
        <v>-</v>
      </c>
      <c r="CO59" s="306" t="str">
        <f>IF(AM59="-","-",VLOOKUP($A59,AMABat!$A$10:$AS$1137,CO$9,FALSE)-AM59)</f>
        <v>-</v>
      </c>
      <c r="CP59" s="306" t="str">
        <f>IF(AN59="-","-",VLOOKUP($A59,AMABat!$A$10:$AS$1137,CP$9,FALSE)-AN59)</f>
        <v>-</v>
      </c>
      <c r="CQ59" s="306" t="e">
        <f>IF(AO59="-","-",VLOOKUP($A59,AMABat!$A$10:$AS$1137,CQ$9,FALSE)-AO59)</f>
        <v>#N/A</v>
      </c>
      <c r="CR59" s="306" t="e">
        <f>IF(AP59="-","-",VLOOKUP($A59,AMABat!$A$10:$AS$1137,CR$9,FALSE)-AP59)</f>
        <v>#N/A</v>
      </c>
      <c r="CS59" s="306" t="e">
        <f>IF(AQ59="-","-",VLOOKUP($A59,AMABat!$A$10:$AS$1137,CS$9,FALSE)-AQ59)</f>
        <v>#N/A</v>
      </c>
      <c r="CT59" s="84" t="e">
        <f t="shared" si="61"/>
        <v>#N/A</v>
      </c>
      <c r="CU59" s="84" t="e">
        <f t="shared" si="62"/>
        <v>#N/A</v>
      </c>
      <c r="CV59" s="84" t="e">
        <f t="shared" si="63"/>
        <v>#N/A</v>
      </c>
      <c r="CW59" s="84" t="e">
        <f t="shared" si="64"/>
        <v>#N/A</v>
      </c>
      <c r="CX59" s="84" t="e">
        <f t="shared" si="65"/>
        <v>#N/A</v>
      </c>
    </row>
    <row r="60" spans="1:102" x14ac:dyDescent="0.25">
      <c r="A60" s="306" t="s">
        <v>651</v>
      </c>
      <c r="B60" s="305" t="s">
        <v>534</v>
      </c>
      <c r="C60" s="305"/>
      <c r="D60" s="305" t="s">
        <v>32</v>
      </c>
      <c r="E60" s="305" t="s">
        <v>32</v>
      </c>
      <c r="F60" s="305" t="s">
        <v>81</v>
      </c>
      <c r="G60" t="s">
        <v>76</v>
      </c>
      <c r="H60" t="s">
        <v>804</v>
      </c>
      <c r="I60" s="305" t="s">
        <v>805</v>
      </c>
      <c r="J60" t="s">
        <v>769</v>
      </c>
      <c r="K60" t="s">
        <v>186</v>
      </c>
      <c r="L60">
        <v>30</v>
      </c>
      <c r="M60" t="s">
        <v>83</v>
      </c>
      <c r="N60" t="s">
        <v>83</v>
      </c>
      <c r="O60" t="s">
        <v>764</v>
      </c>
      <c r="P60" s="3" t="s">
        <v>764</v>
      </c>
      <c r="Q60" t="s">
        <v>201</v>
      </c>
      <c r="R60" s="3" t="s">
        <v>199</v>
      </c>
      <c r="S60">
        <v>3</v>
      </c>
      <c r="T60">
        <v>4</v>
      </c>
      <c r="U60">
        <v>3</v>
      </c>
      <c r="V60">
        <v>7</v>
      </c>
      <c r="W60" s="3">
        <v>6</v>
      </c>
      <c r="X60">
        <v>3</v>
      </c>
      <c r="Y60">
        <v>4</v>
      </c>
      <c r="Z60">
        <v>3</v>
      </c>
      <c r="AA60">
        <v>7</v>
      </c>
      <c r="AB60" s="3">
        <v>6</v>
      </c>
      <c r="AC60">
        <v>8</v>
      </c>
      <c r="AD60">
        <v>5</v>
      </c>
      <c r="AE60">
        <v>1</v>
      </c>
      <c r="AF60" s="305">
        <v>1</v>
      </c>
      <c r="AG60" t="s">
        <v>32</v>
      </c>
      <c r="AH60" t="s">
        <v>32</v>
      </c>
      <c r="AI60" t="s">
        <v>32</v>
      </c>
      <c r="AJ60" t="s">
        <v>32</v>
      </c>
      <c r="AK60">
        <v>7</v>
      </c>
      <c r="AL60" t="s">
        <v>32</v>
      </c>
      <c r="AM60" t="s">
        <v>32</v>
      </c>
      <c r="AN60" s="3" t="s">
        <v>32</v>
      </c>
      <c r="AO60">
        <v>6</v>
      </c>
      <c r="AP60">
        <v>9</v>
      </c>
      <c r="AQ60" s="3">
        <v>8</v>
      </c>
      <c r="AR60" t="s">
        <v>32</v>
      </c>
      <c r="AS60" s="3" t="s">
        <v>33</v>
      </c>
      <c r="AT60" s="372" t="s">
        <v>529</v>
      </c>
      <c r="AU60" s="6">
        <f t="shared" si="34"/>
        <v>2.833333333333333</v>
      </c>
      <c r="AV60" s="9" t="str">
        <f t="shared" si="35"/>
        <v>Minors</v>
      </c>
      <c r="AW60" s="6">
        <f t="shared" si="36"/>
        <v>2.833333333333333</v>
      </c>
      <c r="AX60" s="6" t="str">
        <f t="shared" si="37"/>
        <v>Minors</v>
      </c>
      <c r="AY60" s="9">
        <f t="shared" si="38"/>
        <v>2.833333333333333</v>
      </c>
      <c r="AZ60" s="9" t="str">
        <f t="shared" si="39"/>
        <v>Minors</v>
      </c>
      <c r="BA60" s="46">
        <f t="shared" si="40"/>
        <v>0</v>
      </c>
      <c r="BB60" s="5">
        <f t="shared" si="41"/>
        <v>0</v>
      </c>
      <c r="BC60" s="5">
        <f t="shared" si="42"/>
        <v>0</v>
      </c>
      <c r="BD60" s="5">
        <f t="shared" si="43"/>
        <v>0</v>
      </c>
      <c r="BE60" s="5">
        <f t="shared" si="44"/>
        <v>0</v>
      </c>
      <c r="BF60" s="5">
        <f t="shared" si="45"/>
        <v>0</v>
      </c>
      <c r="BG60" s="5">
        <f t="shared" si="46"/>
        <v>0</v>
      </c>
      <c r="BH60" s="5">
        <f t="shared" si="47"/>
        <v>0</v>
      </c>
      <c r="BI60" s="3">
        <f t="shared" si="48"/>
        <v>0</v>
      </c>
      <c r="BJ60" s="46">
        <f t="shared" si="49"/>
        <v>0</v>
      </c>
      <c r="BK60" s="5">
        <f t="shared" si="50"/>
        <v>0</v>
      </c>
      <c r="BL60" s="5">
        <f t="shared" si="51"/>
        <v>0</v>
      </c>
      <c r="BM60" s="5">
        <f t="shared" si="52"/>
        <v>0</v>
      </c>
      <c r="BN60" s="5">
        <f t="shared" si="53"/>
        <v>0</v>
      </c>
      <c r="BO60" s="5">
        <f t="shared" si="54"/>
        <v>0</v>
      </c>
      <c r="BP60" s="5">
        <f t="shared" si="55"/>
        <v>0</v>
      </c>
      <c r="BQ60" s="5">
        <f t="shared" si="56"/>
        <v>0</v>
      </c>
      <c r="BR60" s="3">
        <f t="shared" si="57"/>
        <v>0</v>
      </c>
      <c r="BS60" s="3">
        <f t="shared" si="58"/>
        <v>3</v>
      </c>
      <c r="BT60" s="7">
        <f t="shared" si="59"/>
        <v>1</v>
      </c>
      <c r="BU60" t="str">
        <f t="shared" si="60"/>
        <v/>
      </c>
      <c r="BV60" s="306" t="e">
        <f>IF(S60="-","-",VLOOKUP($A60,AMABat!$A$10:$AS$1137,BV$9,FALSE)-S60)</f>
        <v>#N/A</v>
      </c>
      <c r="BW60" s="306" t="e">
        <f>IF(T60="-","-",VLOOKUP($A60,AMABat!$A$10:$AS$1137,BW$9,FALSE)-T60)</f>
        <v>#N/A</v>
      </c>
      <c r="BX60" s="306" t="e">
        <f>IF(U60="-","-",VLOOKUP($A60,AMABat!$A$10:$AS$1137,BX$9,FALSE)-U60)</f>
        <v>#N/A</v>
      </c>
      <c r="BY60" s="306" t="e">
        <f>IF(V60="-","-",VLOOKUP($A60,AMABat!$A$10:$AS$1137,BY$9,FALSE)-V60)</f>
        <v>#N/A</v>
      </c>
      <c r="BZ60" s="306" t="e">
        <f>IF(W60="-","-",VLOOKUP($A60,AMABat!$A$10:$AS$1137,BZ$9,FALSE)-W60)</f>
        <v>#N/A</v>
      </c>
      <c r="CA60" s="306" t="e">
        <f>IF(X60="-","-",VLOOKUP($A60,AMABat!$A$10:$AS$1137,CA$9,FALSE)-X60)</f>
        <v>#N/A</v>
      </c>
      <c r="CB60" s="306" t="e">
        <f>IF(Y60="-","-",VLOOKUP($A60,AMABat!$A$10:$AS$1137,CB$9,FALSE)-Y60)</f>
        <v>#N/A</v>
      </c>
      <c r="CC60" s="306" t="e">
        <f>IF(Z60="-","-",VLOOKUP($A60,AMABat!$A$10:$AS$1137,CC$9,FALSE)-Z60)</f>
        <v>#N/A</v>
      </c>
      <c r="CD60" s="306" t="e">
        <f>IF(AA60="-","-",VLOOKUP($A60,AMABat!$A$10:$AS$1137,CD$9,FALSE)-AA60)</f>
        <v>#N/A</v>
      </c>
      <c r="CE60" s="306" t="e">
        <f>IF(AB60="-","-",VLOOKUP($A60,AMABat!$A$10:$AS$1137,CE$9,FALSE)-AB60)</f>
        <v>#N/A</v>
      </c>
      <c r="CF60" s="306" t="e">
        <f>IF(AC60="-","-",VLOOKUP($A60,AMABat!$A$10:$AS$1137,CF$9,FALSE)-AC60)</f>
        <v>#N/A</v>
      </c>
      <c r="CG60" s="306" t="e">
        <f>IF(AD60="-","-",VLOOKUP($A60,AMABat!$A$10:$AS$1137,CG$9,FALSE)-AD60)</f>
        <v>#N/A</v>
      </c>
      <c r="CH60" s="306" t="e">
        <f>IF(AE60="-","-",VLOOKUP($A60,AMABat!$A$10:$AS$1137,CH$9,FALSE)-AE60)</f>
        <v>#N/A</v>
      </c>
      <c r="CI60" s="306" t="str">
        <f>IF(AG60="-","-",VLOOKUP($A60,AMABat!$A$10:$AS$1137,CI$9,FALSE)-AG60)</f>
        <v>-</v>
      </c>
      <c r="CJ60" s="306" t="str">
        <f>IF(AH60="-","-",VLOOKUP($A60,AMABat!$A$10:$AS$1137,CJ$9,FALSE)-AH60)</f>
        <v>-</v>
      </c>
      <c r="CK60" s="306" t="str">
        <f>IF(AI60="-","-",VLOOKUP($A60,AMABat!$A$10:$AS$1137,CK$9,FALSE)-AI60)</f>
        <v>-</v>
      </c>
      <c r="CL60" s="306" t="str">
        <f>IF(AJ60="-","-",VLOOKUP($A60,AMABat!$A$10:$AS$1137,CL$9,FALSE)-AJ60)</f>
        <v>-</v>
      </c>
      <c r="CM60" s="306" t="e">
        <f>IF(AK60="-","-",VLOOKUP($A60,AMABat!$A$10:$AS$1137,CM$9,FALSE)-AK60)</f>
        <v>#N/A</v>
      </c>
      <c r="CN60" s="306" t="str">
        <f>IF(AL60="-","-",VLOOKUP($A60,AMABat!$A$10:$AS$1137,CN$9,FALSE)-AL60)</f>
        <v>-</v>
      </c>
      <c r="CO60" s="306" t="str">
        <f>IF(AM60="-","-",VLOOKUP($A60,AMABat!$A$10:$AS$1137,CO$9,FALSE)-AM60)</f>
        <v>-</v>
      </c>
      <c r="CP60" s="306" t="str">
        <f>IF(AN60="-","-",VLOOKUP($A60,AMABat!$A$10:$AS$1137,CP$9,FALSE)-AN60)</f>
        <v>-</v>
      </c>
      <c r="CQ60" s="306" t="e">
        <f>IF(AO60="-","-",VLOOKUP($A60,AMABat!$A$10:$AS$1137,CQ$9,FALSE)-AO60)</f>
        <v>#N/A</v>
      </c>
      <c r="CR60" s="306" t="e">
        <f>IF(AP60="-","-",VLOOKUP($A60,AMABat!$A$10:$AS$1137,CR$9,FALSE)-AP60)</f>
        <v>#N/A</v>
      </c>
      <c r="CS60" s="306" t="e">
        <f>IF(AQ60="-","-",VLOOKUP($A60,AMABat!$A$10:$AS$1137,CS$9,FALSE)-AQ60)</f>
        <v>#N/A</v>
      </c>
      <c r="CT60" s="84" t="e">
        <f t="shared" si="61"/>
        <v>#N/A</v>
      </c>
      <c r="CU60" s="84" t="e">
        <f t="shared" si="62"/>
        <v>#N/A</v>
      </c>
      <c r="CV60" s="84" t="e">
        <f t="shared" si="63"/>
        <v>#N/A</v>
      </c>
      <c r="CW60" s="84" t="e">
        <f t="shared" si="64"/>
        <v>#N/A</v>
      </c>
      <c r="CX60" s="84" t="e">
        <f t="shared" si="65"/>
        <v>#N/A</v>
      </c>
    </row>
    <row r="61" spans="1:102" x14ac:dyDescent="0.25">
      <c r="A61" s="306" t="s">
        <v>652</v>
      </c>
      <c r="B61" s="305" t="s">
        <v>534</v>
      </c>
      <c r="C61" s="305"/>
      <c r="D61" s="305" t="s">
        <v>32</v>
      </c>
      <c r="E61" s="305" t="s">
        <v>32</v>
      </c>
      <c r="F61" s="305" t="s">
        <v>81</v>
      </c>
      <c r="G61" t="s">
        <v>74</v>
      </c>
      <c r="H61" t="s">
        <v>819</v>
      </c>
      <c r="I61" s="305" t="s">
        <v>426</v>
      </c>
      <c r="J61" t="s">
        <v>814</v>
      </c>
      <c r="K61" t="s">
        <v>187</v>
      </c>
      <c r="L61">
        <v>22</v>
      </c>
      <c r="M61" t="s">
        <v>83</v>
      </c>
      <c r="N61" t="s">
        <v>83</v>
      </c>
      <c r="O61" t="s">
        <v>773</v>
      </c>
      <c r="P61" s="3" t="s">
        <v>764</v>
      </c>
      <c r="Q61" t="s">
        <v>201</v>
      </c>
      <c r="R61" s="3" t="s">
        <v>200</v>
      </c>
      <c r="S61">
        <v>4</v>
      </c>
      <c r="T61">
        <v>5</v>
      </c>
      <c r="U61">
        <v>3</v>
      </c>
      <c r="V61">
        <v>4</v>
      </c>
      <c r="W61" s="3">
        <v>4</v>
      </c>
      <c r="X61">
        <v>5</v>
      </c>
      <c r="Y61">
        <v>5</v>
      </c>
      <c r="Z61">
        <v>3</v>
      </c>
      <c r="AA61">
        <v>6</v>
      </c>
      <c r="AB61" s="3">
        <v>5</v>
      </c>
      <c r="AC61">
        <v>4</v>
      </c>
      <c r="AD61">
        <v>3</v>
      </c>
      <c r="AE61">
        <v>1</v>
      </c>
      <c r="AF61" s="305">
        <v>1</v>
      </c>
      <c r="AG61" t="s">
        <v>32</v>
      </c>
      <c r="AH61" t="s">
        <v>32</v>
      </c>
      <c r="AI61">
        <v>6</v>
      </c>
      <c r="AJ61" t="s">
        <v>32</v>
      </c>
      <c r="AK61">
        <v>4</v>
      </c>
      <c r="AL61">
        <v>1</v>
      </c>
      <c r="AM61" t="s">
        <v>32</v>
      </c>
      <c r="AN61" s="3" t="s">
        <v>32</v>
      </c>
      <c r="AO61">
        <v>7</v>
      </c>
      <c r="AP61">
        <v>7</v>
      </c>
      <c r="AQ61" s="3">
        <v>4</v>
      </c>
      <c r="AR61" s="78" t="s">
        <v>32</v>
      </c>
      <c r="AS61" s="3" t="s">
        <v>33</v>
      </c>
      <c r="AT61" s="372" t="s">
        <v>199</v>
      </c>
      <c r="AU61" s="6">
        <f t="shared" si="34"/>
        <v>2.6666666666666665</v>
      </c>
      <c r="AV61" s="9" t="str">
        <f t="shared" si="35"/>
        <v>Minors</v>
      </c>
      <c r="AW61" s="6">
        <f t="shared" si="36"/>
        <v>4.166666666666667</v>
      </c>
      <c r="AX61" s="6" t="str">
        <f t="shared" si="37"/>
        <v>Bench</v>
      </c>
      <c r="AY61" s="9">
        <f t="shared" si="38"/>
        <v>4.166666666666667</v>
      </c>
      <c r="AZ61" s="9" t="str">
        <f t="shared" si="39"/>
        <v>Bench</v>
      </c>
      <c r="BA61" s="46">
        <f t="shared" si="40"/>
        <v>0</v>
      </c>
      <c r="BB61" s="5">
        <f t="shared" si="41"/>
        <v>0</v>
      </c>
      <c r="BC61" s="5">
        <f t="shared" si="42"/>
        <v>0</v>
      </c>
      <c r="BD61" s="5">
        <f t="shared" si="43"/>
        <v>0</v>
      </c>
      <c r="BE61" s="5">
        <f t="shared" si="44"/>
        <v>0</v>
      </c>
      <c r="BF61" s="5">
        <f t="shared" si="45"/>
        <v>0</v>
      </c>
      <c r="BG61" s="5">
        <f t="shared" si="46"/>
        <v>0</v>
      </c>
      <c r="BH61" s="5">
        <f t="shared" si="47"/>
        <v>0</v>
      </c>
      <c r="BI61" s="3">
        <f t="shared" si="48"/>
        <v>0</v>
      </c>
      <c r="BJ61" s="46">
        <f t="shared" si="49"/>
        <v>0</v>
      </c>
      <c r="BK61" s="5">
        <f t="shared" si="50"/>
        <v>0</v>
      </c>
      <c r="BL61" s="5">
        <f t="shared" si="51"/>
        <v>0</v>
      </c>
      <c r="BM61" s="5">
        <f t="shared" si="52"/>
        <v>0</v>
      </c>
      <c r="BN61" s="5">
        <f t="shared" si="53"/>
        <v>0</v>
      </c>
      <c r="BO61" s="5">
        <f t="shared" si="54"/>
        <v>0</v>
      </c>
      <c r="BP61" s="5">
        <f t="shared" si="55"/>
        <v>0</v>
      </c>
      <c r="BQ61" s="5">
        <f t="shared" si="56"/>
        <v>0</v>
      </c>
      <c r="BR61" s="3">
        <f t="shared" si="57"/>
        <v>0</v>
      </c>
      <c r="BS61" s="3">
        <f t="shared" si="58"/>
        <v>0</v>
      </c>
      <c r="BT61" s="7">
        <f t="shared" si="59"/>
        <v>1</v>
      </c>
      <c r="BU61" t="str">
        <f t="shared" si="60"/>
        <v/>
      </c>
      <c r="BV61" s="306" t="e">
        <f>IF(S61="-","-",VLOOKUP($A61,AMABat!$A$10:$AS$1137,BV$9,FALSE)-S61)</f>
        <v>#N/A</v>
      </c>
      <c r="BW61" s="306" t="e">
        <f>IF(T61="-","-",VLOOKUP($A61,AMABat!$A$10:$AS$1137,BW$9,FALSE)-T61)</f>
        <v>#N/A</v>
      </c>
      <c r="BX61" s="306" t="e">
        <f>IF(U61="-","-",VLOOKUP($A61,AMABat!$A$10:$AS$1137,BX$9,FALSE)-U61)</f>
        <v>#N/A</v>
      </c>
      <c r="BY61" s="306" t="e">
        <f>IF(V61="-","-",VLOOKUP($A61,AMABat!$A$10:$AS$1137,BY$9,FALSE)-V61)</f>
        <v>#N/A</v>
      </c>
      <c r="BZ61" s="306" t="e">
        <f>IF(W61="-","-",VLOOKUP($A61,AMABat!$A$10:$AS$1137,BZ$9,FALSE)-W61)</f>
        <v>#N/A</v>
      </c>
      <c r="CA61" s="306" t="e">
        <f>IF(X61="-","-",VLOOKUP($A61,AMABat!$A$10:$AS$1137,CA$9,FALSE)-X61)</f>
        <v>#N/A</v>
      </c>
      <c r="CB61" s="306" t="e">
        <f>IF(Y61="-","-",VLOOKUP($A61,AMABat!$A$10:$AS$1137,CB$9,FALSE)-Y61)</f>
        <v>#N/A</v>
      </c>
      <c r="CC61" s="306" t="e">
        <f>IF(Z61="-","-",VLOOKUP($A61,AMABat!$A$10:$AS$1137,CC$9,FALSE)-Z61)</f>
        <v>#N/A</v>
      </c>
      <c r="CD61" s="306" t="e">
        <f>IF(AA61="-","-",VLOOKUP($A61,AMABat!$A$10:$AS$1137,CD$9,FALSE)-AA61)</f>
        <v>#N/A</v>
      </c>
      <c r="CE61" s="306" t="e">
        <f>IF(AB61="-","-",VLOOKUP($A61,AMABat!$A$10:$AS$1137,CE$9,FALSE)-AB61)</f>
        <v>#N/A</v>
      </c>
      <c r="CF61" s="306" t="e">
        <f>IF(AC61="-","-",VLOOKUP($A61,AMABat!$A$10:$AS$1137,CF$9,FALSE)-AC61)</f>
        <v>#N/A</v>
      </c>
      <c r="CG61" s="306" t="e">
        <f>IF(AD61="-","-",VLOOKUP($A61,AMABat!$A$10:$AS$1137,CG$9,FALSE)-AD61)</f>
        <v>#N/A</v>
      </c>
      <c r="CH61" s="306" t="e">
        <f>IF(AE61="-","-",VLOOKUP($A61,AMABat!$A$10:$AS$1137,CH$9,FALSE)-AE61)</f>
        <v>#N/A</v>
      </c>
      <c r="CI61" s="306" t="str">
        <f>IF(AG61="-","-",VLOOKUP($A61,AMABat!$A$10:$AS$1137,CI$9,FALSE)-AG61)</f>
        <v>-</v>
      </c>
      <c r="CJ61" s="306" t="str">
        <f>IF(AH61="-","-",VLOOKUP($A61,AMABat!$A$10:$AS$1137,CJ$9,FALSE)-AH61)</f>
        <v>-</v>
      </c>
      <c r="CK61" s="306" t="e">
        <f>IF(AI61="-","-",VLOOKUP($A61,AMABat!$A$10:$AS$1137,CK$9,FALSE)-AI61)</f>
        <v>#N/A</v>
      </c>
      <c r="CL61" s="306" t="str">
        <f>IF(AJ61="-","-",VLOOKUP($A61,AMABat!$A$10:$AS$1137,CL$9,FALSE)-AJ61)</f>
        <v>-</v>
      </c>
      <c r="CM61" s="306" t="e">
        <f>IF(AK61="-","-",VLOOKUP($A61,AMABat!$A$10:$AS$1137,CM$9,FALSE)-AK61)</f>
        <v>#N/A</v>
      </c>
      <c r="CN61" s="306" t="e">
        <f>IF(AL61="-","-",VLOOKUP($A61,AMABat!$A$10:$AS$1137,CN$9,FALSE)-AL61)</f>
        <v>#N/A</v>
      </c>
      <c r="CO61" s="306" t="str">
        <f>IF(AM61="-","-",VLOOKUP($A61,AMABat!$A$10:$AS$1137,CO$9,FALSE)-AM61)</f>
        <v>-</v>
      </c>
      <c r="CP61" s="306" t="str">
        <f>IF(AN61="-","-",VLOOKUP($A61,AMABat!$A$10:$AS$1137,CP$9,FALSE)-AN61)</f>
        <v>-</v>
      </c>
      <c r="CQ61" s="306" t="e">
        <f>IF(AO61="-","-",VLOOKUP($A61,AMABat!$A$10:$AS$1137,CQ$9,FALSE)-AO61)</f>
        <v>#N/A</v>
      </c>
      <c r="CR61" s="306" t="e">
        <f>IF(AP61="-","-",VLOOKUP($A61,AMABat!$A$10:$AS$1137,CR$9,FALSE)-AP61)</f>
        <v>#N/A</v>
      </c>
      <c r="CS61" s="306" t="e">
        <f>IF(AQ61="-","-",VLOOKUP($A61,AMABat!$A$10:$AS$1137,CS$9,FALSE)-AQ61)</f>
        <v>#N/A</v>
      </c>
      <c r="CT61" s="84" t="e">
        <f t="shared" si="61"/>
        <v>#N/A</v>
      </c>
      <c r="CU61" s="84" t="e">
        <f t="shared" si="62"/>
        <v>#N/A</v>
      </c>
      <c r="CV61" s="84" t="e">
        <f t="shared" si="63"/>
        <v>#N/A</v>
      </c>
      <c r="CW61" s="84" t="e">
        <f t="shared" si="64"/>
        <v>#N/A</v>
      </c>
      <c r="CX61" s="84" t="e">
        <f t="shared" si="65"/>
        <v>#N/A</v>
      </c>
    </row>
    <row r="62" spans="1:102" x14ac:dyDescent="0.25">
      <c r="A62" s="306" t="s">
        <v>653</v>
      </c>
      <c r="B62" s="305" t="s">
        <v>534</v>
      </c>
      <c r="C62" s="305"/>
      <c r="D62" s="305" t="s">
        <v>32</v>
      </c>
      <c r="E62" s="305" t="s">
        <v>32</v>
      </c>
      <c r="F62" s="305" t="s">
        <v>81</v>
      </c>
      <c r="G62" s="20" t="s">
        <v>78</v>
      </c>
      <c r="H62" s="20" t="s">
        <v>1133</v>
      </c>
      <c r="I62" s="20" t="s">
        <v>1134</v>
      </c>
      <c r="J62" s="20" t="s">
        <v>783</v>
      </c>
      <c r="K62" s="20" t="s">
        <v>185</v>
      </c>
      <c r="L62" s="20">
        <v>24</v>
      </c>
      <c r="M62" s="20" t="s">
        <v>83</v>
      </c>
      <c r="N62" s="20" t="s">
        <v>83</v>
      </c>
      <c r="O62" s="20" t="s">
        <v>773</v>
      </c>
      <c r="P62" s="21" t="s">
        <v>773</v>
      </c>
      <c r="Q62" s="20" t="s">
        <v>199</v>
      </c>
      <c r="R62" s="21" t="s">
        <v>199</v>
      </c>
      <c r="S62" s="20">
        <v>4</v>
      </c>
      <c r="T62" s="20">
        <v>4</v>
      </c>
      <c r="U62" s="20">
        <v>3</v>
      </c>
      <c r="V62" s="20">
        <v>4</v>
      </c>
      <c r="W62" s="21">
        <v>6</v>
      </c>
      <c r="X62" s="20">
        <v>4</v>
      </c>
      <c r="Y62" s="20">
        <v>5</v>
      </c>
      <c r="Z62" s="20">
        <v>3</v>
      </c>
      <c r="AA62" s="20">
        <v>5</v>
      </c>
      <c r="AB62" s="21">
        <v>6</v>
      </c>
      <c r="AC62" s="20">
        <v>7</v>
      </c>
      <c r="AD62" s="20">
        <v>10</v>
      </c>
      <c r="AE62" s="20">
        <v>1</v>
      </c>
      <c r="AF62" s="20">
        <v>1</v>
      </c>
      <c r="AG62" s="20" t="s">
        <v>32</v>
      </c>
      <c r="AH62" s="20" t="s">
        <v>32</v>
      </c>
      <c r="AI62" s="20" t="s">
        <v>32</v>
      </c>
      <c r="AJ62" s="20" t="s">
        <v>32</v>
      </c>
      <c r="AK62" s="20" t="s">
        <v>32</v>
      </c>
      <c r="AL62" s="20">
        <v>10</v>
      </c>
      <c r="AM62" s="20">
        <v>9</v>
      </c>
      <c r="AN62" s="21">
        <v>3</v>
      </c>
      <c r="AO62" s="20">
        <v>6</v>
      </c>
      <c r="AP62" s="20">
        <v>4</v>
      </c>
      <c r="AQ62" s="21">
        <v>1</v>
      </c>
      <c r="AR62" s="79" t="s">
        <v>32</v>
      </c>
      <c r="AS62" s="21" t="s">
        <v>33</v>
      </c>
      <c r="AT62" s="65" t="s">
        <v>199</v>
      </c>
      <c r="AU62" s="22">
        <f t="shared" si="34"/>
        <v>2.6666666666666665</v>
      </c>
      <c r="AV62" s="23" t="str">
        <f t="shared" si="35"/>
        <v>Minors</v>
      </c>
      <c r="AW62" s="22">
        <f t="shared" si="36"/>
        <v>3</v>
      </c>
      <c r="AX62" s="22" t="str">
        <f t="shared" si="37"/>
        <v>Minors</v>
      </c>
      <c r="AY62" s="23">
        <f t="shared" si="38"/>
        <v>3</v>
      </c>
      <c r="AZ62" s="23" t="str">
        <f t="shared" si="39"/>
        <v>Minors</v>
      </c>
      <c r="BA62" s="64">
        <f t="shared" si="40"/>
        <v>0</v>
      </c>
      <c r="BB62" s="65">
        <f t="shared" si="41"/>
        <v>0</v>
      </c>
      <c r="BC62" s="65">
        <f t="shared" si="42"/>
        <v>0</v>
      </c>
      <c r="BD62" s="65">
        <f t="shared" si="43"/>
        <v>0</v>
      </c>
      <c r="BE62" s="65">
        <f t="shared" si="44"/>
        <v>0</v>
      </c>
      <c r="BF62" s="65">
        <f t="shared" si="45"/>
        <v>0</v>
      </c>
      <c r="BG62" s="65">
        <f t="shared" si="46"/>
        <v>0</v>
      </c>
      <c r="BH62" s="65">
        <f t="shared" si="47"/>
        <v>0</v>
      </c>
      <c r="BI62" s="21">
        <f t="shared" si="48"/>
        <v>0</v>
      </c>
      <c r="BJ62" s="64">
        <f t="shared" si="49"/>
        <v>0</v>
      </c>
      <c r="BK62" s="65">
        <f t="shared" si="50"/>
        <v>0</v>
      </c>
      <c r="BL62" s="65">
        <f t="shared" si="51"/>
        <v>0</v>
      </c>
      <c r="BM62" s="65">
        <f t="shared" si="52"/>
        <v>0</v>
      </c>
      <c r="BN62" s="65">
        <f t="shared" si="53"/>
        <v>0</v>
      </c>
      <c r="BO62" s="65">
        <f t="shared" si="54"/>
        <v>0</v>
      </c>
      <c r="BP62" s="65">
        <f t="shared" si="55"/>
        <v>0</v>
      </c>
      <c r="BQ62" s="65">
        <f t="shared" si="56"/>
        <v>0</v>
      </c>
      <c r="BR62" s="21">
        <f t="shared" si="57"/>
        <v>0</v>
      </c>
      <c r="BS62" s="21">
        <f t="shared" si="58"/>
        <v>0</v>
      </c>
      <c r="BT62" s="24">
        <f t="shared" si="59"/>
        <v>2</v>
      </c>
      <c r="BU62" s="20" t="str">
        <f t="shared" si="60"/>
        <v/>
      </c>
      <c r="BV62" s="306" t="e">
        <f>IF(S62="-","-",VLOOKUP($A62,AMABat!$A$10:$AS$1137,BV$9,FALSE)-S62)</f>
        <v>#N/A</v>
      </c>
      <c r="BW62" s="306" t="e">
        <f>IF(T62="-","-",VLOOKUP($A62,AMABat!$A$10:$AS$1137,BW$9,FALSE)-T62)</f>
        <v>#N/A</v>
      </c>
      <c r="BX62" s="306" t="e">
        <f>IF(U62="-","-",VLOOKUP($A62,AMABat!$A$10:$AS$1137,BX$9,FALSE)-U62)</f>
        <v>#N/A</v>
      </c>
      <c r="BY62" s="306" t="e">
        <f>IF(V62="-","-",VLOOKUP($A62,AMABat!$A$10:$AS$1137,BY$9,FALSE)-V62)</f>
        <v>#N/A</v>
      </c>
      <c r="BZ62" s="306" t="e">
        <f>IF(W62="-","-",VLOOKUP($A62,AMABat!$A$10:$AS$1137,BZ$9,FALSE)-W62)</f>
        <v>#N/A</v>
      </c>
      <c r="CA62" s="306" t="e">
        <f>IF(X62="-","-",VLOOKUP($A62,AMABat!$A$10:$AS$1137,CA$9,FALSE)-X62)</f>
        <v>#N/A</v>
      </c>
      <c r="CB62" s="306" t="e">
        <f>IF(Y62="-","-",VLOOKUP($A62,AMABat!$A$10:$AS$1137,CB$9,FALSE)-Y62)</f>
        <v>#N/A</v>
      </c>
      <c r="CC62" s="306" t="e">
        <f>IF(Z62="-","-",VLOOKUP($A62,AMABat!$A$10:$AS$1137,CC$9,FALSE)-Z62)</f>
        <v>#N/A</v>
      </c>
      <c r="CD62" s="306" t="e">
        <f>IF(AA62="-","-",VLOOKUP($A62,AMABat!$A$10:$AS$1137,CD$9,FALSE)-AA62)</f>
        <v>#N/A</v>
      </c>
      <c r="CE62" s="306" t="e">
        <f>IF(AB62="-","-",VLOOKUP($A62,AMABat!$A$10:$AS$1137,CE$9,FALSE)-AB62)</f>
        <v>#N/A</v>
      </c>
      <c r="CF62" s="306" t="e">
        <f>IF(AC62="-","-",VLOOKUP($A62,AMABat!$A$10:$AS$1137,CF$9,FALSE)-AC62)</f>
        <v>#N/A</v>
      </c>
      <c r="CG62" s="306" t="e">
        <f>IF(AD62="-","-",VLOOKUP($A62,AMABat!$A$10:$AS$1137,CG$9,FALSE)-AD62)</f>
        <v>#N/A</v>
      </c>
      <c r="CH62" s="306" t="e">
        <f>IF(AE62="-","-",VLOOKUP($A62,AMABat!$A$10:$AS$1137,CH$9,FALSE)-AE62)</f>
        <v>#N/A</v>
      </c>
      <c r="CI62" s="306" t="str">
        <f>IF(AG62="-","-",VLOOKUP($A62,AMABat!$A$10:$AS$1137,CI$9,FALSE)-AG62)</f>
        <v>-</v>
      </c>
      <c r="CJ62" s="306" t="str">
        <f>IF(AH62="-","-",VLOOKUP($A62,AMABat!$A$10:$AS$1137,CJ$9,FALSE)-AH62)</f>
        <v>-</v>
      </c>
      <c r="CK62" s="306" t="str">
        <f>IF(AI62="-","-",VLOOKUP($A62,AMABat!$A$10:$AS$1137,CK$9,FALSE)-AI62)</f>
        <v>-</v>
      </c>
      <c r="CL62" s="306" t="str">
        <f>IF(AJ62="-","-",VLOOKUP($A62,AMABat!$A$10:$AS$1137,CL$9,FALSE)-AJ62)</f>
        <v>-</v>
      </c>
      <c r="CM62" s="306" t="str">
        <f>IF(AK62="-","-",VLOOKUP($A62,AMABat!$A$10:$AS$1137,CM$9,FALSE)-AK62)</f>
        <v>-</v>
      </c>
      <c r="CN62" s="306" t="e">
        <f>IF(AL62="-","-",VLOOKUP($A62,AMABat!$A$10:$AS$1137,CN$9,FALSE)-AL62)</f>
        <v>#N/A</v>
      </c>
      <c r="CO62" s="306" t="e">
        <f>IF(AM62="-","-",VLOOKUP($A62,AMABat!$A$10:$AS$1137,CO$9,FALSE)-AM62)</f>
        <v>#N/A</v>
      </c>
      <c r="CP62" s="306" t="e">
        <f>IF(AN62="-","-",VLOOKUP($A62,AMABat!$A$10:$AS$1137,CP$9,FALSE)-AN62)</f>
        <v>#N/A</v>
      </c>
      <c r="CQ62" s="306" t="e">
        <f>IF(AO62="-","-",VLOOKUP($A62,AMABat!$A$10:$AS$1137,CQ$9,FALSE)-AO62)</f>
        <v>#N/A</v>
      </c>
      <c r="CR62" s="306" t="e">
        <f>IF(AP62="-","-",VLOOKUP($A62,AMABat!$A$10:$AS$1137,CR$9,FALSE)-AP62)</f>
        <v>#N/A</v>
      </c>
      <c r="CS62" s="306" t="e">
        <f>IF(AQ62="-","-",VLOOKUP($A62,AMABat!$A$10:$AS$1137,CS$9,FALSE)-AQ62)</f>
        <v>#N/A</v>
      </c>
      <c r="CT62" s="84" t="e">
        <f t="shared" si="61"/>
        <v>#N/A</v>
      </c>
      <c r="CU62" s="84" t="e">
        <f t="shared" si="62"/>
        <v>#N/A</v>
      </c>
      <c r="CV62" s="84" t="e">
        <f t="shared" si="63"/>
        <v>#N/A</v>
      </c>
      <c r="CW62" s="84" t="e">
        <f t="shared" si="64"/>
        <v>#N/A</v>
      </c>
      <c r="CX62" s="84" t="e">
        <f t="shared" si="65"/>
        <v>#N/A</v>
      </c>
    </row>
    <row r="63" spans="1:102" x14ac:dyDescent="0.25">
      <c r="A63" s="306" t="s">
        <v>654</v>
      </c>
      <c r="B63" s="305" t="s">
        <v>534</v>
      </c>
      <c r="C63" s="305"/>
      <c r="D63" s="305" t="s">
        <v>32</v>
      </c>
      <c r="E63" s="305" t="s">
        <v>32</v>
      </c>
      <c r="F63" s="305" t="s">
        <v>81</v>
      </c>
      <c r="G63" t="s">
        <v>74</v>
      </c>
      <c r="H63" t="s">
        <v>492</v>
      </c>
      <c r="I63" s="305" t="s">
        <v>811</v>
      </c>
      <c r="J63" t="s">
        <v>802</v>
      </c>
      <c r="K63" t="s">
        <v>277</v>
      </c>
      <c r="L63">
        <v>22</v>
      </c>
      <c r="M63" t="s">
        <v>83</v>
      </c>
      <c r="N63" t="s">
        <v>83</v>
      </c>
      <c r="O63" t="s">
        <v>808</v>
      </c>
      <c r="P63" s="206" t="s">
        <v>773</v>
      </c>
      <c r="Q63" t="s">
        <v>201</v>
      </c>
      <c r="R63" s="206" t="s">
        <v>200</v>
      </c>
      <c r="S63">
        <v>4</v>
      </c>
      <c r="T63">
        <v>5</v>
      </c>
      <c r="U63">
        <v>2</v>
      </c>
      <c r="V63">
        <v>5</v>
      </c>
      <c r="W63" s="206">
        <v>6</v>
      </c>
      <c r="X63">
        <v>4</v>
      </c>
      <c r="Y63">
        <v>5</v>
      </c>
      <c r="Z63">
        <v>2</v>
      </c>
      <c r="AA63">
        <v>6</v>
      </c>
      <c r="AB63" s="206">
        <v>6</v>
      </c>
      <c r="AC63">
        <v>7</v>
      </c>
      <c r="AD63">
        <v>9</v>
      </c>
      <c r="AE63">
        <v>1</v>
      </c>
      <c r="AF63" s="305">
        <v>1</v>
      </c>
      <c r="AG63" t="s">
        <v>32</v>
      </c>
      <c r="AH63" t="s">
        <v>32</v>
      </c>
      <c r="AI63">
        <v>4</v>
      </c>
      <c r="AJ63" t="s">
        <v>32</v>
      </c>
      <c r="AK63" t="s">
        <v>32</v>
      </c>
      <c r="AL63" t="s">
        <v>32</v>
      </c>
      <c r="AM63">
        <v>2</v>
      </c>
      <c r="AN63" s="206" t="s">
        <v>32</v>
      </c>
      <c r="AO63">
        <v>4</v>
      </c>
      <c r="AP63">
        <v>2</v>
      </c>
      <c r="AQ63" s="206">
        <v>1</v>
      </c>
      <c r="AR63" s="78" t="s">
        <v>32</v>
      </c>
      <c r="AS63" s="206" t="s">
        <v>33</v>
      </c>
      <c r="AT63" s="372" t="s">
        <v>779</v>
      </c>
      <c r="AU63" s="6">
        <f t="shared" si="34"/>
        <v>2.6666666666666665</v>
      </c>
      <c r="AV63" s="9" t="str">
        <f t="shared" si="35"/>
        <v>Minors</v>
      </c>
      <c r="AW63" s="6">
        <f t="shared" si="36"/>
        <v>3</v>
      </c>
      <c r="AX63" s="6" t="str">
        <f t="shared" si="37"/>
        <v>Minors</v>
      </c>
      <c r="AY63" s="9">
        <f t="shared" si="38"/>
        <v>3</v>
      </c>
      <c r="AZ63" s="9" t="str">
        <f t="shared" si="39"/>
        <v>Minors</v>
      </c>
      <c r="BA63" s="46">
        <f t="shared" si="40"/>
        <v>0</v>
      </c>
      <c r="BB63" s="205">
        <f t="shared" si="41"/>
        <v>0</v>
      </c>
      <c r="BC63" s="205">
        <f t="shared" si="42"/>
        <v>0</v>
      </c>
      <c r="BD63" s="205">
        <f t="shared" si="43"/>
        <v>0</v>
      </c>
      <c r="BE63" s="205">
        <f t="shared" si="44"/>
        <v>0</v>
      </c>
      <c r="BF63" s="205">
        <f t="shared" si="45"/>
        <v>0</v>
      </c>
      <c r="BG63" s="205">
        <f t="shared" si="46"/>
        <v>0</v>
      </c>
      <c r="BH63" s="205">
        <f t="shared" si="47"/>
        <v>0</v>
      </c>
      <c r="BI63" s="206">
        <f t="shared" si="48"/>
        <v>0</v>
      </c>
      <c r="BJ63" s="46">
        <f t="shared" si="49"/>
        <v>0</v>
      </c>
      <c r="BK63" s="205">
        <f t="shared" si="50"/>
        <v>0</v>
      </c>
      <c r="BL63" s="205">
        <f t="shared" si="51"/>
        <v>0</v>
      </c>
      <c r="BM63" s="205">
        <f t="shared" si="52"/>
        <v>0</v>
      </c>
      <c r="BN63" s="205">
        <f t="shared" si="53"/>
        <v>0</v>
      </c>
      <c r="BO63" s="205">
        <f t="shared" si="54"/>
        <v>0</v>
      </c>
      <c r="BP63" s="205">
        <f t="shared" si="55"/>
        <v>0</v>
      </c>
      <c r="BQ63" s="205">
        <f t="shared" si="56"/>
        <v>0</v>
      </c>
      <c r="BR63" s="206">
        <f t="shared" si="57"/>
        <v>0</v>
      </c>
      <c r="BS63" s="206">
        <f t="shared" si="58"/>
        <v>0</v>
      </c>
      <c r="BT63" s="7">
        <f t="shared" si="59"/>
        <v>0</v>
      </c>
      <c r="BU63" t="str">
        <f t="shared" si="60"/>
        <v/>
      </c>
      <c r="BV63" s="306" t="e">
        <f>IF(S63="-","-",VLOOKUP($A63,AMABat!$A$10:$AS$1137,BV$9,FALSE)-S63)</f>
        <v>#N/A</v>
      </c>
      <c r="BW63" s="306" t="e">
        <f>IF(T63="-","-",VLOOKUP($A63,AMABat!$A$10:$AS$1137,BW$9,FALSE)-T63)</f>
        <v>#N/A</v>
      </c>
      <c r="BX63" s="306" t="e">
        <f>IF(U63="-","-",VLOOKUP($A63,AMABat!$A$10:$AS$1137,BX$9,FALSE)-U63)</f>
        <v>#N/A</v>
      </c>
      <c r="BY63" s="306" t="e">
        <f>IF(V63="-","-",VLOOKUP($A63,AMABat!$A$10:$AS$1137,BY$9,FALSE)-V63)</f>
        <v>#N/A</v>
      </c>
      <c r="BZ63" s="306" t="e">
        <f>IF(W63="-","-",VLOOKUP($A63,AMABat!$A$10:$AS$1137,BZ$9,FALSE)-W63)</f>
        <v>#N/A</v>
      </c>
      <c r="CA63" s="306" t="e">
        <f>IF(X63="-","-",VLOOKUP($A63,AMABat!$A$10:$AS$1137,CA$9,FALSE)-X63)</f>
        <v>#N/A</v>
      </c>
      <c r="CB63" s="306" t="e">
        <f>IF(Y63="-","-",VLOOKUP($A63,AMABat!$A$10:$AS$1137,CB$9,FALSE)-Y63)</f>
        <v>#N/A</v>
      </c>
      <c r="CC63" s="306" t="e">
        <f>IF(Z63="-","-",VLOOKUP($A63,AMABat!$A$10:$AS$1137,CC$9,FALSE)-Z63)</f>
        <v>#N/A</v>
      </c>
      <c r="CD63" s="306" t="e">
        <f>IF(AA63="-","-",VLOOKUP($A63,AMABat!$A$10:$AS$1137,CD$9,FALSE)-AA63)</f>
        <v>#N/A</v>
      </c>
      <c r="CE63" s="306" t="e">
        <f>IF(AB63="-","-",VLOOKUP($A63,AMABat!$A$10:$AS$1137,CE$9,FALSE)-AB63)</f>
        <v>#N/A</v>
      </c>
      <c r="CF63" s="306" t="e">
        <f>IF(AC63="-","-",VLOOKUP($A63,AMABat!$A$10:$AS$1137,CF$9,FALSE)-AC63)</f>
        <v>#N/A</v>
      </c>
      <c r="CG63" s="306" t="e">
        <f>IF(AD63="-","-",VLOOKUP($A63,AMABat!$A$10:$AS$1137,CG$9,FALSE)-AD63)</f>
        <v>#N/A</v>
      </c>
      <c r="CH63" s="306" t="e">
        <f>IF(AE63="-","-",VLOOKUP($A63,AMABat!$A$10:$AS$1137,CH$9,FALSE)-AE63)</f>
        <v>#N/A</v>
      </c>
      <c r="CI63" s="306" t="str">
        <f>IF(AG63="-","-",VLOOKUP($A63,AMABat!$A$10:$AS$1137,CI$9,FALSE)-AG63)</f>
        <v>-</v>
      </c>
      <c r="CJ63" s="306" t="str">
        <f>IF(AH63="-","-",VLOOKUP($A63,AMABat!$A$10:$AS$1137,CJ$9,FALSE)-AH63)</f>
        <v>-</v>
      </c>
      <c r="CK63" s="306" t="e">
        <f>IF(AI63="-","-",VLOOKUP($A63,AMABat!$A$10:$AS$1137,CK$9,FALSE)-AI63)</f>
        <v>#N/A</v>
      </c>
      <c r="CL63" s="306" t="str">
        <f>IF(AJ63="-","-",VLOOKUP($A63,AMABat!$A$10:$AS$1137,CL$9,FALSE)-AJ63)</f>
        <v>-</v>
      </c>
      <c r="CM63" s="306" t="str">
        <f>IF(AK63="-","-",VLOOKUP($A63,AMABat!$A$10:$AS$1137,CM$9,FALSE)-AK63)</f>
        <v>-</v>
      </c>
      <c r="CN63" s="306" t="str">
        <f>IF(AL63="-","-",VLOOKUP($A63,AMABat!$A$10:$AS$1137,CN$9,FALSE)-AL63)</f>
        <v>-</v>
      </c>
      <c r="CO63" s="306" t="e">
        <f>IF(AM63="-","-",VLOOKUP($A63,AMABat!$A$10:$AS$1137,CO$9,FALSE)-AM63)</f>
        <v>#N/A</v>
      </c>
      <c r="CP63" s="306" t="str">
        <f>IF(AN63="-","-",VLOOKUP($A63,AMABat!$A$10:$AS$1137,CP$9,FALSE)-AN63)</f>
        <v>-</v>
      </c>
      <c r="CQ63" s="306" t="e">
        <f>IF(AO63="-","-",VLOOKUP($A63,AMABat!$A$10:$AS$1137,CQ$9,FALSE)-AO63)</f>
        <v>#N/A</v>
      </c>
      <c r="CR63" s="306" t="e">
        <f>IF(AP63="-","-",VLOOKUP($A63,AMABat!$A$10:$AS$1137,CR$9,FALSE)-AP63)</f>
        <v>#N/A</v>
      </c>
      <c r="CS63" s="306" t="e">
        <f>IF(AQ63="-","-",VLOOKUP($A63,AMABat!$A$10:$AS$1137,CS$9,FALSE)-AQ63)</f>
        <v>#N/A</v>
      </c>
      <c r="CT63" s="84" t="e">
        <f t="shared" si="61"/>
        <v>#N/A</v>
      </c>
      <c r="CU63" s="84" t="e">
        <f t="shared" si="62"/>
        <v>#N/A</v>
      </c>
      <c r="CV63" s="84" t="e">
        <f t="shared" si="63"/>
        <v>#N/A</v>
      </c>
      <c r="CW63" s="84" t="e">
        <f t="shared" si="64"/>
        <v>#N/A</v>
      </c>
      <c r="CX63" s="84" t="e">
        <f t="shared" si="65"/>
        <v>#N/A</v>
      </c>
    </row>
    <row r="64" spans="1:102" x14ac:dyDescent="0.25">
      <c r="A64" s="306" t="s">
        <v>655</v>
      </c>
      <c r="B64" s="305" t="s">
        <v>534</v>
      </c>
      <c r="C64" s="305"/>
      <c r="D64" s="305" t="s">
        <v>32</v>
      </c>
      <c r="E64" s="305" t="s">
        <v>32</v>
      </c>
      <c r="F64" s="305" t="s">
        <v>72</v>
      </c>
      <c r="G64" t="s">
        <v>71</v>
      </c>
      <c r="H64" t="s">
        <v>500</v>
      </c>
      <c r="I64" s="305" t="s">
        <v>825</v>
      </c>
      <c r="J64" t="s">
        <v>814</v>
      </c>
      <c r="K64" t="s">
        <v>187</v>
      </c>
      <c r="L64">
        <v>24</v>
      </c>
      <c r="M64" t="s">
        <v>82</v>
      </c>
      <c r="N64" t="s">
        <v>83</v>
      </c>
      <c r="O64" t="s">
        <v>773</v>
      </c>
      <c r="P64" s="3" t="s">
        <v>773</v>
      </c>
      <c r="Q64" t="s">
        <v>200</v>
      </c>
      <c r="R64" s="3" t="s">
        <v>200</v>
      </c>
      <c r="S64">
        <v>4</v>
      </c>
      <c r="T64">
        <v>5</v>
      </c>
      <c r="U64">
        <v>4</v>
      </c>
      <c r="V64">
        <v>3</v>
      </c>
      <c r="W64" s="3">
        <v>7</v>
      </c>
      <c r="X64">
        <v>4</v>
      </c>
      <c r="Y64">
        <v>5</v>
      </c>
      <c r="Z64">
        <v>4</v>
      </c>
      <c r="AA64">
        <v>4</v>
      </c>
      <c r="AB64" s="3">
        <v>7</v>
      </c>
      <c r="AC64">
        <v>1</v>
      </c>
      <c r="AD64">
        <v>1</v>
      </c>
      <c r="AE64">
        <v>4</v>
      </c>
      <c r="AF64" s="305">
        <v>6</v>
      </c>
      <c r="AG64">
        <v>4</v>
      </c>
      <c r="AH64" t="s">
        <v>32</v>
      </c>
      <c r="AI64" t="s">
        <v>32</v>
      </c>
      <c r="AJ64" t="s">
        <v>32</v>
      </c>
      <c r="AK64" t="s">
        <v>32</v>
      </c>
      <c r="AL64" t="s">
        <v>32</v>
      </c>
      <c r="AM64" t="s">
        <v>32</v>
      </c>
      <c r="AN64" s="3" t="s">
        <v>32</v>
      </c>
      <c r="AO64">
        <v>2</v>
      </c>
      <c r="AP64">
        <v>2</v>
      </c>
      <c r="AQ64" s="3">
        <v>3</v>
      </c>
      <c r="AR64" s="78" t="s">
        <v>32</v>
      </c>
      <c r="AS64" s="3" t="s">
        <v>33</v>
      </c>
      <c r="AT64" s="372" t="s">
        <v>199</v>
      </c>
      <c r="AU64" s="22">
        <f t="shared" si="34"/>
        <v>2.6666666666666665</v>
      </c>
      <c r="AV64" s="23" t="str">
        <f t="shared" si="35"/>
        <v>Minors</v>
      </c>
      <c r="AW64" s="22">
        <f t="shared" si="36"/>
        <v>3</v>
      </c>
      <c r="AX64" s="22" t="str">
        <f t="shared" si="37"/>
        <v>Minors</v>
      </c>
      <c r="AY64" s="23">
        <f t="shared" si="38"/>
        <v>3</v>
      </c>
      <c r="AZ64" s="23" t="str">
        <f t="shared" si="39"/>
        <v>Minors</v>
      </c>
      <c r="BA64" s="64">
        <f t="shared" si="40"/>
        <v>0</v>
      </c>
      <c r="BB64" s="65">
        <f t="shared" si="41"/>
        <v>0</v>
      </c>
      <c r="BC64" s="65">
        <f t="shared" si="42"/>
        <v>0</v>
      </c>
      <c r="BD64" s="65">
        <f t="shared" si="43"/>
        <v>0</v>
      </c>
      <c r="BE64" s="65">
        <f t="shared" si="44"/>
        <v>0</v>
      </c>
      <c r="BF64" s="65">
        <f t="shared" si="45"/>
        <v>0</v>
      </c>
      <c r="BG64" s="65">
        <f t="shared" si="46"/>
        <v>0</v>
      </c>
      <c r="BH64" s="65">
        <f t="shared" si="47"/>
        <v>0</v>
      </c>
      <c r="BI64" s="21">
        <f t="shared" si="48"/>
        <v>0</v>
      </c>
      <c r="BJ64" s="64">
        <f t="shared" si="49"/>
        <v>0</v>
      </c>
      <c r="BK64" s="65">
        <f t="shared" si="50"/>
        <v>0</v>
      </c>
      <c r="BL64" s="65">
        <f t="shared" si="51"/>
        <v>0</v>
      </c>
      <c r="BM64" s="65">
        <f t="shared" si="52"/>
        <v>0</v>
      </c>
      <c r="BN64" s="65">
        <f t="shared" si="53"/>
        <v>0</v>
      </c>
      <c r="BO64" s="65">
        <f t="shared" si="54"/>
        <v>0</v>
      </c>
      <c r="BP64" s="65">
        <f t="shared" si="55"/>
        <v>0</v>
      </c>
      <c r="BQ64" s="65">
        <f t="shared" si="56"/>
        <v>0</v>
      </c>
      <c r="BR64" s="21">
        <f t="shared" si="57"/>
        <v>0</v>
      </c>
      <c r="BS64" s="21">
        <f t="shared" si="58"/>
        <v>0</v>
      </c>
      <c r="BT64" s="24">
        <f t="shared" si="59"/>
        <v>0</v>
      </c>
      <c r="BU64" s="20" t="str">
        <f t="shared" si="60"/>
        <v/>
      </c>
      <c r="BV64" s="306" t="e">
        <f>IF(S64="-","-",VLOOKUP($A64,AMABat!$A$10:$AS$1137,BV$9,FALSE)-S64)</f>
        <v>#N/A</v>
      </c>
      <c r="BW64" s="306" t="e">
        <f>IF(T64="-","-",VLOOKUP($A64,AMABat!$A$10:$AS$1137,BW$9,FALSE)-T64)</f>
        <v>#N/A</v>
      </c>
      <c r="BX64" s="306" t="e">
        <f>IF(U64="-","-",VLOOKUP($A64,AMABat!$A$10:$AS$1137,BX$9,FALSE)-U64)</f>
        <v>#N/A</v>
      </c>
      <c r="BY64" s="306" t="e">
        <f>IF(V64="-","-",VLOOKUP($A64,AMABat!$A$10:$AS$1137,BY$9,FALSE)-V64)</f>
        <v>#N/A</v>
      </c>
      <c r="BZ64" s="306" t="e">
        <f>IF(W64="-","-",VLOOKUP($A64,AMABat!$A$10:$AS$1137,BZ$9,FALSE)-W64)</f>
        <v>#N/A</v>
      </c>
      <c r="CA64" s="306" t="e">
        <f>IF(X64="-","-",VLOOKUP($A64,AMABat!$A$10:$AS$1137,CA$9,FALSE)-X64)</f>
        <v>#N/A</v>
      </c>
      <c r="CB64" s="306" t="e">
        <f>IF(Y64="-","-",VLOOKUP($A64,AMABat!$A$10:$AS$1137,CB$9,FALSE)-Y64)</f>
        <v>#N/A</v>
      </c>
      <c r="CC64" s="306" t="e">
        <f>IF(Z64="-","-",VLOOKUP($A64,AMABat!$A$10:$AS$1137,CC$9,FALSE)-Z64)</f>
        <v>#N/A</v>
      </c>
      <c r="CD64" s="306" t="e">
        <f>IF(AA64="-","-",VLOOKUP($A64,AMABat!$A$10:$AS$1137,CD$9,FALSE)-AA64)</f>
        <v>#N/A</v>
      </c>
      <c r="CE64" s="306" t="e">
        <f>IF(AB64="-","-",VLOOKUP($A64,AMABat!$A$10:$AS$1137,CE$9,FALSE)-AB64)</f>
        <v>#N/A</v>
      </c>
      <c r="CF64" s="306" t="e">
        <f>IF(AC64="-","-",VLOOKUP($A64,AMABat!$A$10:$AS$1137,CF$9,FALSE)-AC64)</f>
        <v>#N/A</v>
      </c>
      <c r="CG64" s="306" t="e">
        <f>IF(AD64="-","-",VLOOKUP($A64,AMABat!$A$10:$AS$1137,CG$9,FALSE)-AD64)</f>
        <v>#N/A</v>
      </c>
      <c r="CH64" s="306" t="e">
        <f>IF(AE64="-","-",VLOOKUP($A64,AMABat!$A$10:$AS$1137,CH$9,FALSE)-AE64)</f>
        <v>#N/A</v>
      </c>
      <c r="CI64" s="306" t="e">
        <f>IF(AG64="-","-",VLOOKUP($A64,AMABat!$A$10:$AS$1137,CI$9,FALSE)-AG64)</f>
        <v>#N/A</v>
      </c>
      <c r="CJ64" s="306" t="str">
        <f>IF(AH64="-","-",VLOOKUP($A64,AMABat!$A$10:$AS$1137,CJ$9,FALSE)-AH64)</f>
        <v>-</v>
      </c>
      <c r="CK64" s="306" t="str">
        <f>IF(AI64="-","-",VLOOKUP($A64,AMABat!$A$10:$AS$1137,CK$9,FALSE)-AI64)</f>
        <v>-</v>
      </c>
      <c r="CL64" s="306" t="str">
        <f>IF(AJ64="-","-",VLOOKUP($A64,AMABat!$A$10:$AS$1137,CL$9,FALSE)-AJ64)</f>
        <v>-</v>
      </c>
      <c r="CM64" s="306" t="str">
        <f>IF(AK64="-","-",VLOOKUP($A64,AMABat!$A$10:$AS$1137,CM$9,FALSE)-AK64)</f>
        <v>-</v>
      </c>
      <c r="CN64" s="306" t="str">
        <f>IF(AL64="-","-",VLOOKUP($A64,AMABat!$A$10:$AS$1137,CN$9,FALSE)-AL64)</f>
        <v>-</v>
      </c>
      <c r="CO64" s="306" t="str">
        <f>IF(AM64="-","-",VLOOKUP($A64,AMABat!$A$10:$AS$1137,CO$9,FALSE)-AM64)</f>
        <v>-</v>
      </c>
      <c r="CP64" s="306" t="str">
        <f>IF(AN64="-","-",VLOOKUP($A64,AMABat!$A$10:$AS$1137,CP$9,FALSE)-AN64)</f>
        <v>-</v>
      </c>
      <c r="CQ64" s="306" t="e">
        <f>IF(AO64="-","-",VLOOKUP($A64,AMABat!$A$10:$AS$1137,CQ$9,FALSE)-AO64)</f>
        <v>#N/A</v>
      </c>
      <c r="CR64" s="306" t="e">
        <f>IF(AP64="-","-",VLOOKUP($A64,AMABat!$A$10:$AS$1137,CR$9,FALSE)-AP64)</f>
        <v>#N/A</v>
      </c>
      <c r="CS64" s="306" t="e">
        <f>IF(AQ64="-","-",VLOOKUP($A64,AMABat!$A$10:$AS$1137,CS$9,FALSE)-AQ64)</f>
        <v>#N/A</v>
      </c>
      <c r="CT64" s="84" t="e">
        <f t="shared" si="61"/>
        <v>#N/A</v>
      </c>
      <c r="CU64" s="84" t="e">
        <f t="shared" si="62"/>
        <v>#N/A</v>
      </c>
      <c r="CV64" s="84" t="e">
        <f t="shared" si="63"/>
        <v>#N/A</v>
      </c>
      <c r="CW64" s="84" t="e">
        <f t="shared" si="64"/>
        <v>#N/A</v>
      </c>
      <c r="CX64" s="84" t="e">
        <f t="shared" si="65"/>
        <v>#N/A</v>
      </c>
    </row>
    <row r="65" spans="1:102" x14ac:dyDescent="0.25">
      <c r="A65" s="306" t="s">
        <v>656</v>
      </c>
      <c r="B65" s="305" t="s">
        <v>534</v>
      </c>
      <c r="C65" s="305"/>
      <c r="D65" s="305" t="s">
        <v>32</v>
      </c>
      <c r="E65" s="305" t="s">
        <v>32</v>
      </c>
      <c r="F65" s="305" t="s">
        <v>72</v>
      </c>
      <c r="G65" s="84" t="s">
        <v>73</v>
      </c>
      <c r="H65" s="84" t="s">
        <v>846</v>
      </c>
      <c r="I65" s="306" t="s">
        <v>847</v>
      </c>
      <c r="J65" s="84" t="s">
        <v>802</v>
      </c>
      <c r="K65" s="84" t="s">
        <v>277</v>
      </c>
      <c r="L65" s="84">
        <v>21</v>
      </c>
      <c r="M65" s="84" t="s">
        <v>85</v>
      </c>
      <c r="N65" s="84" t="s">
        <v>83</v>
      </c>
      <c r="O65" s="84" t="s">
        <v>808</v>
      </c>
      <c r="P65" s="271" t="s">
        <v>764</v>
      </c>
      <c r="Q65" s="84" t="s">
        <v>200</v>
      </c>
      <c r="R65" s="271" t="s">
        <v>200</v>
      </c>
      <c r="S65" s="84">
        <v>3</v>
      </c>
      <c r="T65" s="84">
        <v>5</v>
      </c>
      <c r="U65" s="84">
        <v>3</v>
      </c>
      <c r="V65" s="84">
        <v>6</v>
      </c>
      <c r="W65" s="271">
        <v>6</v>
      </c>
      <c r="X65" s="84">
        <v>5</v>
      </c>
      <c r="Y65" s="84">
        <v>6</v>
      </c>
      <c r="Z65" s="84">
        <v>6</v>
      </c>
      <c r="AA65" s="84">
        <v>8</v>
      </c>
      <c r="AB65" s="271">
        <v>6</v>
      </c>
      <c r="AC65" s="84">
        <v>3</v>
      </c>
      <c r="AD65" s="84">
        <v>2</v>
      </c>
      <c r="AE65" s="84">
        <v>1</v>
      </c>
      <c r="AF65" s="306">
        <v>1</v>
      </c>
      <c r="AG65" s="84" t="s">
        <v>32</v>
      </c>
      <c r="AH65" s="84">
        <v>6</v>
      </c>
      <c r="AI65" s="84" t="s">
        <v>32</v>
      </c>
      <c r="AJ65" s="84" t="s">
        <v>32</v>
      </c>
      <c r="AK65" s="84" t="s">
        <v>32</v>
      </c>
      <c r="AL65" s="84" t="s">
        <v>32</v>
      </c>
      <c r="AM65" s="84" t="s">
        <v>32</v>
      </c>
      <c r="AN65" s="271" t="s">
        <v>32</v>
      </c>
      <c r="AO65" s="84">
        <v>1</v>
      </c>
      <c r="AP65" s="84">
        <v>1</v>
      </c>
      <c r="AQ65" s="271">
        <v>2</v>
      </c>
      <c r="AR65" s="85" t="s">
        <v>32</v>
      </c>
      <c r="AS65" s="271" t="s">
        <v>33</v>
      </c>
      <c r="AT65" s="377" t="s">
        <v>199</v>
      </c>
      <c r="AU65" s="6">
        <f t="shared" si="34"/>
        <v>2.5</v>
      </c>
      <c r="AV65" s="9" t="str">
        <f t="shared" si="35"/>
        <v>Minors</v>
      </c>
      <c r="AW65" s="6">
        <f t="shared" si="36"/>
        <v>5.833333333333333</v>
      </c>
      <c r="AX65" s="6" t="str">
        <f t="shared" si="37"/>
        <v>Reg</v>
      </c>
      <c r="AY65" s="9">
        <f t="shared" si="38"/>
        <v>5.833333333333333</v>
      </c>
      <c r="AZ65" s="9" t="str">
        <f t="shared" si="39"/>
        <v>Reg</v>
      </c>
      <c r="BA65" s="273">
        <f t="shared" si="40"/>
        <v>0</v>
      </c>
      <c r="BB65" s="274">
        <f t="shared" si="41"/>
        <v>0</v>
      </c>
      <c r="BC65" s="274">
        <f t="shared" si="42"/>
        <v>0</v>
      </c>
      <c r="BD65" s="274">
        <f t="shared" si="43"/>
        <v>0</v>
      </c>
      <c r="BE65" s="274">
        <f t="shared" si="44"/>
        <v>0</v>
      </c>
      <c r="BF65" s="274">
        <f t="shared" si="45"/>
        <v>0</v>
      </c>
      <c r="BG65" s="274">
        <f t="shared" si="46"/>
        <v>0</v>
      </c>
      <c r="BH65" s="274">
        <f t="shared" si="47"/>
        <v>0</v>
      </c>
      <c r="BI65" s="275">
        <f t="shared" si="48"/>
        <v>0</v>
      </c>
      <c r="BJ65" s="273">
        <f t="shared" si="49"/>
        <v>0</v>
      </c>
      <c r="BK65" s="274">
        <f t="shared" si="50"/>
        <v>1</v>
      </c>
      <c r="BL65" s="274">
        <f t="shared" si="51"/>
        <v>0</v>
      </c>
      <c r="BM65" s="274">
        <f t="shared" si="52"/>
        <v>0</v>
      </c>
      <c r="BN65" s="274">
        <f t="shared" si="53"/>
        <v>0</v>
      </c>
      <c r="BO65" s="274">
        <f t="shared" si="54"/>
        <v>0</v>
      </c>
      <c r="BP65" s="274">
        <f t="shared" si="55"/>
        <v>1</v>
      </c>
      <c r="BQ65" s="274">
        <f t="shared" si="56"/>
        <v>1</v>
      </c>
      <c r="BR65" s="275">
        <f t="shared" si="57"/>
        <v>1</v>
      </c>
      <c r="BS65" s="275">
        <f t="shared" si="58"/>
        <v>0</v>
      </c>
      <c r="BT65" s="7">
        <f t="shared" si="59"/>
        <v>1</v>
      </c>
      <c r="BU65" t="str">
        <f t="shared" si="60"/>
        <v/>
      </c>
      <c r="BV65" s="306" t="e">
        <f>IF(S65="-","-",VLOOKUP($A65,AMABat!$A$10:$AS$1137,BV$9,FALSE)-S65)</f>
        <v>#N/A</v>
      </c>
      <c r="BW65" s="306" t="e">
        <f>IF(T65="-","-",VLOOKUP($A65,AMABat!$A$10:$AS$1137,BW$9,FALSE)-T65)</f>
        <v>#N/A</v>
      </c>
      <c r="BX65" s="306" t="e">
        <f>IF(U65="-","-",VLOOKUP($A65,AMABat!$A$10:$AS$1137,BX$9,FALSE)-U65)</f>
        <v>#N/A</v>
      </c>
      <c r="BY65" s="306" t="e">
        <f>IF(V65="-","-",VLOOKUP($A65,AMABat!$A$10:$AS$1137,BY$9,FALSE)-V65)</f>
        <v>#N/A</v>
      </c>
      <c r="BZ65" s="306" t="e">
        <f>IF(W65="-","-",VLOOKUP($A65,AMABat!$A$10:$AS$1137,BZ$9,FALSE)-W65)</f>
        <v>#N/A</v>
      </c>
      <c r="CA65" s="306" t="e">
        <f>IF(X65="-","-",VLOOKUP($A65,AMABat!$A$10:$AS$1137,CA$9,FALSE)-X65)</f>
        <v>#N/A</v>
      </c>
      <c r="CB65" s="306" t="e">
        <f>IF(Y65="-","-",VLOOKUP($A65,AMABat!$A$10:$AS$1137,CB$9,FALSE)-Y65)</f>
        <v>#N/A</v>
      </c>
      <c r="CC65" s="306" t="e">
        <f>IF(Z65="-","-",VLOOKUP($A65,AMABat!$A$10:$AS$1137,CC$9,FALSE)-Z65)</f>
        <v>#N/A</v>
      </c>
      <c r="CD65" s="306" t="e">
        <f>IF(AA65="-","-",VLOOKUP($A65,AMABat!$A$10:$AS$1137,CD$9,FALSE)-AA65)</f>
        <v>#N/A</v>
      </c>
      <c r="CE65" s="306" t="e">
        <f>IF(AB65="-","-",VLOOKUP($A65,AMABat!$A$10:$AS$1137,CE$9,FALSE)-AB65)</f>
        <v>#N/A</v>
      </c>
      <c r="CF65" s="306" t="e">
        <f>IF(AC65="-","-",VLOOKUP($A65,AMABat!$A$10:$AS$1137,CF$9,FALSE)-AC65)</f>
        <v>#N/A</v>
      </c>
      <c r="CG65" s="306" t="e">
        <f>IF(AD65="-","-",VLOOKUP($A65,AMABat!$A$10:$AS$1137,CG$9,FALSE)-AD65)</f>
        <v>#N/A</v>
      </c>
      <c r="CH65" s="306" t="e">
        <f>IF(AE65="-","-",VLOOKUP($A65,AMABat!$A$10:$AS$1137,CH$9,FALSE)-AE65)</f>
        <v>#N/A</v>
      </c>
      <c r="CI65" s="306" t="str">
        <f>IF(AG65="-","-",VLOOKUP($A65,AMABat!$A$10:$AS$1137,CI$9,FALSE)-AG65)</f>
        <v>-</v>
      </c>
      <c r="CJ65" s="306" t="e">
        <f>IF(AH65="-","-",VLOOKUP($A65,AMABat!$A$10:$AS$1137,CJ$9,FALSE)-AH65)</f>
        <v>#N/A</v>
      </c>
      <c r="CK65" s="306" t="str">
        <f>IF(AI65="-","-",VLOOKUP($A65,AMABat!$A$10:$AS$1137,CK$9,FALSE)-AI65)</f>
        <v>-</v>
      </c>
      <c r="CL65" s="306" t="str">
        <f>IF(AJ65="-","-",VLOOKUP($A65,AMABat!$A$10:$AS$1137,CL$9,FALSE)-AJ65)</f>
        <v>-</v>
      </c>
      <c r="CM65" s="306" t="str">
        <f>IF(AK65="-","-",VLOOKUP($A65,AMABat!$A$10:$AS$1137,CM$9,FALSE)-AK65)</f>
        <v>-</v>
      </c>
      <c r="CN65" s="306" t="str">
        <f>IF(AL65="-","-",VLOOKUP($A65,AMABat!$A$10:$AS$1137,CN$9,FALSE)-AL65)</f>
        <v>-</v>
      </c>
      <c r="CO65" s="306" t="str">
        <f>IF(AM65="-","-",VLOOKUP($A65,AMABat!$A$10:$AS$1137,CO$9,FALSE)-AM65)</f>
        <v>-</v>
      </c>
      <c r="CP65" s="306" t="str">
        <f>IF(AN65="-","-",VLOOKUP($A65,AMABat!$A$10:$AS$1137,CP$9,FALSE)-AN65)</f>
        <v>-</v>
      </c>
      <c r="CQ65" s="306" t="e">
        <f>IF(AO65="-","-",VLOOKUP($A65,AMABat!$A$10:$AS$1137,CQ$9,FALSE)-AO65)</f>
        <v>#N/A</v>
      </c>
      <c r="CR65" s="306" t="e">
        <f>IF(AP65="-","-",VLOOKUP($A65,AMABat!$A$10:$AS$1137,CR$9,FALSE)-AP65)</f>
        <v>#N/A</v>
      </c>
      <c r="CS65" s="306" t="e">
        <f>IF(AQ65="-","-",VLOOKUP($A65,AMABat!$A$10:$AS$1137,CS$9,FALSE)-AQ65)</f>
        <v>#N/A</v>
      </c>
      <c r="CT65" s="84" t="e">
        <f t="shared" si="61"/>
        <v>#N/A</v>
      </c>
      <c r="CU65" s="84" t="e">
        <f t="shared" si="62"/>
        <v>#N/A</v>
      </c>
      <c r="CV65" s="84" t="e">
        <f t="shared" si="63"/>
        <v>#N/A</v>
      </c>
      <c r="CW65" s="84" t="e">
        <f t="shared" si="64"/>
        <v>#N/A</v>
      </c>
      <c r="CX65" s="84" t="e">
        <f t="shared" si="65"/>
        <v>#N/A</v>
      </c>
    </row>
    <row r="66" spans="1:102" x14ac:dyDescent="0.25">
      <c r="A66" s="306" t="s">
        <v>657</v>
      </c>
      <c r="B66" s="305"/>
      <c r="C66" s="305"/>
      <c r="D66" s="305" t="s">
        <v>32</v>
      </c>
      <c r="E66" s="305" t="s">
        <v>32</v>
      </c>
      <c r="F66" s="305" t="s">
        <v>81</v>
      </c>
      <c r="G66" t="s">
        <v>71</v>
      </c>
      <c r="H66" t="s">
        <v>884</v>
      </c>
      <c r="I66" s="305" t="s">
        <v>1187</v>
      </c>
      <c r="J66" t="s">
        <v>802</v>
      </c>
      <c r="K66" t="s">
        <v>277</v>
      </c>
      <c r="L66">
        <v>22</v>
      </c>
      <c r="M66" t="s">
        <v>82</v>
      </c>
      <c r="N66" t="s">
        <v>83</v>
      </c>
      <c r="O66" t="s">
        <v>803</v>
      </c>
      <c r="P66" s="3" t="s">
        <v>773</v>
      </c>
      <c r="Q66" t="s">
        <v>200</v>
      </c>
      <c r="R66" s="3" t="s">
        <v>200</v>
      </c>
      <c r="S66">
        <v>3</v>
      </c>
      <c r="T66">
        <v>4</v>
      </c>
      <c r="U66">
        <v>4</v>
      </c>
      <c r="V66">
        <v>5</v>
      </c>
      <c r="W66" s="3">
        <v>2</v>
      </c>
      <c r="X66">
        <v>4</v>
      </c>
      <c r="Y66">
        <v>4</v>
      </c>
      <c r="Z66">
        <v>4</v>
      </c>
      <c r="AA66">
        <v>6</v>
      </c>
      <c r="AB66" s="3">
        <v>4</v>
      </c>
      <c r="AC66">
        <v>4</v>
      </c>
      <c r="AD66">
        <v>3</v>
      </c>
      <c r="AE66">
        <v>5</v>
      </c>
      <c r="AF66" s="305">
        <v>2</v>
      </c>
      <c r="AG66" t="s">
        <v>32</v>
      </c>
      <c r="AH66" t="s">
        <v>32</v>
      </c>
      <c r="AI66" t="s">
        <v>32</v>
      </c>
      <c r="AJ66" t="s">
        <v>32</v>
      </c>
      <c r="AK66" t="s">
        <v>32</v>
      </c>
      <c r="AL66" t="s">
        <v>32</v>
      </c>
      <c r="AM66" t="s">
        <v>32</v>
      </c>
      <c r="AN66" s="3" t="s">
        <v>32</v>
      </c>
      <c r="AO66">
        <v>1</v>
      </c>
      <c r="AP66">
        <v>4</v>
      </c>
      <c r="AQ66" s="3">
        <v>3</v>
      </c>
      <c r="AR66" s="78" t="s">
        <v>32</v>
      </c>
      <c r="AS66" s="3" t="s">
        <v>33</v>
      </c>
      <c r="AT66" s="372" t="s">
        <v>529</v>
      </c>
      <c r="AU66" s="22">
        <f t="shared" si="34"/>
        <v>2.5</v>
      </c>
      <c r="AV66" s="23" t="str">
        <f t="shared" si="35"/>
        <v>Minors</v>
      </c>
      <c r="AW66" s="22">
        <f t="shared" si="36"/>
        <v>3.666666666666667</v>
      </c>
      <c r="AX66" s="22" t="str">
        <f t="shared" si="37"/>
        <v>Minors</v>
      </c>
      <c r="AY66" s="23">
        <f t="shared" si="38"/>
        <v>3.666666666666667</v>
      </c>
      <c r="AZ66" s="23" t="str">
        <f t="shared" si="39"/>
        <v>Minors</v>
      </c>
      <c r="BA66" s="64">
        <f t="shared" si="40"/>
        <v>0</v>
      </c>
      <c r="BB66" s="65">
        <f t="shared" si="41"/>
        <v>0</v>
      </c>
      <c r="BC66" s="65">
        <f t="shared" si="42"/>
        <v>0</v>
      </c>
      <c r="BD66" s="65">
        <f t="shared" si="43"/>
        <v>0</v>
      </c>
      <c r="BE66" s="65">
        <f t="shared" si="44"/>
        <v>0</v>
      </c>
      <c r="BF66" s="65">
        <f t="shared" si="45"/>
        <v>0</v>
      </c>
      <c r="BG66" s="65">
        <f t="shared" si="46"/>
        <v>0</v>
      </c>
      <c r="BH66" s="65">
        <f t="shared" si="47"/>
        <v>0</v>
      </c>
      <c r="BI66" s="21">
        <f t="shared" si="48"/>
        <v>0</v>
      </c>
      <c r="BJ66" s="64">
        <f t="shared" si="49"/>
        <v>0</v>
      </c>
      <c r="BK66" s="65">
        <f t="shared" si="50"/>
        <v>0</v>
      </c>
      <c r="BL66" s="65">
        <f t="shared" si="51"/>
        <v>0</v>
      </c>
      <c r="BM66" s="65">
        <f t="shared" si="52"/>
        <v>0</v>
      </c>
      <c r="BN66" s="65">
        <f t="shared" si="53"/>
        <v>0</v>
      </c>
      <c r="BO66" s="65">
        <f t="shared" si="54"/>
        <v>0</v>
      </c>
      <c r="BP66" s="65">
        <f t="shared" si="55"/>
        <v>0</v>
      </c>
      <c r="BQ66" s="65">
        <f t="shared" si="56"/>
        <v>0</v>
      </c>
      <c r="BR66" s="21">
        <f t="shared" si="57"/>
        <v>0</v>
      </c>
      <c r="BS66" s="21">
        <f t="shared" si="58"/>
        <v>0</v>
      </c>
      <c r="BT66" s="24">
        <f t="shared" si="59"/>
        <v>0</v>
      </c>
      <c r="BU66" s="20" t="str">
        <f t="shared" si="60"/>
        <v/>
      </c>
      <c r="BV66" s="306" t="e">
        <f>IF(S66="-","-",VLOOKUP($A66,AMABat!$A$10:$AS$1137,BV$9,FALSE)-S66)</f>
        <v>#N/A</v>
      </c>
      <c r="BW66" s="306" t="e">
        <f>IF(T66="-","-",VLOOKUP($A66,AMABat!$A$10:$AS$1137,BW$9,FALSE)-T66)</f>
        <v>#N/A</v>
      </c>
      <c r="BX66" s="306" t="e">
        <f>IF(U66="-","-",VLOOKUP($A66,AMABat!$A$10:$AS$1137,BX$9,FALSE)-U66)</f>
        <v>#N/A</v>
      </c>
      <c r="BY66" s="306" t="e">
        <f>IF(V66="-","-",VLOOKUP($A66,AMABat!$A$10:$AS$1137,BY$9,FALSE)-V66)</f>
        <v>#N/A</v>
      </c>
      <c r="BZ66" s="306" t="e">
        <f>IF(W66="-","-",VLOOKUP($A66,AMABat!$A$10:$AS$1137,BZ$9,FALSE)-W66)</f>
        <v>#N/A</v>
      </c>
      <c r="CA66" s="306" t="e">
        <f>IF(X66="-","-",VLOOKUP($A66,AMABat!$A$10:$AS$1137,CA$9,FALSE)-X66)</f>
        <v>#N/A</v>
      </c>
      <c r="CB66" s="306" t="e">
        <f>IF(Y66="-","-",VLOOKUP($A66,AMABat!$A$10:$AS$1137,CB$9,FALSE)-Y66)</f>
        <v>#N/A</v>
      </c>
      <c r="CC66" s="306" t="e">
        <f>IF(Z66="-","-",VLOOKUP($A66,AMABat!$A$10:$AS$1137,CC$9,FALSE)-Z66)</f>
        <v>#N/A</v>
      </c>
      <c r="CD66" s="306" t="e">
        <f>IF(AA66="-","-",VLOOKUP($A66,AMABat!$A$10:$AS$1137,CD$9,FALSE)-AA66)</f>
        <v>#N/A</v>
      </c>
      <c r="CE66" s="306" t="e">
        <f>IF(AB66="-","-",VLOOKUP($A66,AMABat!$A$10:$AS$1137,CE$9,FALSE)-AB66)</f>
        <v>#N/A</v>
      </c>
      <c r="CF66" s="306" t="e">
        <f>IF(AC66="-","-",VLOOKUP($A66,AMABat!$A$10:$AS$1137,CF$9,FALSE)-AC66)</f>
        <v>#N/A</v>
      </c>
      <c r="CG66" s="306" t="e">
        <f>IF(AD66="-","-",VLOOKUP($A66,AMABat!$A$10:$AS$1137,CG$9,FALSE)-AD66)</f>
        <v>#N/A</v>
      </c>
      <c r="CH66" s="306" t="e">
        <f>IF(AE66="-","-",VLOOKUP($A66,AMABat!$A$10:$AS$1137,CH$9,FALSE)-AE66)</f>
        <v>#N/A</v>
      </c>
      <c r="CI66" s="306" t="str">
        <f>IF(AG66="-","-",VLOOKUP($A66,AMABat!$A$10:$AS$1137,CI$9,FALSE)-AG66)</f>
        <v>-</v>
      </c>
      <c r="CJ66" s="306" t="str">
        <f>IF(AH66="-","-",VLOOKUP($A66,AMABat!$A$10:$AS$1137,CJ$9,FALSE)-AH66)</f>
        <v>-</v>
      </c>
      <c r="CK66" s="306" t="str">
        <f>IF(AI66="-","-",VLOOKUP($A66,AMABat!$A$10:$AS$1137,CK$9,FALSE)-AI66)</f>
        <v>-</v>
      </c>
      <c r="CL66" s="306" t="str">
        <f>IF(AJ66="-","-",VLOOKUP($A66,AMABat!$A$10:$AS$1137,CL$9,FALSE)-AJ66)</f>
        <v>-</v>
      </c>
      <c r="CM66" s="306" t="str">
        <f>IF(AK66="-","-",VLOOKUP($A66,AMABat!$A$10:$AS$1137,CM$9,FALSE)-AK66)</f>
        <v>-</v>
      </c>
      <c r="CN66" s="306" t="str">
        <f>IF(AL66="-","-",VLOOKUP($A66,AMABat!$A$10:$AS$1137,CN$9,FALSE)-AL66)</f>
        <v>-</v>
      </c>
      <c r="CO66" s="306" t="str">
        <f>IF(AM66="-","-",VLOOKUP($A66,AMABat!$A$10:$AS$1137,CO$9,FALSE)-AM66)</f>
        <v>-</v>
      </c>
      <c r="CP66" s="306" t="str">
        <f>IF(AN66="-","-",VLOOKUP($A66,AMABat!$A$10:$AS$1137,CP$9,FALSE)-AN66)</f>
        <v>-</v>
      </c>
      <c r="CQ66" s="306" t="e">
        <f>IF(AO66="-","-",VLOOKUP($A66,AMABat!$A$10:$AS$1137,CQ$9,FALSE)-AO66)</f>
        <v>#N/A</v>
      </c>
      <c r="CR66" s="306" t="e">
        <f>IF(AP66="-","-",VLOOKUP($A66,AMABat!$A$10:$AS$1137,CR$9,FALSE)-AP66)</f>
        <v>#N/A</v>
      </c>
      <c r="CS66" s="306" t="e">
        <f>IF(AQ66="-","-",VLOOKUP($A66,AMABat!$A$10:$AS$1137,CS$9,FALSE)-AQ66)</f>
        <v>#N/A</v>
      </c>
      <c r="CT66" s="84" t="e">
        <f t="shared" si="61"/>
        <v>#N/A</v>
      </c>
      <c r="CU66" s="84" t="e">
        <f t="shared" si="62"/>
        <v>#N/A</v>
      </c>
      <c r="CV66" s="84" t="e">
        <f t="shared" si="63"/>
        <v>#N/A</v>
      </c>
      <c r="CW66" s="84" t="e">
        <f t="shared" si="64"/>
        <v>#N/A</v>
      </c>
      <c r="CX66" s="84" t="e">
        <f t="shared" si="65"/>
        <v>#N/A</v>
      </c>
    </row>
    <row r="67" spans="1:102" s="98" customFormat="1" x14ac:dyDescent="0.25">
      <c r="A67" s="306" t="s">
        <v>658</v>
      </c>
      <c r="B67" s="305" t="s">
        <v>534</v>
      </c>
      <c r="C67" s="305"/>
      <c r="D67" s="305">
        <v>9</v>
      </c>
      <c r="E67" s="305">
        <v>9</v>
      </c>
      <c r="F67" s="305" t="s">
        <v>72</v>
      </c>
      <c r="G67" t="s">
        <v>79</v>
      </c>
      <c r="H67" t="s">
        <v>800</v>
      </c>
      <c r="I67" s="305" t="s">
        <v>801</v>
      </c>
      <c r="J67" t="s">
        <v>802</v>
      </c>
      <c r="K67" t="s">
        <v>277</v>
      </c>
      <c r="L67">
        <v>22</v>
      </c>
      <c r="M67" t="s">
        <v>83</v>
      </c>
      <c r="N67" t="s">
        <v>83</v>
      </c>
      <c r="O67" t="s">
        <v>808</v>
      </c>
      <c r="P67" s="3" t="s">
        <v>773</v>
      </c>
      <c r="Q67" t="s">
        <v>200</v>
      </c>
      <c r="R67" s="3" t="s">
        <v>200</v>
      </c>
      <c r="S67">
        <v>4</v>
      </c>
      <c r="T67">
        <v>5</v>
      </c>
      <c r="U67">
        <v>3</v>
      </c>
      <c r="V67">
        <v>3</v>
      </c>
      <c r="W67" s="3">
        <v>5</v>
      </c>
      <c r="X67">
        <v>5</v>
      </c>
      <c r="Y67">
        <v>5</v>
      </c>
      <c r="Z67">
        <v>4</v>
      </c>
      <c r="AA67">
        <v>4</v>
      </c>
      <c r="AB67" s="3">
        <v>6</v>
      </c>
      <c r="AC67">
        <v>5</v>
      </c>
      <c r="AD67">
        <v>7</v>
      </c>
      <c r="AE67">
        <v>1</v>
      </c>
      <c r="AF67" s="305">
        <v>1</v>
      </c>
      <c r="AG67" t="s">
        <v>32</v>
      </c>
      <c r="AH67" t="s">
        <v>32</v>
      </c>
      <c r="AI67" t="s">
        <v>32</v>
      </c>
      <c r="AJ67">
        <v>1</v>
      </c>
      <c r="AK67">
        <v>1</v>
      </c>
      <c r="AL67">
        <v>8</v>
      </c>
      <c r="AM67">
        <v>4</v>
      </c>
      <c r="AN67" s="3">
        <v>7</v>
      </c>
      <c r="AO67">
        <v>10</v>
      </c>
      <c r="AP67">
        <v>8</v>
      </c>
      <c r="AQ67" s="3">
        <v>4</v>
      </c>
      <c r="AR67" s="78" t="s">
        <v>32</v>
      </c>
      <c r="AS67" s="3" t="s">
        <v>33</v>
      </c>
      <c r="AT67" s="372" t="s">
        <v>779</v>
      </c>
      <c r="AU67" s="6">
        <f t="shared" si="34"/>
        <v>2.3333333333333335</v>
      </c>
      <c r="AV67" s="9" t="str">
        <f t="shared" si="35"/>
        <v>Minors</v>
      </c>
      <c r="AW67" s="6">
        <f t="shared" si="36"/>
        <v>3.833333333333333</v>
      </c>
      <c r="AX67" s="6" t="str">
        <f t="shared" si="37"/>
        <v>Minors</v>
      </c>
      <c r="AY67" s="9">
        <f t="shared" si="38"/>
        <v>3.833333333333333</v>
      </c>
      <c r="AZ67" s="9" t="str">
        <f t="shared" si="39"/>
        <v>Minors</v>
      </c>
      <c r="BA67" s="273">
        <f t="shared" si="40"/>
        <v>0</v>
      </c>
      <c r="BB67" s="274">
        <f t="shared" si="41"/>
        <v>0</v>
      </c>
      <c r="BC67" s="274">
        <f t="shared" si="42"/>
        <v>0</v>
      </c>
      <c r="BD67" s="274">
        <f t="shared" si="43"/>
        <v>0</v>
      </c>
      <c r="BE67" s="274">
        <f t="shared" si="44"/>
        <v>0</v>
      </c>
      <c r="BF67" s="274">
        <f t="shared" si="45"/>
        <v>0</v>
      </c>
      <c r="BG67" s="274">
        <f t="shared" si="46"/>
        <v>0</v>
      </c>
      <c r="BH67" s="274">
        <f t="shared" si="47"/>
        <v>0</v>
      </c>
      <c r="BI67" s="275">
        <f t="shared" si="48"/>
        <v>0</v>
      </c>
      <c r="BJ67" s="273">
        <f t="shared" si="49"/>
        <v>0</v>
      </c>
      <c r="BK67" s="274">
        <f t="shared" si="50"/>
        <v>0</v>
      </c>
      <c r="BL67" s="274">
        <f t="shared" si="51"/>
        <v>0</v>
      </c>
      <c r="BM67" s="274">
        <f t="shared" si="52"/>
        <v>0</v>
      </c>
      <c r="BN67" s="274">
        <f t="shared" si="53"/>
        <v>0</v>
      </c>
      <c r="BO67" s="274">
        <f t="shared" si="54"/>
        <v>0</v>
      </c>
      <c r="BP67" s="274">
        <f t="shared" si="55"/>
        <v>0</v>
      </c>
      <c r="BQ67" s="274">
        <f t="shared" si="56"/>
        <v>0</v>
      </c>
      <c r="BR67" s="275">
        <f t="shared" si="57"/>
        <v>0</v>
      </c>
      <c r="BS67" s="275">
        <f t="shared" si="58"/>
        <v>3</v>
      </c>
      <c r="BT67" s="7">
        <f t="shared" si="59"/>
        <v>2</v>
      </c>
      <c r="BU67" t="str">
        <f t="shared" si="60"/>
        <v/>
      </c>
      <c r="BV67" s="306" t="e">
        <f>IF(S67="-","-",VLOOKUP($A67,AMABat!$A$10:$AS$1137,BV$9,FALSE)-S67)</f>
        <v>#N/A</v>
      </c>
      <c r="BW67" s="306" t="e">
        <f>IF(T67="-","-",VLOOKUP($A67,AMABat!$A$10:$AS$1137,BW$9,FALSE)-T67)</f>
        <v>#N/A</v>
      </c>
      <c r="BX67" s="306" t="e">
        <f>IF(U67="-","-",VLOOKUP($A67,AMABat!$A$10:$AS$1137,BX$9,FALSE)-U67)</f>
        <v>#N/A</v>
      </c>
      <c r="BY67" s="306" t="e">
        <f>IF(V67="-","-",VLOOKUP($A67,AMABat!$A$10:$AS$1137,BY$9,FALSE)-V67)</f>
        <v>#N/A</v>
      </c>
      <c r="BZ67" s="306" t="e">
        <f>IF(W67="-","-",VLOOKUP($A67,AMABat!$A$10:$AS$1137,BZ$9,FALSE)-W67)</f>
        <v>#N/A</v>
      </c>
      <c r="CA67" s="306" t="e">
        <f>IF(X67="-","-",VLOOKUP($A67,AMABat!$A$10:$AS$1137,CA$9,FALSE)-X67)</f>
        <v>#N/A</v>
      </c>
      <c r="CB67" s="306" t="e">
        <f>IF(Y67="-","-",VLOOKUP($A67,AMABat!$A$10:$AS$1137,CB$9,FALSE)-Y67)</f>
        <v>#N/A</v>
      </c>
      <c r="CC67" s="306" t="e">
        <f>IF(Z67="-","-",VLOOKUP($A67,AMABat!$A$10:$AS$1137,CC$9,FALSE)-Z67)</f>
        <v>#N/A</v>
      </c>
      <c r="CD67" s="306" t="e">
        <f>IF(AA67="-","-",VLOOKUP($A67,AMABat!$A$10:$AS$1137,CD$9,FALSE)-AA67)</f>
        <v>#N/A</v>
      </c>
      <c r="CE67" s="306" t="e">
        <f>IF(AB67="-","-",VLOOKUP($A67,AMABat!$A$10:$AS$1137,CE$9,FALSE)-AB67)</f>
        <v>#N/A</v>
      </c>
      <c r="CF67" s="306" t="e">
        <f>IF(AC67="-","-",VLOOKUP($A67,AMABat!$A$10:$AS$1137,CF$9,FALSE)-AC67)</f>
        <v>#N/A</v>
      </c>
      <c r="CG67" s="306" t="e">
        <f>IF(AD67="-","-",VLOOKUP($A67,AMABat!$A$10:$AS$1137,CG$9,FALSE)-AD67)</f>
        <v>#N/A</v>
      </c>
      <c r="CH67" s="306" t="e">
        <f>IF(AE67="-","-",VLOOKUP($A67,AMABat!$A$10:$AS$1137,CH$9,FALSE)-AE67)</f>
        <v>#N/A</v>
      </c>
      <c r="CI67" s="306" t="str">
        <f>IF(AG67="-","-",VLOOKUP($A67,AMABat!$A$10:$AS$1137,CI$9,FALSE)-AG67)</f>
        <v>-</v>
      </c>
      <c r="CJ67" s="306" t="str">
        <f>IF(AH67="-","-",VLOOKUP($A67,AMABat!$A$10:$AS$1137,CJ$9,FALSE)-AH67)</f>
        <v>-</v>
      </c>
      <c r="CK67" s="306" t="str">
        <f>IF(AI67="-","-",VLOOKUP($A67,AMABat!$A$10:$AS$1137,CK$9,FALSE)-AI67)</f>
        <v>-</v>
      </c>
      <c r="CL67" s="306" t="e">
        <f>IF(AJ67="-","-",VLOOKUP($A67,AMABat!$A$10:$AS$1137,CL$9,FALSE)-AJ67)</f>
        <v>#N/A</v>
      </c>
      <c r="CM67" s="306" t="e">
        <f>IF(AK67="-","-",VLOOKUP($A67,AMABat!$A$10:$AS$1137,CM$9,FALSE)-AK67)</f>
        <v>#N/A</v>
      </c>
      <c r="CN67" s="306" t="e">
        <f>IF(AL67="-","-",VLOOKUP($A67,AMABat!$A$10:$AS$1137,CN$9,FALSE)-AL67)</f>
        <v>#N/A</v>
      </c>
      <c r="CO67" s="306" t="e">
        <f>IF(AM67="-","-",VLOOKUP($A67,AMABat!$A$10:$AS$1137,CO$9,FALSE)-AM67)</f>
        <v>#N/A</v>
      </c>
      <c r="CP67" s="306" t="e">
        <f>IF(AN67="-","-",VLOOKUP($A67,AMABat!$A$10:$AS$1137,CP$9,FALSE)-AN67)</f>
        <v>#N/A</v>
      </c>
      <c r="CQ67" s="306" t="e">
        <f>IF(AO67="-","-",VLOOKUP($A67,AMABat!$A$10:$AS$1137,CQ$9,FALSE)-AO67)</f>
        <v>#N/A</v>
      </c>
      <c r="CR67" s="306" t="e">
        <f>IF(AP67="-","-",VLOOKUP($A67,AMABat!$A$10:$AS$1137,CR$9,FALSE)-AP67)</f>
        <v>#N/A</v>
      </c>
      <c r="CS67" s="306" t="e">
        <f>IF(AQ67="-","-",VLOOKUP($A67,AMABat!$A$10:$AS$1137,CS$9,FALSE)-AQ67)</f>
        <v>#N/A</v>
      </c>
      <c r="CT67" s="84" t="e">
        <f t="shared" si="61"/>
        <v>#N/A</v>
      </c>
      <c r="CU67" s="84" t="e">
        <f t="shared" si="62"/>
        <v>#N/A</v>
      </c>
      <c r="CV67" s="84" t="e">
        <f t="shared" si="63"/>
        <v>#N/A</v>
      </c>
      <c r="CW67" s="84" t="e">
        <f t="shared" si="64"/>
        <v>#N/A</v>
      </c>
      <c r="CX67" s="84" t="e">
        <f t="shared" si="65"/>
        <v>#N/A</v>
      </c>
    </row>
    <row r="68" spans="1:102" x14ac:dyDescent="0.25">
      <c r="A68" s="306" t="s">
        <v>659</v>
      </c>
      <c r="B68" s="305" t="s">
        <v>534</v>
      </c>
      <c r="C68" s="305"/>
      <c r="D68" s="305" t="s">
        <v>32</v>
      </c>
      <c r="E68" s="305" t="s">
        <v>32</v>
      </c>
      <c r="F68" s="305" t="s">
        <v>81</v>
      </c>
      <c r="G68" t="s">
        <v>79</v>
      </c>
      <c r="H68" t="s">
        <v>828</v>
      </c>
      <c r="I68" s="305" t="s">
        <v>829</v>
      </c>
      <c r="J68" t="s">
        <v>802</v>
      </c>
      <c r="K68" t="s">
        <v>277</v>
      </c>
      <c r="L68">
        <v>22</v>
      </c>
      <c r="M68" t="s">
        <v>83</v>
      </c>
      <c r="N68" t="s">
        <v>83</v>
      </c>
      <c r="O68" t="s">
        <v>803</v>
      </c>
      <c r="P68" s="3" t="s">
        <v>773</v>
      </c>
      <c r="Q68" t="s">
        <v>200</v>
      </c>
      <c r="R68" s="3" t="s">
        <v>199</v>
      </c>
      <c r="S68">
        <v>4</v>
      </c>
      <c r="T68">
        <v>4</v>
      </c>
      <c r="U68">
        <v>2</v>
      </c>
      <c r="V68">
        <v>4</v>
      </c>
      <c r="W68" s="3">
        <v>7</v>
      </c>
      <c r="X68">
        <v>5</v>
      </c>
      <c r="Y68">
        <v>5</v>
      </c>
      <c r="Z68">
        <v>2</v>
      </c>
      <c r="AA68">
        <v>5</v>
      </c>
      <c r="AB68" s="3">
        <v>7</v>
      </c>
      <c r="AC68">
        <v>5</v>
      </c>
      <c r="AD68">
        <v>7</v>
      </c>
      <c r="AE68">
        <v>1</v>
      </c>
      <c r="AF68" s="305">
        <v>1</v>
      </c>
      <c r="AG68" t="s">
        <v>32</v>
      </c>
      <c r="AH68" t="s">
        <v>32</v>
      </c>
      <c r="AI68" t="s">
        <v>32</v>
      </c>
      <c r="AJ68" t="s">
        <v>32</v>
      </c>
      <c r="AK68" t="s">
        <v>32</v>
      </c>
      <c r="AL68" t="s">
        <v>32</v>
      </c>
      <c r="AM68" t="s">
        <v>32</v>
      </c>
      <c r="AN68" s="3">
        <v>1</v>
      </c>
      <c r="AO68">
        <v>1</v>
      </c>
      <c r="AP68">
        <v>1</v>
      </c>
      <c r="AQ68" s="3">
        <v>2</v>
      </c>
      <c r="AR68" s="78" t="s">
        <v>32</v>
      </c>
      <c r="AS68" s="3" t="s">
        <v>33</v>
      </c>
      <c r="AT68" s="372" t="s">
        <v>199</v>
      </c>
      <c r="AU68" s="22">
        <f t="shared" si="34"/>
        <v>2.3333333333333335</v>
      </c>
      <c r="AV68" s="23" t="str">
        <f t="shared" si="35"/>
        <v>Minors</v>
      </c>
      <c r="AW68" s="22">
        <f t="shared" si="36"/>
        <v>3.5</v>
      </c>
      <c r="AX68" s="22" t="str">
        <f t="shared" si="37"/>
        <v>Minors</v>
      </c>
      <c r="AY68" s="23">
        <f t="shared" si="38"/>
        <v>3.5</v>
      </c>
      <c r="AZ68" s="23" t="str">
        <f t="shared" si="39"/>
        <v>Minors</v>
      </c>
      <c r="BA68" s="64">
        <f t="shared" si="40"/>
        <v>0</v>
      </c>
      <c r="BB68" s="65">
        <f t="shared" si="41"/>
        <v>0</v>
      </c>
      <c r="BC68" s="65">
        <f t="shared" si="42"/>
        <v>0</v>
      </c>
      <c r="BD68" s="65">
        <f t="shared" si="43"/>
        <v>0</v>
      </c>
      <c r="BE68" s="65">
        <f t="shared" si="44"/>
        <v>0</v>
      </c>
      <c r="BF68" s="65">
        <f t="shared" si="45"/>
        <v>0</v>
      </c>
      <c r="BG68" s="65">
        <f t="shared" si="46"/>
        <v>0</v>
      </c>
      <c r="BH68" s="65">
        <f t="shared" si="47"/>
        <v>0</v>
      </c>
      <c r="BI68" s="21">
        <f t="shared" si="48"/>
        <v>0</v>
      </c>
      <c r="BJ68" s="64">
        <f t="shared" si="49"/>
        <v>0</v>
      </c>
      <c r="BK68" s="65">
        <f t="shared" si="50"/>
        <v>0</v>
      </c>
      <c r="BL68" s="65">
        <f t="shared" si="51"/>
        <v>0</v>
      </c>
      <c r="BM68" s="65">
        <f t="shared" si="52"/>
        <v>0</v>
      </c>
      <c r="BN68" s="65">
        <f t="shared" si="53"/>
        <v>0</v>
      </c>
      <c r="BO68" s="65">
        <f t="shared" si="54"/>
        <v>0</v>
      </c>
      <c r="BP68" s="65">
        <f t="shared" si="55"/>
        <v>0</v>
      </c>
      <c r="BQ68" s="65">
        <f t="shared" si="56"/>
        <v>0</v>
      </c>
      <c r="BR68" s="21">
        <f t="shared" si="57"/>
        <v>1</v>
      </c>
      <c r="BS68" s="21">
        <f t="shared" si="58"/>
        <v>0</v>
      </c>
      <c r="BT68" s="24">
        <f t="shared" si="59"/>
        <v>0</v>
      </c>
      <c r="BU68" s="20" t="str">
        <f t="shared" si="60"/>
        <v/>
      </c>
      <c r="BV68" s="306" t="e">
        <f>IF(S68="-","-",VLOOKUP($A68,AMABat!$A$10:$AS$1137,BV$9,FALSE)-S68)</f>
        <v>#N/A</v>
      </c>
      <c r="BW68" s="306" t="e">
        <f>IF(T68="-","-",VLOOKUP($A68,AMABat!$A$10:$AS$1137,BW$9,FALSE)-T68)</f>
        <v>#N/A</v>
      </c>
      <c r="BX68" s="306" t="e">
        <f>IF(U68="-","-",VLOOKUP($A68,AMABat!$A$10:$AS$1137,BX$9,FALSE)-U68)</f>
        <v>#N/A</v>
      </c>
      <c r="BY68" s="306" t="e">
        <f>IF(V68="-","-",VLOOKUP($A68,AMABat!$A$10:$AS$1137,BY$9,FALSE)-V68)</f>
        <v>#N/A</v>
      </c>
      <c r="BZ68" s="306" t="e">
        <f>IF(W68="-","-",VLOOKUP($A68,AMABat!$A$10:$AS$1137,BZ$9,FALSE)-W68)</f>
        <v>#N/A</v>
      </c>
      <c r="CA68" s="306" t="e">
        <f>IF(X68="-","-",VLOOKUP($A68,AMABat!$A$10:$AS$1137,CA$9,FALSE)-X68)</f>
        <v>#N/A</v>
      </c>
      <c r="CB68" s="306" t="e">
        <f>IF(Y68="-","-",VLOOKUP($A68,AMABat!$A$10:$AS$1137,CB$9,FALSE)-Y68)</f>
        <v>#N/A</v>
      </c>
      <c r="CC68" s="306" t="e">
        <f>IF(Z68="-","-",VLOOKUP($A68,AMABat!$A$10:$AS$1137,CC$9,FALSE)-Z68)</f>
        <v>#N/A</v>
      </c>
      <c r="CD68" s="306" t="e">
        <f>IF(AA68="-","-",VLOOKUP($A68,AMABat!$A$10:$AS$1137,CD$9,FALSE)-AA68)</f>
        <v>#N/A</v>
      </c>
      <c r="CE68" s="306" t="e">
        <f>IF(AB68="-","-",VLOOKUP($A68,AMABat!$A$10:$AS$1137,CE$9,FALSE)-AB68)</f>
        <v>#N/A</v>
      </c>
      <c r="CF68" s="306" t="e">
        <f>IF(AC68="-","-",VLOOKUP($A68,AMABat!$A$10:$AS$1137,CF$9,FALSE)-AC68)</f>
        <v>#N/A</v>
      </c>
      <c r="CG68" s="306" t="e">
        <f>IF(AD68="-","-",VLOOKUP($A68,AMABat!$A$10:$AS$1137,CG$9,FALSE)-AD68)</f>
        <v>#N/A</v>
      </c>
      <c r="CH68" s="306" t="e">
        <f>IF(AE68="-","-",VLOOKUP($A68,AMABat!$A$10:$AS$1137,CH$9,FALSE)-AE68)</f>
        <v>#N/A</v>
      </c>
      <c r="CI68" s="306" t="str">
        <f>IF(AG68="-","-",VLOOKUP($A68,AMABat!$A$10:$AS$1137,CI$9,FALSE)-AG68)</f>
        <v>-</v>
      </c>
      <c r="CJ68" s="306" t="str">
        <f>IF(AH68="-","-",VLOOKUP($A68,AMABat!$A$10:$AS$1137,CJ$9,FALSE)-AH68)</f>
        <v>-</v>
      </c>
      <c r="CK68" s="306" t="str">
        <f>IF(AI68="-","-",VLOOKUP($A68,AMABat!$A$10:$AS$1137,CK$9,FALSE)-AI68)</f>
        <v>-</v>
      </c>
      <c r="CL68" s="306" t="str">
        <f>IF(AJ68="-","-",VLOOKUP($A68,AMABat!$A$10:$AS$1137,CL$9,FALSE)-AJ68)</f>
        <v>-</v>
      </c>
      <c r="CM68" s="306" t="str">
        <f>IF(AK68="-","-",VLOOKUP($A68,AMABat!$A$10:$AS$1137,CM$9,FALSE)-AK68)</f>
        <v>-</v>
      </c>
      <c r="CN68" s="306" t="str">
        <f>IF(AL68="-","-",VLOOKUP($A68,AMABat!$A$10:$AS$1137,CN$9,FALSE)-AL68)</f>
        <v>-</v>
      </c>
      <c r="CO68" s="306" t="str">
        <f>IF(AM68="-","-",VLOOKUP($A68,AMABat!$A$10:$AS$1137,CO$9,FALSE)-AM68)</f>
        <v>-</v>
      </c>
      <c r="CP68" s="306" t="e">
        <f>IF(AN68="-","-",VLOOKUP($A68,AMABat!$A$10:$AS$1137,CP$9,FALSE)-AN68)</f>
        <v>#N/A</v>
      </c>
      <c r="CQ68" s="306" t="e">
        <f>IF(AO68="-","-",VLOOKUP($A68,AMABat!$A$10:$AS$1137,CQ$9,FALSE)-AO68)</f>
        <v>#N/A</v>
      </c>
      <c r="CR68" s="306" t="e">
        <f>IF(AP68="-","-",VLOOKUP($A68,AMABat!$A$10:$AS$1137,CR$9,FALSE)-AP68)</f>
        <v>#N/A</v>
      </c>
      <c r="CS68" s="306" t="e">
        <f>IF(AQ68="-","-",VLOOKUP($A68,AMABat!$A$10:$AS$1137,CS$9,FALSE)-AQ68)</f>
        <v>#N/A</v>
      </c>
      <c r="CT68" s="84" t="e">
        <f t="shared" si="61"/>
        <v>#N/A</v>
      </c>
      <c r="CU68" s="84" t="e">
        <f t="shared" si="62"/>
        <v>#N/A</v>
      </c>
      <c r="CV68" s="84" t="e">
        <f t="shared" si="63"/>
        <v>#N/A</v>
      </c>
      <c r="CW68" s="84" t="e">
        <f t="shared" si="64"/>
        <v>#N/A</v>
      </c>
      <c r="CX68" s="84" t="e">
        <f t="shared" si="65"/>
        <v>#N/A</v>
      </c>
    </row>
    <row r="69" spans="1:102" x14ac:dyDescent="0.25">
      <c r="A69" s="306" t="s">
        <v>660</v>
      </c>
      <c r="B69" s="305" t="s">
        <v>534</v>
      </c>
      <c r="C69" s="305"/>
      <c r="D69" s="305" t="s">
        <v>32</v>
      </c>
      <c r="E69" s="305" t="s">
        <v>32</v>
      </c>
      <c r="F69" s="305" t="s">
        <v>72</v>
      </c>
      <c r="G69" t="s">
        <v>71</v>
      </c>
      <c r="H69" t="s">
        <v>1136</v>
      </c>
      <c r="I69" s="305" t="s">
        <v>472</v>
      </c>
      <c r="J69" t="s">
        <v>783</v>
      </c>
      <c r="K69" t="s">
        <v>185</v>
      </c>
      <c r="L69">
        <v>28</v>
      </c>
      <c r="M69" t="s">
        <v>83</v>
      </c>
      <c r="N69" t="s">
        <v>83</v>
      </c>
      <c r="O69" t="s">
        <v>773</v>
      </c>
      <c r="P69" s="212" t="s">
        <v>773</v>
      </c>
      <c r="Q69" t="s">
        <v>200</v>
      </c>
      <c r="R69" s="212" t="s">
        <v>200</v>
      </c>
      <c r="S69">
        <v>4</v>
      </c>
      <c r="T69">
        <v>6</v>
      </c>
      <c r="U69">
        <v>3</v>
      </c>
      <c r="V69">
        <v>3</v>
      </c>
      <c r="W69" s="212">
        <v>2</v>
      </c>
      <c r="X69">
        <v>4</v>
      </c>
      <c r="Y69">
        <v>6</v>
      </c>
      <c r="Z69">
        <v>3</v>
      </c>
      <c r="AA69">
        <v>3</v>
      </c>
      <c r="AB69" s="212">
        <v>2</v>
      </c>
      <c r="AC69">
        <v>5</v>
      </c>
      <c r="AD69">
        <v>5</v>
      </c>
      <c r="AE69">
        <v>8</v>
      </c>
      <c r="AF69" s="305">
        <v>6</v>
      </c>
      <c r="AG69">
        <v>7</v>
      </c>
      <c r="AH69" t="s">
        <v>32</v>
      </c>
      <c r="AI69" t="s">
        <v>32</v>
      </c>
      <c r="AJ69" t="s">
        <v>32</v>
      </c>
      <c r="AK69" t="s">
        <v>32</v>
      </c>
      <c r="AL69" t="s">
        <v>32</v>
      </c>
      <c r="AM69" t="s">
        <v>32</v>
      </c>
      <c r="AN69" s="212" t="s">
        <v>32</v>
      </c>
      <c r="AO69">
        <v>1</v>
      </c>
      <c r="AP69">
        <v>6</v>
      </c>
      <c r="AQ69" s="212">
        <v>6</v>
      </c>
      <c r="AR69" s="78" t="s">
        <v>32</v>
      </c>
      <c r="AS69" s="212" t="s">
        <v>33</v>
      </c>
      <c r="AT69" s="372" t="s">
        <v>529</v>
      </c>
      <c r="AU69" s="6">
        <f t="shared" si="34"/>
        <v>2.3333333333333335</v>
      </c>
      <c r="AV69" s="9" t="str">
        <f t="shared" si="35"/>
        <v>Minors</v>
      </c>
      <c r="AW69" s="6">
        <f t="shared" si="36"/>
        <v>2.3333333333333335</v>
      </c>
      <c r="AX69" s="6" t="str">
        <f t="shared" si="37"/>
        <v>Minors</v>
      </c>
      <c r="AY69" s="9">
        <f t="shared" si="38"/>
        <v>2.3333333333333335</v>
      </c>
      <c r="AZ69" s="9" t="str">
        <f t="shared" si="39"/>
        <v>Minors</v>
      </c>
      <c r="BA69" s="297">
        <f t="shared" si="40"/>
        <v>0</v>
      </c>
      <c r="BB69" s="292">
        <f t="shared" si="41"/>
        <v>0</v>
      </c>
      <c r="BC69" s="292">
        <f t="shared" si="42"/>
        <v>0</v>
      </c>
      <c r="BD69" s="292">
        <f t="shared" si="43"/>
        <v>0</v>
      </c>
      <c r="BE69" s="292">
        <f t="shared" si="44"/>
        <v>0</v>
      </c>
      <c r="BF69" s="292">
        <f t="shared" si="45"/>
        <v>0</v>
      </c>
      <c r="BG69" s="292">
        <f t="shared" si="46"/>
        <v>0</v>
      </c>
      <c r="BH69" s="292">
        <f t="shared" si="47"/>
        <v>0</v>
      </c>
      <c r="BI69" s="293">
        <f t="shared" si="48"/>
        <v>0</v>
      </c>
      <c r="BJ69" s="297">
        <f t="shared" si="49"/>
        <v>0</v>
      </c>
      <c r="BK69" s="292">
        <f t="shared" si="50"/>
        <v>0</v>
      </c>
      <c r="BL69" s="292">
        <f t="shared" si="51"/>
        <v>0</v>
      </c>
      <c r="BM69" s="292">
        <f t="shared" si="52"/>
        <v>0</v>
      </c>
      <c r="BN69" s="292">
        <f t="shared" si="53"/>
        <v>0</v>
      </c>
      <c r="BO69" s="292">
        <f t="shared" si="54"/>
        <v>0</v>
      </c>
      <c r="BP69" s="292">
        <f t="shared" si="55"/>
        <v>0</v>
      </c>
      <c r="BQ69" s="292">
        <f t="shared" si="56"/>
        <v>0</v>
      </c>
      <c r="BR69" s="293">
        <f t="shared" si="57"/>
        <v>0</v>
      </c>
      <c r="BS69" s="293">
        <f t="shared" si="58"/>
        <v>0</v>
      </c>
      <c r="BT69" s="7">
        <f t="shared" si="59"/>
        <v>2</v>
      </c>
      <c r="BU69" t="str">
        <f t="shared" si="60"/>
        <v/>
      </c>
      <c r="BV69" s="306" t="e">
        <f>IF(S69="-","-",VLOOKUP($A69,AMABat!$A$10:$AS$1137,BV$9,FALSE)-S69)</f>
        <v>#N/A</v>
      </c>
      <c r="BW69" s="306" t="e">
        <f>IF(T69="-","-",VLOOKUP($A69,AMABat!$A$10:$AS$1137,BW$9,FALSE)-T69)</f>
        <v>#N/A</v>
      </c>
      <c r="BX69" s="306" t="e">
        <f>IF(U69="-","-",VLOOKUP($A69,AMABat!$A$10:$AS$1137,BX$9,FALSE)-U69)</f>
        <v>#N/A</v>
      </c>
      <c r="BY69" s="306" t="e">
        <f>IF(V69="-","-",VLOOKUP($A69,AMABat!$A$10:$AS$1137,BY$9,FALSE)-V69)</f>
        <v>#N/A</v>
      </c>
      <c r="BZ69" s="306" t="e">
        <f>IF(W69="-","-",VLOOKUP($A69,AMABat!$A$10:$AS$1137,BZ$9,FALSE)-W69)</f>
        <v>#N/A</v>
      </c>
      <c r="CA69" s="306" t="e">
        <f>IF(X69="-","-",VLOOKUP($A69,AMABat!$A$10:$AS$1137,CA$9,FALSE)-X69)</f>
        <v>#N/A</v>
      </c>
      <c r="CB69" s="306" t="e">
        <f>IF(Y69="-","-",VLOOKUP($A69,AMABat!$A$10:$AS$1137,CB$9,FALSE)-Y69)</f>
        <v>#N/A</v>
      </c>
      <c r="CC69" s="306" t="e">
        <f>IF(Z69="-","-",VLOOKUP($A69,AMABat!$A$10:$AS$1137,CC$9,FALSE)-Z69)</f>
        <v>#N/A</v>
      </c>
      <c r="CD69" s="306" t="e">
        <f>IF(AA69="-","-",VLOOKUP($A69,AMABat!$A$10:$AS$1137,CD$9,FALSE)-AA69)</f>
        <v>#N/A</v>
      </c>
      <c r="CE69" s="306" t="e">
        <f>IF(AB69="-","-",VLOOKUP($A69,AMABat!$A$10:$AS$1137,CE$9,FALSE)-AB69)</f>
        <v>#N/A</v>
      </c>
      <c r="CF69" s="306" t="e">
        <f>IF(AC69="-","-",VLOOKUP($A69,AMABat!$A$10:$AS$1137,CF$9,FALSE)-AC69)</f>
        <v>#N/A</v>
      </c>
      <c r="CG69" s="306" t="e">
        <f>IF(AD69="-","-",VLOOKUP($A69,AMABat!$A$10:$AS$1137,CG$9,FALSE)-AD69)</f>
        <v>#N/A</v>
      </c>
      <c r="CH69" s="306" t="e">
        <f>IF(AE69="-","-",VLOOKUP($A69,AMABat!$A$10:$AS$1137,CH$9,FALSE)-AE69)</f>
        <v>#N/A</v>
      </c>
      <c r="CI69" s="306" t="e">
        <f>IF(AG69="-","-",VLOOKUP($A69,AMABat!$A$10:$AS$1137,CI$9,FALSE)-AG69)</f>
        <v>#N/A</v>
      </c>
      <c r="CJ69" s="306" t="str">
        <f>IF(AH69="-","-",VLOOKUP($A69,AMABat!$A$10:$AS$1137,CJ$9,FALSE)-AH69)</f>
        <v>-</v>
      </c>
      <c r="CK69" s="306" t="str">
        <f>IF(AI69="-","-",VLOOKUP($A69,AMABat!$A$10:$AS$1137,CK$9,FALSE)-AI69)</f>
        <v>-</v>
      </c>
      <c r="CL69" s="306" t="str">
        <f>IF(AJ69="-","-",VLOOKUP($A69,AMABat!$A$10:$AS$1137,CL$9,FALSE)-AJ69)</f>
        <v>-</v>
      </c>
      <c r="CM69" s="306" t="str">
        <f>IF(AK69="-","-",VLOOKUP($A69,AMABat!$A$10:$AS$1137,CM$9,FALSE)-AK69)</f>
        <v>-</v>
      </c>
      <c r="CN69" s="306" t="str">
        <f>IF(AL69="-","-",VLOOKUP($A69,AMABat!$A$10:$AS$1137,CN$9,FALSE)-AL69)</f>
        <v>-</v>
      </c>
      <c r="CO69" s="306" t="str">
        <f>IF(AM69="-","-",VLOOKUP($A69,AMABat!$A$10:$AS$1137,CO$9,FALSE)-AM69)</f>
        <v>-</v>
      </c>
      <c r="CP69" s="306" t="str">
        <f>IF(AN69="-","-",VLOOKUP($A69,AMABat!$A$10:$AS$1137,CP$9,FALSE)-AN69)</f>
        <v>-</v>
      </c>
      <c r="CQ69" s="306" t="e">
        <f>IF(AO69="-","-",VLOOKUP($A69,AMABat!$A$10:$AS$1137,CQ$9,FALSE)-AO69)</f>
        <v>#N/A</v>
      </c>
      <c r="CR69" s="306" t="e">
        <f>IF(AP69="-","-",VLOOKUP($A69,AMABat!$A$10:$AS$1137,CR$9,FALSE)-AP69)</f>
        <v>#N/A</v>
      </c>
      <c r="CS69" s="306" t="e">
        <f>IF(AQ69="-","-",VLOOKUP($A69,AMABat!$A$10:$AS$1137,CS$9,FALSE)-AQ69)</f>
        <v>#N/A</v>
      </c>
      <c r="CT69" s="84" t="e">
        <f t="shared" si="61"/>
        <v>#N/A</v>
      </c>
      <c r="CU69" s="84" t="e">
        <f t="shared" si="62"/>
        <v>#N/A</v>
      </c>
      <c r="CV69" s="84" t="e">
        <f t="shared" si="63"/>
        <v>#N/A</v>
      </c>
      <c r="CW69" s="84" t="e">
        <f t="shared" si="64"/>
        <v>#N/A</v>
      </c>
      <c r="CX69" s="84" t="e">
        <f t="shared" si="65"/>
        <v>#N/A</v>
      </c>
    </row>
    <row r="70" spans="1:102" x14ac:dyDescent="0.25">
      <c r="A70" s="306" t="s">
        <v>661</v>
      </c>
      <c r="B70" s="305" t="s">
        <v>534</v>
      </c>
      <c r="C70" s="305"/>
      <c r="D70" s="305" t="s">
        <v>32</v>
      </c>
      <c r="E70" s="305" t="s">
        <v>32</v>
      </c>
      <c r="F70" s="305" t="s">
        <v>72</v>
      </c>
      <c r="G70" t="s">
        <v>71</v>
      </c>
      <c r="H70" t="s">
        <v>539</v>
      </c>
      <c r="I70" s="305" t="s">
        <v>864</v>
      </c>
      <c r="J70" t="s">
        <v>802</v>
      </c>
      <c r="K70" t="s">
        <v>277</v>
      </c>
      <c r="L70">
        <v>19</v>
      </c>
      <c r="M70" t="s">
        <v>83</v>
      </c>
      <c r="N70" t="s">
        <v>83</v>
      </c>
      <c r="O70" t="s">
        <v>808</v>
      </c>
      <c r="P70" s="212" t="s">
        <v>765</v>
      </c>
      <c r="Q70" t="s">
        <v>199</v>
      </c>
      <c r="R70" s="212" t="s">
        <v>199</v>
      </c>
      <c r="S70">
        <v>3</v>
      </c>
      <c r="T70">
        <v>3</v>
      </c>
      <c r="U70">
        <v>2</v>
      </c>
      <c r="V70">
        <v>6</v>
      </c>
      <c r="W70" s="212">
        <v>1</v>
      </c>
      <c r="X70">
        <v>8</v>
      </c>
      <c r="Y70">
        <v>3</v>
      </c>
      <c r="Z70">
        <v>3</v>
      </c>
      <c r="AA70">
        <v>10</v>
      </c>
      <c r="AB70" s="212">
        <v>6</v>
      </c>
      <c r="AC70">
        <v>2</v>
      </c>
      <c r="AD70">
        <v>3</v>
      </c>
      <c r="AE70">
        <v>7</v>
      </c>
      <c r="AF70" s="305">
        <v>7</v>
      </c>
      <c r="AG70">
        <v>3</v>
      </c>
      <c r="AH70" t="s">
        <v>32</v>
      </c>
      <c r="AI70" t="s">
        <v>32</v>
      </c>
      <c r="AJ70" t="s">
        <v>32</v>
      </c>
      <c r="AK70" t="s">
        <v>32</v>
      </c>
      <c r="AL70" t="s">
        <v>32</v>
      </c>
      <c r="AM70" t="s">
        <v>32</v>
      </c>
      <c r="AN70" s="212" t="s">
        <v>32</v>
      </c>
      <c r="AO70">
        <v>5</v>
      </c>
      <c r="AP70">
        <v>6</v>
      </c>
      <c r="AQ70" s="212">
        <v>4</v>
      </c>
      <c r="AR70" s="78" t="s">
        <v>32</v>
      </c>
      <c r="AS70" s="212">
        <v>0</v>
      </c>
      <c r="AT70" s="372" t="s">
        <v>199</v>
      </c>
      <c r="AU70" s="22">
        <f t="shared" si="34"/>
        <v>2.1666666666666665</v>
      </c>
      <c r="AV70" s="23" t="str">
        <f t="shared" si="35"/>
        <v>Minors</v>
      </c>
      <c r="AW70" s="22">
        <f t="shared" si="36"/>
        <v>7.5</v>
      </c>
      <c r="AX70" s="22" t="str">
        <f t="shared" si="37"/>
        <v>GoodReg</v>
      </c>
      <c r="AY70" s="23">
        <f t="shared" si="38"/>
        <v>7.5</v>
      </c>
      <c r="AZ70" s="23" t="str">
        <f t="shared" si="39"/>
        <v>GoodReg</v>
      </c>
      <c r="BA70" s="64">
        <f t="shared" si="40"/>
        <v>0</v>
      </c>
      <c r="BB70" s="65">
        <f t="shared" si="41"/>
        <v>0</v>
      </c>
      <c r="BC70" s="65">
        <f t="shared" si="42"/>
        <v>0</v>
      </c>
      <c r="BD70" s="65">
        <f t="shared" si="43"/>
        <v>0</v>
      </c>
      <c r="BE70" s="65">
        <f t="shared" si="44"/>
        <v>0</v>
      </c>
      <c r="BF70" s="65">
        <f t="shared" si="45"/>
        <v>0</v>
      </c>
      <c r="BG70" s="65">
        <f t="shared" si="46"/>
        <v>0</v>
      </c>
      <c r="BH70" s="65">
        <f t="shared" si="47"/>
        <v>0</v>
      </c>
      <c r="BI70" s="21">
        <f t="shared" si="48"/>
        <v>0</v>
      </c>
      <c r="BJ70" s="64">
        <f t="shared" si="49"/>
        <v>0</v>
      </c>
      <c r="BK70" s="65">
        <f t="shared" si="50"/>
        <v>1</v>
      </c>
      <c r="BL70" s="65">
        <f t="shared" si="51"/>
        <v>0</v>
      </c>
      <c r="BM70" s="65">
        <f t="shared" si="52"/>
        <v>0</v>
      </c>
      <c r="BN70" s="65">
        <f t="shared" si="53"/>
        <v>0</v>
      </c>
      <c r="BO70" s="65">
        <f t="shared" si="54"/>
        <v>1</v>
      </c>
      <c r="BP70" s="65">
        <f t="shared" si="55"/>
        <v>1</v>
      </c>
      <c r="BQ70" s="65">
        <f t="shared" si="56"/>
        <v>1</v>
      </c>
      <c r="BR70" s="21">
        <f t="shared" si="57"/>
        <v>1</v>
      </c>
      <c r="BS70" s="21">
        <f t="shared" si="58"/>
        <v>0</v>
      </c>
      <c r="BT70" s="24">
        <f t="shared" si="59"/>
        <v>0</v>
      </c>
      <c r="BU70" s="20" t="str">
        <f t="shared" si="60"/>
        <v/>
      </c>
      <c r="BV70" s="306" t="e">
        <f>IF(S70="-","-",VLOOKUP($A70,AMABat!$A$10:$AS$1137,BV$9,FALSE)-S70)</f>
        <v>#N/A</v>
      </c>
      <c r="BW70" s="306" t="e">
        <f>IF(T70="-","-",VLOOKUP($A70,AMABat!$A$10:$AS$1137,BW$9,FALSE)-T70)</f>
        <v>#N/A</v>
      </c>
      <c r="BX70" s="306" t="e">
        <f>IF(U70="-","-",VLOOKUP($A70,AMABat!$A$10:$AS$1137,BX$9,FALSE)-U70)</f>
        <v>#N/A</v>
      </c>
      <c r="BY70" s="306" t="e">
        <f>IF(V70="-","-",VLOOKUP($A70,AMABat!$A$10:$AS$1137,BY$9,FALSE)-V70)</f>
        <v>#N/A</v>
      </c>
      <c r="BZ70" s="306" t="e">
        <f>IF(W70="-","-",VLOOKUP($A70,AMABat!$A$10:$AS$1137,BZ$9,FALSE)-W70)</f>
        <v>#N/A</v>
      </c>
      <c r="CA70" s="306" t="e">
        <f>IF(X70="-","-",VLOOKUP($A70,AMABat!$A$10:$AS$1137,CA$9,FALSE)-X70)</f>
        <v>#N/A</v>
      </c>
      <c r="CB70" s="306" t="e">
        <f>IF(Y70="-","-",VLOOKUP($A70,AMABat!$A$10:$AS$1137,CB$9,FALSE)-Y70)</f>
        <v>#N/A</v>
      </c>
      <c r="CC70" s="306" t="e">
        <f>IF(Z70="-","-",VLOOKUP($A70,AMABat!$A$10:$AS$1137,CC$9,FALSE)-Z70)</f>
        <v>#N/A</v>
      </c>
      <c r="CD70" s="306" t="e">
        <f>IF(AA70="-","-",VLOOKUP($A70,AMABat!$A$10:$AS$1137,CD$9,FALSE)-AA70)</f>
        <v>#N/A</v>
      </c>
      <c r="CE70" s="306" t="e">
        <f>IF(AB70="-","-",VLOOKUP($A70,AMABat!$A$10:$AS$1137,CE$9,FALSE)-AB70)</f>
        <v>#N/A</v>
      </c>
      <c r="CF70" s="306" t="e">
        <f>IF(AC70="-","-",VLOOKUP($A70,AMABat!$A$10:$AS$1137,CF$9,FALSE)-AC70)</f>
        <v>#N/A</v>
      </c>
      <c r="CG70" s="306" t="e">
        <f>IF(AD70="-","-",VLOOKUP($A70,AMABat!$A$10:$AS$1137,CG$9,FALSE)-AD70)</f>
        <v>#N/A</v>
      </c>
      <c r="CH70" s="306" t="e">
        <f>IF(AE70="-","-",VLOOKUP($A70,AMABat!$A$10:$AS$1137,CH$9,FALSE)-AE70)</f>
        <v>#N/A</v>
      </c>
      <c r="CI70" s="306" t="e">
        <f>IF(AG70="-","-",VLOOKUP($A70,AMABat!$A$10:$AS$1137,CI$9,FALSE)-AG70)</f>
        <v>#N/A</v>
      </c>
      <c r="CJ70" s="306" t="str">
        <f>IF(AH70="-","-",VLOOKUP($A70,AMABat!$A$10:$AS$1137,CJ$9,FALSE)-AH70)</f>
        <v>-</v>
      </c>
      <c r="CK70" s="306" t="str">
        <f>IF(AI70="-","-",VLOOKUP($A70,AMABat!$A$10:$AS$1137,CK$9,FALSE)-AI70)</f>
        <v>-</v>
      </c>
      <c r="CL70" s="306" t="str">
        <f>IF(AJ70="-","-",VLOOKUP($A70,AMABat!$A$10:$AS$1137,CL$9,FALSE)-AJ70)</f>
        <v>-</v>
      </c>
      <c r="CM70" s="306" t="str">
        <f>IF(AK70="-","-",VLOOKUP($A70,AMABat!$A$10:$AS$1137,CM$9,FALSE)-AK70)</f>
        <v>-</v>
      </c>
      <c r="CN70" s="306" t="str">
        <f>IF(AL70="-","-",VLOOKUP($A70,AMABat!$A$10:$AS$1137,CN$9,FALSE)-AL70)</f>
        <v>-</v>
      </c>
      <c r="CO70" s="306" t="str">
        <f>IF(AM70="-","-",VLOOKUP($A70,AMABat!$A$10:$AS$1137,CO$9,FALSE)-AM70)</f>
        <v>-</v>
      </c>
      <c r="CP70" s="306" t="str">
        <f>IF(AN70="-","-",VLOOKUP($A70,AMABat!$A$10:$AS$1137,CP$9,FALSE)-AN70)</f>
        <v>-</v>
      </c>
      <c r="CQ70" s="306" t="e">
        <f>IF(AO70="-","-",VLOOKUP($A70,AMABat!$A$10:$AS$1137,CQ$9,FALSE)-AO70)</f>
        <v>#N/A</v>
      </c>
      <c r="CR70" s="306" t="e">
        <f>IF(AP70="-","-",VLOOKUP($A70,AMABat!$A$10:$AS$1137,CR$9,FALSE)-AP70)</f>
        <v>#N/A</v>
      </c>
      <c r="CS70" s="306" t="e">
        <f>IF(AQ70="-","-",VLOOKUP($A70,AMABat!$A$10:$AS$1137,CS$9,FALSE)-AQ70)</f>
        <v>#N/A</v>
      </c>
      <c r="CT70" s="84" t="e">
        <f t="shared" si="61"/>
        <v>#N/A</v>
      </c>
      <c r="CU70" s="84" t="e">
        <f t="shared" si="62"/>
        <v>#N/A</v>
      </c>
      <c r="CV70" s="84" t="e">
        <f t="shared" si="63"/>
        <v>#N/A</v>
      </c>
      <c r="CW70" s="84" t="e">
        <f t="shared" si="64"/>
        <v>#N/A</v>
      </c>
      <c r="CX70" s="84" t="e">
        <f t="shared" si="65"/>
        <v>#N/A</v>
      </c>
    </row>
    <row r="71" spans="1:102" x14ac:dyDescent="0.25">
      <c r="A71" s="306" t="s">
        <v>662</v>
      </c>
      <c r="B71" s="305" t="s">
        <v>534</v>
      </c>
      <c r="C71" s="305"/>
      <c r="D71" s="305" t="s">
        <v>32</v>
      </c>
      <c r="E71" s="305" t="s">
        <v>32</v>
      </c>
      <c r="F71" s="305" t="s">
        <v>81</v>
      </c>
      <c r="G71" t="s">
        <v>79</v>
      </c>
      <c r="H71" t="s">
        <v>435</v>
      </c>
      <c r="I71" s="305" t="s">
        <v>855</v>
      </c>
      <c r="J71" t="s">
        <v>802</v>
      </c>
      <c r="K71" t="s">
        <v>277</v>
      </c>
      <c r="L71">
        <v>21</v>
      </c>
      <c r="M71" t="s">
        <v>82</v>
      </c>
      <c r="N71" t="s">
        <v>82</v>
      </c>
      <c r="O71" t="s">
        <v>816</v>
      </c>
      <c r="P71" s="212" t="s">
        <v>773</v>
      </c>
      <c r="Q71" t="s">
        <v>201</v>
      </c>
      <c r="R71" s="212" t="s">
        <v>199</v>
      </c>
      <c r="S71">
        <v>3</v>
      </c>
      <c r="T71">
        <v>5</v>
      </c>
      <c r="U71">
        <v>4</v>
      </c>
      <c r="V71">
        <v>4</v>
      </c>
      <c r="W71" s="212">
        <v>1</v>
      </c>
      <c r="X71">
        <v>4</v>
      </c>
      <c r="Y71">
        <v>5</v>
      </c>
      <c r="Z71">
        <v>6</v>
      </c>
      <c r="AA71">
        <v>6</v>
      </c>
      <c r="AB71" s="212">
        <v>4</v>
      </c>
      <c r="AC71">
        <v>7</v>
      </c>
      <c r="AD71">
        <v>10</v>
      </c>
      <c r="AE71">
        <v>1</v>
      </c>
      <c r="AF71" s="305">
        <v>1</v>
      </c>
      <c r="AG71" t="s">
        <v>32</v>
      </c>
      <c r="AH71" t="s">
        <v>32</v>
      </c>
      <c r="AI71" t="s">
        <v>32</v>
      </c>
      <c r="AJ71" t="s">
        <v>32</v>
      </c>
      <c r="AK71" t="s">
        <v>32</v>
      </c>
      <c r="AL71">
        <v>3</v>
      </c>
      <c r="AM71" t="s">
        <v>32</v>
      </c>
      <c r="AN71" s="212">
        <v>3</v>
      </c>
      <c r="AO71">
        <v>1</v>
      </c>
      <c r="AP71">
        <v>5</v>
      </c>
      <c r="AQ71" s="212">
        <v>5</v>
      </c>
      <c r="AR71" s="78" t="s">
        <v>32</v>
      </c>
      <c r="AS71" s="212">
        <v>0</v>
      </c>
      <c r="AT71" s="372" t="s">
        <v>529</v>
      </c>
      <c r="AU71" s="6">
        <f t="shared" si="34"/>
        <v>2.1666666666666665</v>
      </c>
      <c r="AV71" s="9" t="str">
        <f t="shared" si="35"/>
        <v>Minors</v>
      </c>
      <c r="AW71" s="6">
        <f t="shared" si="36"/>
        <v>4.333333333333333</v>
      </c>
      <c r="AX71" s="6" t="str">
        <f t="shared" si="37"/>
        <v>Bench</v>
      </c>
      <c r="AY71" s="9">
        <f t="shared" si="38"/>
        <v>4.333333333333333</v>
      </c>
      <c r="AZ71" s="9" t="str">
        <f t="shared" si="39"/>
        <v>Bench</v>
      </c>
      <c r="BA71" s="297">
        <f t="shared" si="40"/>
        <v>0</v>
      </c>
      <c r="BB71" s="292">
        <f t="shared" si="41"/>
        <v>0</v>
      </c>
      <c r="BC71" s="292">
        <f t="shared" si="42"/>
        <v>0</v>
      </c>
      <c r="BD71" s="292">
        <f t="shared" si="43"/>
        <v>0</v>
      </c>
      <c r="BE71" s="292">
        <f t="shared" si="44"/>
        <v>0</v>
      </c>
      <c r="BF71" s="292">
        <f t="shared" si="45"/>
        <v>0</v>
      </c>
      <c r="BG71" s="292">
        <f t="shared" si="46"/>
        <v>0</v>
      </c>
      <c r="BH71" s="292">
        <f t="shared" si="47"/>
        <v>0</v>
      </c>
      <c r="BI71" s="293">
        <f t="shared" si="48"/>
        <v>0</v>
      </c>
      <c r="BJ71" s="297">
        <f t="shared" si="49"/>
        <v>0</v>
      </c>
      <c r="BK71" s="292">
        <f t="shared" si="50"/>
        <v>0</v>
      </c>
      <c r="BL71" s="292">
        <f t="shared" si="51"/>
        <v>0</v>
      </c>
      <c r="BM71" s="292">
        <f t="shared" si="52"/>
        <v>0</v>
      </c>
      <c r="BN71" s="292">
        <f t="shared" si="53"/>
        <v>0</v>
      </c>
      <c r="BO71" s="292">
        <f t="shared" si="54"/>
        <v>0</v>
      </c>
      <c r="BP71" s="292">
        <f t="shared" si="55"/>
        <v>0</v>
      </c>
      <c r="BQ71" s="292">
        <f t="shared" si="56"/>
        <v>0</v>
      </c>
      <c r="BR71" s="293">
        <f t="shared" si="57"/>
        <v>0</v>
      </c>
      <c r="BS71" s="293">
        <f t="shared" si="58"/>
        <v>0</v>
      </c>
      <c r="BT71" s="7">
        <f t="shared" si="59"/>
        <v>0</v>
      </c>
      <c r="BU71" t="str">
        <f t="shared" si="60"/>
        <v/>
      </c>
      <c r="BV71" s="306" t="e">
        <f>IF(S71="-","-",VLOOKUP($A71,AMABat!$A$10:$AS$1137,BV$9,FALSE)-S71)</f>
        <v>#N/A</v>
      </c>
      <c r="BW71" s="306" t="e">
        <f>IF(T71="-","-",VLOOKUP($A71,AMABat!$A$10:$AS$1137,BW$9,FALSE)-T71)</f>
        <v>#N/A</v>
      </c>
      <c r="BX71" s="306" t="e">
        <f>IF(U71="-","-",VLOOKUP($A71,AMABat!$A$10:$AS$1137,BX$9,FALSE)-U71)</f>
        <v>#N/A</v>
      </c>
      <c r="BY71" s="306" t="e">
        <f>IF(V71="-","-",VLOOKUP($A71,AMABat!$A$10:$AS$1137,BY$9,FALSE)-V71)</f>
        <v>#N/A</v>
      </c>
      <c r="BZ71" s="306" t="e">
        <f>IF(W71="-","-",VLOOKUP($A71,AMABat!$A$10:$AS$1137,BZ$9,FALSE)-W71)</f>
        <v>#N/A</v>
      </c>
      <c r="CA71" s="306" t="e">
        <f>IF(X71="-","-",VLOOKUP($A71,AMABat!$A$10:$AS$1137,CA$9,FALSE)-X71)</f>
        <v>#N/A</v>
      </c>
      <c r="CB71" s="306" t="e">
        <f>IF(Y71="-","-",VLOOKUP($A71,AMABat!$A$10:$AS$1137,CB$9,FALSE)-Y71)</f>
        <v>#N/A</v>
      </c>
      <c r="CC71" s="306" t="e">
        <f>IF(Z71="-","-",VLOOKUP($A71,AMABat!$A$10:$AS$1137,CC$9,FALSE)-Z71)</f>
        <v>#N/A</v>
      </c>
      <c r="CD71" s="306" t="e">
        <f>IF(AA71="-","-",VLOOKUP($A71,AMABat!$A$10:$AS$1137,CD$9,FALSE)-AA71)</f>
        <v>#N/A</v>
      </c>
      <c r="CE71" s="306" t="e">
        <f>IF(AB71="-","-",VLOOKUP($A71,AMABat!$A$10:$AS$1137,CE$9,FALSE)-AB71)</f>
        <v>#N/A</v>
      </c>
      <c r="CF71" s="306" t="e">
        <f>IF(AC71="-","-",VLOOKUP($A71,AMABat!$A$10:$AS$1137,CF$9,FALSE)-AC71)</f>
        <v>#N/A</v>
      </c>
      <c r="CG71" s="306" t="e">
        <f>IF(AD71="-","-",VLOOKUP($A71,AMABat!$A$10:$AS$1137,CG$9,FALSE)-AD71)</f>
        <v>#N/A</v>
      </c>
      <c r="CH71" s="306" t="e">
        <f>IF(AE71="-","-",VLOOKUP($A71,AMABat!$A$10:$AS$1137,CH$9,FALSE)-AE71)</f>
        <v>#N/A</v>
      </c>
      <c r="CI71" s="306" t="str">
        <f>IF(AG71="-","-",VLOOKUP($A71,AMABat!$A$10:$AS$1137,CI$9,FALSE)-AG71)</f>
        <v>-</v>
      </c>
      <c r="CJ71" s="306" t="str">
        <f>IF(AH71="-","-",VLOOKUP($A71,AMABat!$A$10:$AS$1137,CJ$9,FALSE)-AH71)</f>
        <v>-</v>
      </c>
      <c r="CK71" s="306" t="str">
        <f>IF(AI71="-","-",VLOOKUP($A71,AMABat!$A$10:$AS$1137,CK$9,FALSE)-AI71)</f>
        <v>-</v>
      </c>
      <c r="CL71" s="306" t="str">
        <f>IF(AJ71="-","-",VLOOKUP($A71,AMABat!$A$10:$AS$1137,CL$9,FALSE)-AJ71)</f>
        <v>-</v>
      </c>
      <c r="CM71" s="306" t="str">
        <f>IF(AK71="-","-",VLOOKUP($A71,AMABat!$A$10:$AS$1137,CM$9,FALSE)-AK71)</f>
        <v>-</v>
      </c>
      <c r="CN71" s="306" t="e">
        <f>IF(AL71="-","-",VLOOKUP($A71,AMABat!$A$10:$AS$1137,CN$9,FALSE)-AL71)</f>
        <v>#N/A</v>
      </c>
      <c r="CO71" s="306" t="str">
        <f>IF(AM71="-","-",VLOOKUP($A71,AMABat!$A$10:$AS$1137,CO$9,FALSE)-AM71)</f>
        <v>-</v>
      </c>
      <c r="CP71" s="306" t="e">
        <f>IF(AN71="-","-",VLOOKUP($A71,AMABat!$A$10:$AS$1137,CP$9,FALSE)-AN71)</f>
        <v>#N/A</v>
      </c>
      <c r="CQ71" s="306" t="e">
        <f>IF(AO71="-","-",VLOOKUP($A71,AMABat!$A$10:$AS$1137,CQ$9,FALSE)-AO71)</f>
        <v>#N/A</v>
      </c>
      <c r="CR71" s="306" t="e">
        <f>IF(AP71="-","-",VLOOKUP($A71,AMABat!$A$10:$AS$1137,CR$9,FALSE)-AP71)</f>
        <v>#N/A</v>
      </c>
      <c r="CS71" s="306" t="e">
        <f>IF(AQ71="-","-",VLOOKUP($A71,AMABat!$A$10:$AS$1137,CS$9,FALSE)-AQ71)</f>
        <v>#N/A</v>
      </c>
      <c r="CT71" s="84" t="e">
        <f t="shared" si="61"/>
        <v>#N/A</v>
      </c>
      <c r="CU71" s="84" t="e">
        <f t="shared" si="62"/>
        <v>#N/A</v>
      </c>
      <c r="CV71" s="84" t="e">
        <f t="shared" si="63"/>
        <v>#N/A</v>
      </c>
      <c r="CW71" s="84" t="e">
        <f t="shared" si="64"/>
        <v>#N/A</v>
      </c>
      <c r="CX71" s="84" t="e">
        <f t="shared" si="65"/>
        <v>#N/A</v>
      </c>
    </row>
    <row r="72" spans="1:102" x14ac:dyDescent="0.25">
      <c r="A72" s="306" t="s">
        <v>663</v>
      </c>
      <c r="B72" s="305" t="s">
        <v>534</v>
      </c>
      <c r="C72" s="305"/>
      <c r="D72" s="305" t="s">
        <v>32</v>
      </c>
      <c r="E72" s="305" t="s">
        <v>32</v>
      </c>
      <c r="F72" s="305" t="s">
        <v>81</v>
      </c>
      <c r="G72" t="s">
        <v>79</v>
      </c>
      <c r="H72" t="s">
        <v>844</v>
      </c>
      <c r="I72" s="305" t="s">
        <v>845</v>
      </c>
      <c r="J72" t="s">
        <v>814</v>
      </c>
      <c r="K72" t="s">
        <v>187</v>
      </c>
      <c r="L72">
        <v>25</v>
      </c>
      <c r="M72" t="s">
        <v>83</v>
      </c>
      <c r="N72" t="s">
        <v>82</v>
      </c>
      <c r="O72" t="s">
        <v>808</v>
      </c>
      <c r="P72" s="212" t="s">
        <v>773</v>
      </c>
      <c r="Q72" t="s">
        <v>201</v>
      </c>
      <c r="R72" s="212" t="s">
        <v>200</v>
      </c>
      <c r="S72">
        <v>3</v>
      </c>
      <c r="T72">
        <v>5</v>
      </c>
      <c r="U72">
        <v>4</v>
      </c>
      <c r="V72">
        <v>4</v>
      </c>
      <c r="W72" s="212">
        <v>3</v>
      </c>
      <c r="X72">
        <v>4</v>
      </c>
      <c r="Y72">
        <v>5</v>
      </c>
      <c r="Z72">
        <v>6</v>
      </c>
      <c r="AA72">
        <v>5</v>
      </c>
      <c r="AB72" s="212">
        <v>4</v>
      </c>
      <c r="AC72">
        <v>8</v>
      </c>
      <c r="AD72">
        <v>10</v>
      </c>
      <c r="AE72">
        <v>1</v>
      </c>
      <c r="AF72" s="305">
        <v>1</v>
      </c>
      <c r="AG72" t="s">
        <v>32</v>
      </c>
      <c r="AH72" t="s">
        <v>32</v>
      </c>
      <c r="AI72" t="s">
        <v>32</v>
      </c>
      <c r="AJ72" t="s">
        <v>32</v>
      </c>
      <c r="AK72" t="s">
        <v>32</v>
      </c>
      <c r="AL72">
        <v>2</v>
      </c>
      <c r="AM72">
        <v>1</v>
      </c>
      <c r="AN72" s="212">
        <v>7</v>
      </c>
      <c r="AO72">
        <v>7</v>
      </c>
      <c r="AP72">
        <v>9</v>
      </c>
      <c r="AQ72" s="212">
        <v>6</v>
      </c>
      <c r="AR72" s="78" t="s">
        <v>32</v>
      </c>
      <c r="AS72" s="212">
        <v>0</v>
      </c>
      <c r="AT72" s="372" t="s">
        <v>529</v>
      </c>
      <c r="AU72" s="22">
        <f t="shared" si="34"/>
        <v>2.1666666666666665</v>
      </c>
      <c r="AV72" s="23" t="str">
        <f t="shared" si="35"/>
        <v>Minors</v>
      </c>
      <c r="AW72" s="22">
        <f t="shared" si="36"/>
        <v>4</v>
      </c>
      <c r="AX72" s="22" t="str">
        <f t="shared" si="37"/>
        <v>Minors</v>
      </c>
      <c r="AY72" s="23">
        <f t="shared" si="38"/>
        <v>2.1666666666666665</v>
      </c>
      <c r="AZ72" s="23" t="str">
        <f t="shared" si="39"/>
        <v>Minors</v>
      </c>
      <c r="BA72" s="64">
        <f t="shared" si="40"/>
        <v>0</v>
      </c>
      <c r="BB72" s="65">
        <f t="shared" si="41"/>
        <v>0</v>
      </c>
      <c r="BC72" s="65">
        <f t="shared" si="42"/>
        <v>0</v>
      </c>
      <c r="BD72" s="65">
        <f t="shared" si="43"/>
        <v>0</v>
      </c>
      <c r="BE72" s="65">
        <f t="shared" si="44"/>
        <v>0</v>
      </c>
      <c r="BF72" s="65">
        <f t="shared" si="45"/>
        <v>0</v>
      </c>
      <c r="BG72" s="65">
        <f t="shared" si="46"/>
        <v>0</v>
      </c>
      <c r="BH72" s="65">
        <f t="shared" si="47"/>
        <v>0</v>
      </c>
      <c r="BI72" s="21">
        <f t="shared" si="48"/>
        <v>0</v>
      </c>
      <c r="BJ72" s="64">
        <f t="shared" si="49"/>
        <v>0</v>
      </c>
      <c r="BK72" s="65">
        <f t="shared" si="50"/>
        <v>0</v>
      </c>
      <c r="BL72" s="65">
        <f t="shared" si="51"/>
        <v>0</v>
      </c>
      <c r="BM72" s="65">
        <f t="shared" si="52"/>
        <v>0</v>
      </c>
      <c r="BN72" s="65">
        <f t="shared" si="53"/>
        <v>0</v>
      </c>
      <c r="BO72" s="65">
        <f t="shared" si="54"/>
        <v>0</v>
      </c>
      <c r="BP72" s="65">
        <f t="shared" si="55"/>
        <v>0</v>
      </c>
      <c r="BQ72" s="65">
        <f t="shared" si="56"/>
        <v>0</v>
      </c>
      <c r="BR72" s="21">
        <f t="shared" si="57"/>
        <v>0</v>
      </c>
      <c r="BS72" s="21">
        <f t="shared" si="58"/>
        <v>2</v>
      </c>
      <c r="BT72" s="24">
        <f t="shared" si="59"/>
        <v>2</v>
      </c>
      <c r="BU72" s="20" t="str">
        <f t="shared" si="60"/>
        <v/>
      </c>
      <c r="BV72" s="306" t="e">
        <f>IF(S72="-","-",VLOOKUP($A72,AMABat!$A$10:$AS$1137,BV$9,FALSE)-S72)</f>
        <v>#N/A</v>
      </c>
      <c r="BW72" s="306" t="e">
        <f>IF(T72="-","-",VLOOKUP($A72,AMABat!$A$10:$AS$1137,BW$9,FALSE)-T72)</f>
        <v>#N/A</v>
      </c>
      <c r="BX72" s="306" t="e">
        <f>IF(U72="-","-",VLOOKUP($A72,AMABat!$A$10:$AS$1137,BX$9,FALSE)-U72)</f>
        <v>#N/A</v>
      </c>
      <c r="BY72" s="306" t="e">
        <f>IF(V72="-","-",VLOOKUP($A72,AMABat!$A$10:$AS$1137,BY$9,FALSE)-V72)</f>
        <v>#N/A</v>
      </c>
      <c r="BZ72" s="306" t="e">
        <f>IF(W72="-","-",VLOOKUP($A72,AMABat!$A$10:$AS$1137,BZ$9,FALSE)-W72)</f>
        <v>#N/A</v>
      </c>
      <c r="CA72" s="306" t="e">
        <f>IF(X72="-","-",VLOOKUP($A72,AMABat!$A$10:$AS$1137,CA$9,FALSE)-X72)</f>
        <v>#N/A</v>
      </c>
      <c r="CB72" s="306" t="e">
        <f>IF(Y72="-","-",VLOOKUP($A72,AMABat!$A$10:$AS$1137,CB$9,FALSE)-Y72)</f>
        <v>#N/A</v>
      </c>
      <c r="CC72" s="306" t="e">
        <f>IF(Z72="-","-",VLOOKUP($A72,AMABat!$A$10:$AS$1137,CC$9,FALSE)-Z72)</f>
        <v>#N/A</v>
      </c>
      <c r="CD72" s="306" t="e">
        <f>IF(AA72="-","-",VLOOKUP($A72,AMABat!$A$10:$AS$1137,CD$9,FALSE)-AA72)</f>
        <v>#N/A</v>
      </c>
      <c r="CE72" s="306" t="e">
        <f>IF(AB72="-","-",VLOOKUP($A72,AMABat!$A$10:$AS$1137,CE$9,FALSE)-AB72)</f>
        <v>#N/A</v>
      </c>
      <c r="CF72" s="306" t="e">
        <f>IF(AC72="-","-",VLOOKUP($A72,AMABat!$A$10:$AS$1137,CF$9,FALSE)-AC72)</f>
        <v>#N/A</v>
      </c>
      <c r="CG72" s="306" t="e">
        <f>IF(AD72="-","-",VLOOKUP($A72,AMABat!$A$10:$AS$1137,CG$9,FALSE)-AD72)</f>
        <v>#N/A</v>
      </c>
      <c r="CH72" s="306" t="e">
        <f>IF(AE72="-","-",VLOOKUP($A72,AMABat!$A$10:$AS$1137,CH$9,FALSE)-AE72)</f>
        <v>#N/A</v>
      </c>
      <c r="CI72" s="306" t="str">
        <f>IF(AG72="-","-",VLOOKUP($A72,AMABat!$A$10:$AS$1137,CI$9,FALSE)-AG72)</f>
        <v>-</v>
      </c>
      <c r="CJ72" s="306" t="str">
        <f>IF(AH72="-","-",VLOOKUP($A72,AMABat!$A$10:$AS$1137,CJ$9,FALSE)-AH72)</f>
        <v>-</v>
      </c>
      <c r="CK72" s="306" t="str">
        <f>IF(AI72="-","-",VLOOKUP($A72,AMABat!$A$10:$AS$1137,CK$9,FALSE)-AI72)</f>
        <v>-</v>
      </c>
      <c r="CL72" s="306" t="str">
        <f>IF(AJ72="-","-",VLOOKUP($A72,AMABat!$A$10:$AS$1137,CL$9,FALSE)-AJ72)</f>
        <v>-</v>
      </c>
      <c r="CM72" s="306" t="str">
        <f>IF(AK72="-","-",VLOOKUP($A72,AMABat!$A$10:$AS$1137,CM$9,FALSE)-AK72)</f>
        <v>-</v>
      </c>
      <c r="CN72" s="306" t="e">
        <f>IF(AL72="-","-",VLOOKUP($A72,AMABat!$A$10:$AS$1137,CN$9,FALSE)-AL72)</f>
        <v>#N/A</v>
      </c>
      <c r="CO72" s="306" t="e">
        <f>IF(AM72="-","-",VLOOKUP($A72,AMABat!$A$10:$AS$1137,CO$9,FALSE)-AM72)</f>
        <v>#N/A</v>
      </c>
      <c r="CP72" s="306" t="e">
        <f>IF(AN72="-","-",VLOOKUP($A72,AMABat!$A$10:$AS$1137,CP$9,FALSE)-AN72)</f>
        <v>#N/A</v>
      </c>
      <c r="CQ72" s="306" t="e">
        <f>IF(AO72="-","-",VLOOKUP($A72,AMABat!$A$10:$AS$1137,CQ$9,FALSE)-AO72)</f>
        <v>#N/A</v>
      </c>
      <c r="CR72" s="306" t="e">
        <f>IF(AP72="-","-",VLOOKUP($A72,AMABat!$A$10:$AS$1137,CR$9,FALSE)-AP72)</f>
        <v>#N/A</v>
      </c>
      <c r="CS72" s="306" t="e">
        <f>IF(AQ72="-","-",VLOOKUP($A72,AMABat!$A$10:$AS$1137,CS$9,FALSE)-AQ72)</f>
        <v>#N/A</v>
      </c>
      <c r="CT72" s="84" t="e">
        <f t="shared" si="61"/>
        <v>#N/A</v>
      </c>
      <c r="CU72" s="84" t="e">
        <f t="shared" si="62"/>
        <v>#N/A</v>
      </c>
      <c r="CV72" s="84" t="e">
        <f t="shared" si="63"/>
        <v>#N/A</v>
      </c>
      <c r="CW72" s="84" t="e">
        <f t="shared" si="64"/>
        <v>#N/A</v>
      </c>
      <c r="CX72" s="84" t="e">
        <f t="shared" si="65"/>
        <v>#N/A</v>
      </c>
    </row>
    <row r="73" spans="1:102" x14ac:dyDescent="0.25">
      <c r="A73" s="306" t="s">
        <v>664</v>
      </c>
      <c r="B73" s="305" t="s">
        <v>534</v>
      </c>
      <c r="C73" s="305"/>
      <c r="D73" s="305" t="s">
        <v>32</v>
      </c>
      <c r="E73" s="305" t="s">
        <v>32</v>
      </c>
      <c r="F73" s="305" t="s">
        <v>81</v>
      </c>
      <c r="G73" t="s">
        <v>79</v>
      </c>
      <c r="H73" t="s">
        <v>409</v>
      </c>
      <c r="I73" s="305" t="s">
        <v>430</v>
      </c>
      <c r="J73" t="s">
        <v>802</v>
      </c>
      <c r="K73" t="s">
        <v>277</v>
      </c>
      <c r="L73">
        <v>22</v>
      </c>
      <c r="M73" t="s">
        <v>85</v>
      </c>
      <c r="N73" t="s">
        <v>82</v>
      </c>
      <c r="O73" t="s">
        <v>808</v>
      </c>
      <c r="P73" s="212" t="s">
        <v>773</v>
      </c>
      <c r="Q73" t="s">
        <v>201</v>
      </c>
      <c r="R73" s="212" t="s">
        <v>200</v>
      </c>
      <c r="S73">
        <v>3</v>
      </c>
      <c r="T73">
        <v>6</v>
      </c>
      <c r="U73">
        <v>3</v>
      </c>
      <c r="V73">
        <v>5</v>
      </c>
      <c r="W73" s="212">
        <v>2</v>
      </c>
      <c r="X73">
        <v>3</v>
      </c>
      <c r="Y73">
        <v>6</v>
      </c>
      <c r="Z73">
        <v>5</v>
      </c>
      <c r="AA73">
        <v>7</v>
      </c>
      <c r="AB73" s="212">
        <v>3</v>
      </c>
      <c r="AC73">
        <v>5</v>
      </c>
      <c r="AD73">
        <v>8</v>
      </c>
      <c r="AE73">
        <v>1</v>
      </c>
      <c r="AF73" s="305">
        <v>1</v>
      </c>
      <c r="AG73" t="s">
        <v>32</v>
      </c>
      <c r="AH73" t="s">
        <v>32</v>
      </c>
      <c r="AI73" t="s">
        <v>32</v>
      </c>
      <c r="AJ73" t="s">
        <v>32</v>
      </c>
      <c r="AK73" t="s">
        <v>32</v>
      </c>
      <c r="AL73">
        <v>1</v>
      </c>
      <c r="AM73" t="s">
        <v>32</v>
      </c>
      <c r="AN73" s="212">
        <v>5</v>
      </c>
      <c r="AO73">
        <v>5</v>
      </c>
      <c r="AP73">
        <v>4</v>
      </c>
      <c r="AQ73" s="212">
        <v>6</v>
      </c>
      <c r="AR73" t="s">
        <v>32</v>
      </c>
      <c r="AS73" s="212">
        <v>0</v>
      </c>
      <c r="AT73" s="372" t="s">
        <v>199</v>
      </c>
      <c r="AU73" s="6">
        <f t="shared" si="34"/>
        <v>2.1666666666666665</v>
      </c>
      <c r="AV73" s="9" t="str">
        <f t="shared" si="35"/>
        <v>Minors</v>
      </c>
      <c r="AW73" s="6">
        <f t="shared" si="36"/>
        <v>3.5</v>
      </c>
      <c r="AX73" s="6" t="str">
        <f t="shared" si="37"/>
        <v>Minors</v>
      </c>
      <c r="AY73" s="9">
        <f t="shared" si="38"/>
        <v>3.5</v>
      </c>
      <c r="AZ73" s="9" t="str">
        <f t="shared" si="39"/>
        <v>Minors</v>
      </c>
      <c r="BA73" s="297">
        <f t="shared" si="40"/>
        <v>0</v>
      </c>
      <c r="BB73" s="292">
        <f t="shared" si="41"/>
        <v>0</v>
      </c>
      <c r="BC73" s="292">
        <f t="shared" si="42"/>
        <v>0</v>
      </c>
      <c r="BD73" s="292">
        <f t="shared" si="43"/>
        <v>0</v>
      </c>
      <c r="BE73" s="292">
        <f t="shared" si="44"/>
        <v>0</v>
      </c>
      <c r="BF73" s="292">
        <f t="shared" si="45"/>
        <v>0</v>
      </c>
      <c r="BG73" s="292">
        <f t="shared" si="46"/>
        <v>0</v>
      </c>
      <c r="BH73" s="292">
        <f t="shared" si="47"/>
        <v>0</v>
      </c>
      <c r="BI73" s="293">
        <f t="shared" si="48"/>
        <v>0</v>
      </c>
      <c r="BJ73" s="297">
        <f t="shared" si="49"/>
        <v>0</v>
      </c>
      <c r="BK73" s="292">
        <f t="shared" si="50"/>
        <v>0</v>
      </c>
      <c r="BL73" s="292">
        <f t="shared" si="51"/>
        <v>0</v>
      </c>
      <c r="BM73" s="292">
        <f t="shared" si="52"/>
        <v>0</v>
      </c>
      <c r="BN73" s="292">
        <f t="shared" si="53"/>
        <v>0</v>
      </c>
      <c r="BO73" s="292">
        <f t="shared" si="54"/>
        <v>0</v>
      </c>
      <c r="BP73" s="292">
        <f t="shared" si="55"/>
        <v>0</v>
      </c>
      <c r="BQ73" s="292">
        <f t="shared" si="56"/>
        <v>0</v>
      </c>
      <c r="BR73" s="293">
        <f t="shared" si="57"/>
        <v>0</v>
      </c>
      <c r="BS73" s="293">
        <f t="shared" si="58"/>
        <v>0</v>
      </c>
      <c r="BT73" s="7">
        <f t="shared" si="59"/>
        <v>1</v>
      </c>
      <c r="BU73" t="str">
        <f t="shared" si="60"/>
        <v/>
      </c>
      <c r="BV73" s="306" t="e">
        <f>IF(S73="-","-",VLOOKUP($A73,AMABat!$A$10:$AS$1137,BV$9,FALSE)-S73)</f>
        <v>#N/A</v>
      </c>
      <c r="BW73" s="306" t="e">
        <f>IF(T73="-","-",VLOOKUP($A73,AMABat!$A$10:$AS$1137,BW$9,FALSE)-T73)</f>
        <v>#N/A</v>
      </c>
      <c r="BX73" s="306" t="e">
        <f>IF(U73="-","-",VLOOKUP($A73,AMABat!$A$10:$AS$1137,BX$9,FALSE)-U73)</f>
        <v>#N/A</v>
      </c>
      <c r="BY73" s="306" t="e">
        <f>IF(V73="-","-",VLOOKUP($A73,AMABat!$A$10:$AS$1137,BY$9,FALSE)-V73)</f>
        <v>#N/A</v>
      </c>
      <c r="BZ73" s="306" t="e">
        <f>IF(W73="-","-",VLOOKUP($A73,AMABat!$A$10:$AS$1137,BZ$9,FALSE)-W73)</f>
        <v>#N/A</v>
      </c>
      <c r="CA73" s="306" t="e">
        <f>IF(X73="-","-",VLOOKUP($A73,AMABat!$A$10:$AS$1137,CA$9,FALSE)-X73)</f>
        <v>#N/A</v>
      </c>
      <c r="CB73" s="306" t="e">
        <f>IF(Y73="-","-",VLOOKUP($A73,AMABat!$A$10:$AS$1137,CB$9,FALSE)-Y73)</f>
        <v>#N/A</v>
      </c>
      <c r="CC73" s="306" t="e">
        <f>IF(Z73="-","-",VLOOKUP($A73,AMABat!$A$10:$AS$1137,CC$9,FALSE)-Z73)</f>
        <v>#N/A</v>
      </c>
      <c r="CD73" s="306" t="e">
        <f>IF(AA73="-","-",VLOOKUP($A73,AMABat!$A$10:$AS$1137,CD$9,FALSE)-AA73)</f>
        <v>#N/A</v>
      </c>
      <c r="CE73" s="306" t="e">
        <f>IF(AB73="-","-",VLOOKUP($A73,AMABat!$A$10:$AS$1137,CE$9,FALSE)-AB73)</f>
        <v>#N/A</v>
      </c>
      <c r="CF73" s="306" t="e">
        <f>IF(AC73="-","-",VLOOKUP($A73,AMABat!$A$10:$AS$1137,CF$9,FALSE)-AC73)</f>
        <v>#N/A</v>
      </c>
      <c r="CG73" s="306" t="e">
        <f>IF(AD73="-","-",VLOOKUP($A73,AMABat!$A$10:$AS$1137,CG$9,FALSE)-AD73)</f>
        <v>#N/A</v>
      </c>
      <c r="CH73" s="306" t="e">
        <f>IF(AE73="-","-",VLOOKUP($A73,AMABat!$A$10:$AS$1137,CH$9,FALSE)-AE73)</f>
        <v>#N/A</v>
      </c>
      <c r="CI73" s="306" t="str">
        <f>IF(AG73="-","-",VLOOKUP($A73,AMABat!$A$10:$AS$1137,CI$9,FALSE)-AG73)</f>
        <v>-</v>
      </c>
      <c r="CJ73" s="306" t="str">
        <f>IF(AH73="-","-",VLOOKUP($A73,AMABat!$A$10:$AS$1137,CJ$9,FALSE)-AH73)</f>
        <v>-</v>
      </c>
      <c r="CK73" s="306" t="str">
        <f>IF(AI73="-","-",VLOOKUP($A73,AMABat!$A$10:$AS$1137,CK$9,FALSE)-AI73)</f>
        <v>-</v>
      </c>
      <c r="CL73" s="306" t="str">
        <f>IF(AJ73="-","-",VLOOKUP($A73,AMABat!$A$10:$AS$1137,CL$9,FALSE)-AJ73)</f>
        <v>-</v>
      </c>
      <c r="CM73" s="306" t="str">
        <f>IF(AK73="-","-",VLOOKUP($A73,AMABat!$A$10:$AS$1137,CM$9,FALSE)-AK73)</f>
        <v>-</v>
      </c>
      <c r="CN73" s="306" t="e">
        <f>IF(AL73="-","-",VLOOKUP($A73,AMABat!$A$10:$AS$1137,CN$9,FALSE)-AL73)</f>
        <v>#N/A</v>
      </c>
      <c r="CO73" s="306" t="str">
        <f>IF(AM73="-","-",VLOOKUP($A73,AMABat!$A$10:$AS$1137,CO$9,FALSE)-AM73)</f>
        <v>-</v>
      </c>
      <c r="CP73" s="306" t="e">
        <f>IF(AN73="-","-",VLOOKUP($A73,AMABat!$A$10:$AS$1137,CP$9,FALSE)-AN73)</f>
        <v>#N/A</v>
      </c>
      <c r="CQ73" s="306" t="e">
        <f>IF(AO73="-","-",VLOOKUP($A73,AMABat!$A$10:$AS$1137,CQ$9,FALSE)-AO73)</f>
        <v>#N/A</v>
      </c>
      <c r="CR73" s="306" t="e">
        <f>IF(AP73="-","-",VLOOKUP($A73,AMABat!$A$10:$AS$1137,CR$9,FALSE)-AP73)</f>
        <v>#N/A</v>
      </c>
      <c r="CS73" s="306" t="e">
        <f>IF(AQ73="-","-",VLOOKUP($A73,AMABat!$A$10:$AS$1137,CS$9,FALSE)-AQ73)</f>
        <v>#N/A</v>
      </c>
      <c r="CT73" s="84" t="e">
        <f t="shared" si="61"/>
        <v>#N/A</v>
      </c>
      <c r="CU73" s="84" t="e">
        <f t="shared" si="62"/>
        <v>#N/A</v>
      </c>
      <c r="CV73" s="84" t="e">
        <f t="shared" si="63"/>
        <v>#N/A</v>
      </c>
      <c r="CW73" s="84" t="e">
        <f t="shared" si="64"/>
        <v>#N/A</v>
      </c>
      <c r="CX73" s="84" t="e">
        <f t="shared" si="65"/>
        <v>#N/A</v>
      </c>
    </row>
    <row r="74" spans="1:102" x14ac:dyDescent="0.25">
      <c r="A74" s="306" t="s">
        <v>665</v>
      </c>
      <c r="B74" s="305" t="s">
        <v>534</v>
      </c>
      <c r="C74" s="305"/>
      <c r="D74" s="305" t="s">
        <v>32</v>
      </c>
      <c r="E74" s="305" t="s">
        <v>32</v>
      </c>
      <c r="F74" s="305" t="s">
        <v>81</v>
      </c>
      <c r="G74" t="s">
        <v>77</v>
      </c>
      <c r="H74" t="s">
        <v>717</v>
      </c>
      <c r="I74" s="305" t="s">
        <v>848</v>
      </c>
      <c r="J74" t="s">
        <v>814</v>
      </c>
      <c r="K74" t="s">
        <v>187</v>
      </c>
      <c r="L74">
        <v>22</v>
      </c>
      <c r="M74" t="s">
        <v>83</v>
      </c>
      <c r="N74" t="s">
        <v>83</v>
      </c>
      <c r="O74" t="s">
        <v>808</v>
      </c>
      <c r="P74" s="212" t="s">
        <v>773</v>
      </c>
      <c r="Q74" t="s">
        <v>200</v>
      </c>
      <c r="R74" s="212" t="s">
        <v>199</v>
      </c>
      <c r="S74">
        <v>3</v>
      </c>
      <c r="T74">
        <v>3</v>
      </c>
      <c r="U74">
        <v>3</v>
      </c>
      <c r="V74">
        <v>5</v>
      </c>
      <c r="W74" s="212">
        <v>5</v>
      </c>
      <c r="X74">
        <v>4</v>
      </c>
      <c r="Y74">
        <v>4</v>
      </c>
      <c r="Z74">
        <v>3</v>
      </c>
      <c r="AA74">
        <v>6</v>
      </c>
      <c r="AB74" s="212">
        <v>6</v>
      </c>
      <c r="AC74">
        <v>5</v>
      </c>
      <c r="AD74">
        <v>5</v>
      </c>
      <c r="AE74">
        <v>1</v>
      </c>
      <c r="AF74" s="305">
        <v>1</v>
      </c>
      <c r="AG74" t="s">
        <v>32</v>
      </c>
      <c r="AH74" t="s">
        <v>32</v>
      </c>
      <c r="AI74" t="s">
        <v>32</v>
      </c>
      <c r="AJ74">
        <v>2</v>
      </c>
      <c r="AK74">
        <v>1</v>
      </c>
      <c r="AL74">
        <v>6</v>
      </c>
      <c r="AM74" t="s">
        <v>32</v>
      </c>
      <c r="AN74" s="212" t="s">
        <v>32</v>
      </c>
      <c r="AO74">
        <v>3</v>
      </c>
      <c r="AP74">
        <v>2</v>
      </c>
      <c r="AQ74" s="212">
        <v>1</v>
      </c>
      <c r="AR74" s="78" t="s">
        <v>32</v>
      </c>
      <c r="AS74" s="212" t="s">
        <v>33</v>
      </c>
      <c r="AT74" s="372" t="s">
        <v>199</v>
      </c>
      <c r="AU74" s="22">
        <f t="shared" si="34"/>
        <v>2.1666666666666665</v>
      </c>
      <c r="AV74" s="23" t="str">
        <f t="shared" si="35"/>
        <v>Minors</v>
      </c>
      <c r="AW74" s="22">
        <f t="shared" si="36"/>
        <v>3.333333333333333</v>
      </c>
      <c r="AX74" s="22" t="str">
        <f t="shared" si="37"/>
        <v>Minors</v>
      </c>
      <c r="AY74" s="23">
        <f t="shared" si="38"/>
        <v>3.333333333333333</v>
      </c>
      <c r="AZ74" s="23" t="str">
        <f t="shared" si="39"/>
        <v>Minors</v>
      </c>
      <c r="BA74" s="64">
        <f t="shared" si="40"/>
        <v>0</v>
      </c>
      <c r="BB74" s="65">
        <f t="shared" si="41"/>
        <v>0</v>
      </c>
      <c r="BC74" s="65">
        <f t="shared" si="42"/>
        <v>0</v>
      </c>
      <c r="BD74" s="65">
        <f t="shared" si="43"/>
        <v>0</v>
      </c>
      <c r="BE74" s="65">
        <f t="shared" si="44"/>
        <v>0</v>
      </c>
      <c r="BF74" s="65">
        <f t="shared" si="45"/>
        <v>0</v>
      </c>
      <c r="BG74" s="65">
        <f t="shared" si="46"/>
        <v>0</v>
      </c>
      <c r="BH74" s="65">
        <f t="shared" si="47"/>
        <v>0</v>
      </c>
      <c r="BI74" s="21">
        <f t="shared" si="48"/>
        <v>0</v>
      </c>
      <c r="BJ74" s="64">
        <f t="shared" si="49"/>
        <v>0</v>
      </c>
      <c r="BK74" s="65">
        <f t="shared" si="50"/>
        <v>0</v>
      </c>
      <c r="BL74" s="65">
        <f t="shared" si="51"/>
        <v>0</v>
      </c>
      <c r="BM74" s="65">
        <f t="shared" si="52"/>
        <v>0</v>
      </c>
      <c r="BN74" s="65">
        <f t="shared" si="53"/>
        <v>0</v>
      </c>
      <c r="BO74" s="65">
        <f t="shared" si="54"/>
        <v>0</v>
      </c>
      <c r="BP74" s="65">
        <f t="shared" si="55"/>
        <v>0</v>
      </c>
      <c r="BQ74" s="65">
        <f t="shared" si="56"/>
        <v>0</v>
      </c>
      <c r="BR74" s="21">
        <f t="shared" si="57"/>
        <v>0</v>
      </c>
      <c r="BS74" s="21">
        <f t="shared" si="58"/>
        <v>0</v>
      </c>
      <c r="BT74" s="24">
        <f t="shared" si="59"/>
        <v>1</v>
      </c>
      <c r="BU74" s="20" t="str">
        <f t="shared" si="60"/>
        <v/>
      </c>
      <c r="BV74" s="306" t="e">
        <f>IF(S74="-","-",VLOOKUP($A74,AMABat!$A$10:$AS$1137,BV$9,FALSE)-S74)</f>
        <v>#N/A</v>
      </c>
      <c r="BW74" s="306" t="e">
        <f>IF(T74="-","-",VLOOKUP($A74,AMABat!$A$10:$AS$1137,BW$9,FALSE)-T74)</f>
        <v>#N/A</v>
      </c>
      <c r="BX74" s="306" t="e">
        <f>IF(U74="-","-",VLOOKUP($A74,AMABat!$A$10:$AS$1137,BX$9,FALSE)-U74)</f>
        <v>#N/A</v>
      </c>
      <c r="BY74" s="306" t="e">
        <f>IF(V74="-","-",VLOOKUP($A74,AMABat!$A$10:$AS$1137,BY$9,FALSE)-V74)</f>
        <v>#N/A</v>
      </c>
      <c r="BZ74" s="306" t="e">
        <f>IF(W74="-","-",VLOOKUP($A74,AMABat!$A$10:$AS$1137,BZ$9,FALSE)-W74)</f>
        <v>#N/A</v>
      </c>
      <c r="CA74" s="306" t="e">
        <f>IF(X74="-","-",VLOOKUP($A74,AMABat!$A$10:$AS$1137,CA$9,FALSE)-X74)</f>
        <v>#N/A</v>
      </c>
      <c r="CB74" s="306" t="e">
        <f>IF(Y74="-","-",VLOOKUP($A74,AMABat!$A$10:$AS$1137,CB$9,FALSE)-Y74)</f>
        <v>#N/A</v>
      </c>
      <c r="CC74" s="306" t="e">
        <f>IF(Z74="-","-",VLOOKUP($A74,AMABat!$A$10:$AS$1137,CC$9,FALSE)-Z74)</f>
        <v>#N/A</v>
      </c>
      <c r="CD74" s="306" t="e">
        <f>IF(AA74="-","-",VLOOKUP($A74,AMABat!$A$10:$AS$1137,CD$9,FALSE)-AA74)</f>
        <v>#N/A</v>
      </c>
      <c r="CE74" s="306" t="e">
        <f>IF(AB74="-","-",VLOOKUP($A74,AMABat!$A$10:$AS$1137,CE$9,FALSE)-AB74)</f>
        <v>#N/A</v>
      </c>
      <c r="CF74" s="306" t="e">
        <f>IF(AC74="-","-",VLOOKUP($A74,AMABat!$A$10:$AS$1137,CF$9,FALSE)-AC74)</f>
        <v>#N/A</v>
      </c>
      <c r="CG74" s="306" t="e">
        <f>IF(AD74="-","-",VLOOKUP($A74,AMABat!$A$10:$AS$1137,CG$9,FALSE)-AD74)</f>
        <v>#N/A</v>
      </c>
      <c r="CH74" s="306" t="e">
        <f>IF(AE74="-","-",VLOOKUP($A74,AMABat!$A$10:$AS$1137,CH$9,FALSE)-AE74)</f>
        <v>#N/A</v>
      </c>
      <c r="CI74" s="306" t="str">
        <f>IF(AG74="-","-",VLOOKUP($A74,AMABat!$A$10:$AS$1137,CI$9,FALSE)-AG74)</f>
        <v>-</v>
      </c>
      <c r="CJ74" s="306" t="str">
        <f>IF(AH74="-","-",VLOOKUP($A74,AMABat!$A$10:$AS$1137,CJ$9,FALSE)-AH74)</f>
        <v>-</v>
      </c>
      <c r="CK74" s="306" t="str">
        <f>IF(AI74="-","-",VLOOKUP($A74,AMABat!$A$10:$AS$1137,CK$9,FALSE)-AI74)</f>
        <v>-</v>
      </c>
      <c r="CL74" s="306" t="e">
        <f>IF(AJ74="-","-",VLOOKUP($A74,AMABat!$A$10:$AS$1137,CL$9,FALSE)-AJ74)</f>
        <v>#N/A</v>
      </c>
      <c r="CM74" s="306" t="e">
        <f>IF(AK74="-","-",VLOOKUP($A74,AMABat!$A$10:$AS$1137,CM$9,FALSE)-AK74)</f>
        <v>#N/A</v>
      </c>
      <c r="CN74" s="306" t="e">
        <f>IF(AL74="-","-",VLOOKUP($A74,AMABat!$A$10:$AS$1137,CN$9,FALSE)-AL74)</f>
        <v>#N/A</v>
      </c>
      <c r="CO74" s="306" t="str">
        <f>IF(AM74="-","-",VLOOKUP($A74,AMABat!$A$10:$AS$1137,CO$9,FALSE)-AM74)</f>
        <v>-</v>
      </c>
      <c r="CP74" s="306" t="str">
        <f>IF(AN74="-","-",VLOOKUP($A74,AMABat!$A$10:$AS$1137,CP$9,FALSE)-AN74)</f>
        <v>-</v>
      </c>
      <c r="CQ74" s="306" t="e">
        <f>IF(AO74="-","-",VLOOKUP($A74,AMABat!$A$10:$AS$1137,CQ$9,FALSE)-AO74)</f>
        <v>#N/A</v>
      </c>
      <c r="CR74" s="306" t="e">
        <f>IF(AP74="-","-",VLOOKUP($A74,AMABat!$A$10:$AS$1137,CR$9,FALSE)-AP74)</f>
        <v>#N/A</v>
      </c>
      <c r="CS74" s="306" t="e">
        <f>IF(AQ74="-","-",VLOOKUP($A74,AMABat!$A$10:$AS$1137,CS$9,FALSE)-AQ74)</f>
        <v>#N/A</v>
      </c>
      <c r="CT74" s="84" t="e">
        <f t="shared" si="61"/>
        <v>#N/A</v>
      </c>
      <c r="CU74" s="84" t="e">
        <f t="shared" si="62"/>
        <v>#N/A</v>
      </c>
      <c r="CV74" s="84" t="e">
        <f t="shared" si="63"/>
        <v>#N/A</v>
      </c>
      <c r="CW74" s="84" t="e">
        <f t="shared" si="64"/>
        <v>#N/A</v>
      </c>
      <c r="CX74" s="84" t="e">
        <f t="shared" si="65"/>
        <v>#N/A</v>
      </c>
    </row>
    <row r="75" spans="1:102" x14ac:dyDescent="0.25">
      <c r="A75" s="306" t="s">
        <v>666</v>
      </c>
      <c r="B75" s="305" t="s">
        <v>534</v>
      </c>
      <c r="C75" s="305"/>
      <c r="D75" s="305" t="s">
        <v>32</v>
      </c>
      <c r="E75" s="305" t="s">
        <v>32</v>
      </c>
      <c r="F75" s="305" t="s">
        <v>81</v>
      </c>
      <c r="G75" t="s">
        <v>74</v>
      </c>
      <c r="H75" t="s">
        <v>715</v>
      </c>
      <c r="I75" s="305" t="s">
        <v>436</v>
      </c>
      <c r="J75" t="s">
        <v>802</v>
      </c>
      <c r="K75" t="s">
        <v>277</v>
      </c>
      <c r="L75">
        <v>20</v>
      </c>
      <c r="M75" t="s">
        <v>85</v>
      </c>
      <c r="N75" t="s">
        <v>83</v>
      </c>
      <c r="O75" t="s">
        <v>803</v>
      </c>
      <c r="P75" s="212" t="s">
        <v>773</v>
      </c>
      <c r="Q75" t="s">
        <v>201</v>
      </c>
      <c r="R75" s="212" t="s">
        <v>200</v>
      </c>
      <c r="S75">
        <v>3</v>
      </c>
      <c r="T75">
        <v>5</v>
      </c>
      <c r="U75">
        <v>3</v>
      </c>
      <c r="V75">
        <v>5</v>
      </c>
      <c r="W75" s="212">
        <v>3</v>
      </c>
      <c r="X75">
        <v>4</v>
      </c>
      <c r="Y75">
        <v>6</v>
      </c>
      <c r="Z75">
        <v>3</v>
      </c>
      <c r="AA75">
        <v>6</v>
      </c>
      <c r="AB75" s="212">
        <v>4</v>
      </c>
      <c r="AC75">
        <v>6</v>
      </c>
      <c r="AD75">
        <v>4</v>
      </c>
      <c r="AE75">
        <v>1</v>
      </c>
      <c r="AF75" s="305">
        <v>1</v>
      </c>
      <c r="AG75" t="s">
        <v>32</v>
      </c>
      <c r="AH75" t="s">
        <v>32</v>
      </c>
      <c r="AI75">
        <v>4</v>
      </c>
      <c r="AJ75" t="s">
        <v>32</v>
      </c>
      <c r="AK75">
        <v>1</v>
      </c>
      <c r="AL75" t="s">
        <v>32</v>
      </c>
      <c r="AM75" t="s">
        <v>32</v>
      </c>
      <c r="AN75" s="212" t="s">
        <v>32</v>
      </c>
      <c r="AO75">
        <v>7</v>
      </c>
      <c r="AP75">
        <v>7</v>
      </c>
      <c r="AQ75" s="212">
        <v>9</v>
      </c>
      <c r="AR75" s="78" t="s">
        <v>32</v>
      </c>
      <c r="AS75" s="212">
        <v>0</v>
      </c>
      <c r="AT75" s="372" t="s">
        <v>529</v>
      </c>
      <c r="AU75" s="6">
        <f t="shared" ref="AU75:AU87" si="66">AVERAGE(S75,U75,V75)+IF(OR(S75&gt;7,AND(S75&gt;5,V75&gt;5)),0.5,0)+IF(U75&gt;7,0.25,0)+IF(S75&lt;6,-0.5*(6-S75),0)</f>
        <v>2.1666666666666665</v>
      </c>
      <c r="AV75" s="9" t="str">
        <f t="shared" ref="AV75:AV87" si="67">IF(AU75&gt;9,"SuperStar",IF(AU75&gt;8,"Star",IF(AU75&gt;6.5,"GoodReg",IF(AU75&gt;5,"Reg",IF(AU75&gt;4,"Bench","Minors")))))</f>
        <v>Minors</v>
      </c>
      <c r="AW75" s="6">
        <f t="shared" ref="AW75:AW87" si="68">AVERAGE(X75,Z75,AA75)+IF(OR(X75&gt;7,AND(X75&gt;5,AA75&gt;5)),0.5,0)+IF(Z75&gt;7,0.25,0)+IF(X75&lt;6,-0.5*(6-X75),0)</f>
        <v>3.333333333333333</v>
      </c>
      <c r="AX75" s="6" t="str">
        <f t="shared" ref="AX75:AX87" si="69">IF(AW75&gt;9,"SuperStar",IF(AW75&gt;8,"Star",IF(AW75&gt;6.5,"GoodReg",IF(AW75&gt;5,"Reg",IF(AW75&gt;4,"Bench","Minors")))))</f>
        <v>Minors</v>
      </c>
      <c r="AY75" s="9">
        <f t="shared" ref="AY75:AY87" si="70">MIN(AU75+(MAX(0,25-L75))^1.5,AW75)</f>
        <v>3.333333333333333</v>
      </c>
      <c r="AZ75" s="9" t="str">
        <f t="shared" ref="AZ75:AZ87" si="71">IF(AY75&gt;9,"SuperStar",IF(AY75&gt;8,"Star",IF(AY75&gt;6.5,"GoodReg",IF(AY75&gt;5,"Reg",IF(AY75&gt;4,"Bench","Minors")))))</f>
        <v>Minors</v>
      </c>
      <c r="BA75" s="297">
        <f t="shared" ref="BA75:BA87" si="72">IF(AND(OR(S75+V75&gt;12,AND(S75&gt;6,V75&gt;6)),AO75&gt;6,OR(AP75&gt;=AO75,AP75&gt;6)),1,0)</f>
        <v>0</v>
      </c>
      <c r="BB75" s="292">
        <f t="shared" ref="BB75:BB87" si="73">IF(OR(AND(S75&gt;6,W75&gt;6),S75+V75&gt;12),1,0)</f>
        <v>0</v>
      </c>
      <c r="BC75" s="292">
        <f t="shared" ref="BC75:BC87" si="74">IF(AND(S75&gt;6,U75&gt;6,V75&gt;6),1,0)</f>
        <v>0</v>
      </c>
      <c r="BD75" s="292">
        <f t="shared" ref="BD75:BD87" si="75">IF(AND(U75&gt;7,OR(S75&gt;6,V75&gt;6)),1,0)</f>
        <v>0</v>
      </c>
      <c r="BE75" s="292">
        <f t="shared" ref="BE75:BE87" si="76">IF(AND(U75&gt;6,OR(S75&gt;6,V75&gt;6)),1,0)</f>
        <v>0</v>
      </c>
      <c r="BF75" s="292">
        <f t="shared" ref="BF75:BF87" si="77">IF(AND(OR(S75&gt;6,U75&gt;6),OR(S75&gt;6,V75&gt;6)),1,0)</f>
        <v>0</v>
      </c>
      <c r="BG75" s="292">
        <f t="shared" ref="BG75:BG87" si="78">IF(AND(S75&gt;4,OR(S75&gt;6,U75&gt;6,V75&gt;6)),1,0)</f>
        <v>0</v>
      </c>
      <c r="BH75" s="292">
        <f t="shared" ref="BH75:BH87" si="79">IF(AND(S75&gt;4,OR(S75&gt;6,T75&gt;6,U75&gt;6,V75&gt;6)),1,0)</f>
        <v>0</v>
      </c>
      <c r="BI75" s="293">
        <f t="shared" ref="BI75:BI87" si="80">IF(AND(S75&gt;4,MAX(S75:W75)&gt;6),1,0)</f>
        <v>0</v>
      </c>
      <c r="BJ75" s="297">
        <f t="shared" ref="BJ75:BJ87" si="81">IF(AND(OR(X75+AA75&gt;12,AND(X75&gt;6,AA75&gt;6)),AO75&gt;6,OR(AP75&gt;=AO75,AP75&gt;6)),1,0)</f>
        <v>0</v>
      </c>
      <c r="BK75" s="292">
        <f t="shared" ref="BK75:BK87" si="82">IF(OR(AND(X75&gt;6,AB75&gt;6),X75+AA75&gt;12),1,0)</f>
        <v>0</v>
      </c>
      <c r="BL75" s="292">
        <f t="shared" ref="BL75:BL87" si="83">IF(AND(X75&gt;6,Z75&gt;6,AA75&gt;6),1,0)</f>
        <v>0</v>
      </c>
      <c r="BM75" s="292">
        <f t="shared" ref="BM75:BM87" si="84">IF(AND(Z75&gt;7,OR(X75&gt;6,AA75&gt;6)),1,0)</f>
        <v>0</v>
      </c>
      <c r="BN75" s="292">
        <f t="shared" ref="BN75:BN87" si="85">IF(AND(Z75&gt;6,OR(X75&gt;6,AA75&gt;6)),1,0)</f>
        <v>0</v>
      </c>
      <c r="BO75" s="292">
        <f t="shared" ref="BO75:BO87" si="86">IF(AND(OR(X75&gt;6,Z75&gt;6),OR(X75&gt;6,AA75&gt;6)),1,0)</f>
        <v>0</v>
      </c>
      <c r="BP75" s="292">
        <f t="shared" ref="BP75:BP87" si="87">IF(AND(X75&gt;4,OR(X75&gt;6,Z75&gt;6,AA75&gt;6)),1,0)</f>
        <v>0</v>
      </c>
      <c r="BQ75" s="292">
        <f t="shared" ref="BQ75:BQ87" si="88">IF(AND(X75&gt;4,OR(X75&gt;6,Y75&gt;6,Z75&gt;6,AA75&gt;6)),1,0)</f>
        <v>0</v>
      </c>
      <c r="BR75" s="293">
        <f t="shared" ref="BR75:BR87" si="89">IF(AND(X75&gt;4,MAX(X75:AB75)&gt;6),1,0)</f>
        <v>0</v>
      </c>
      <c r="BS75" s="293">
        <f t="shared" ref="BS75:BS87" si="90">IF(AVERAGE(AO75:AP75)&gt;9,1,0)+IF(AVERAGE(AO75:AP75)&gt;7,1,0)+IF(AO75&gt;7,1,0)+IF(AP75&gt;7,1,0)+IF(AQ75&gt;8,1,0)+IF(AQ75&gt;6,1,0)</f>
        <v>2</v>
      </c>
      <c r="BT75" s="7">
        <f t="shared" ref="BT75:BT87" si="91">IF(OR(MAX(AG75,AH75,AL75,AN75)&gt;6,MAX(AI75,AJ75,AK75,AM75)&gt;7),2,IF(MAX(AG75:AN75)&gt;4,1,0))</f>
        <v>0</v>
      </c>
      <c r="BU75" t="str">
        <f t="shared" ref="BU75:BU87" si="92">IF(AS75=1,"Yes","")</f>
        <v/>
      </c>
      <c r="BV75" s="306" t="e">
        <f>IF(S75="-","-",VLOOKUP($A75,AMABat!$A$10:$AS$1137,BV$9,FALSE)-S75)</f>
        <v>#N/A</v>
      </c>
      <c r="BW75" s="306" t="e">
        <f>IF(T75="-","-",VLOOKUP($A75,AMABat!$A$10:$AS$1137,BW$9,FALSE)-T75)</f>
        <v>#N/A</v>
      </c>
      <c r="BX75" s="306" t="e">
        <f>IF(U75="-","-",VLOOKUP($A75,AMABat!$A$10:$AS$1137,BX$9,FALSE)-U75)</f>
        <v>#N/A</v>
      </c>
      <c r="BY75" s="306" t="e">
        <f>IF(V75="-","-",VLOOKUP($A75,AMABat!$A$10:$AS$1137,BY$9,FALSE)-V75)</f>
        <v>#N/A</v>
      </c>
      <c r="BZ75" s="306" t="e">
        <f>IF(W75="-","-",VLOOKUP($A75,AMABat!$A$10:$AS$1137,BZ$9,FALSE)-W75)</f>
        <v>#N/A</v>
      </c>
      <c r="CA75" s="306" t="e">
        <f>IF(X75="-","-",VLOOKUP($A75,AMABat!$A$10:$AS$1137,CA$9,FALSE)-X75)</f>
        <v>#N/A</v>
      </c>
      <c r="CB75" s="306" t="e">
        <f>IF(Y75="-","-",VLOOKUP($A75,AMABat!$A$10:$AS$1137,CB$9,FALSE)-Y75)</f>
        <v>#N/A</v>
      </c>
      <c r="CC75" s="306" t="e">
        <f>IF(Z75="-","-",VLOOKUP($A75,AMABat!$A$10:$AS$1137,CC$9,FALSE)-Z75)</f>
        <v>#N/A</v>
      </c>
      <c r="CD75" s="306" t="e">
        <f>IF(AA75="-","-",VLOOKUP($A75,AMABat!$A$10:$AS$1137,CD$9,FALSE)-AA75)</f>
        <v>#N/A</v>
      </c>
      <c r="CE75" s="306" t="e">
        <f>IF(AB75="-","-",VLOOKUP($A75,AMABat!$A$10:$AS$1137,CE$9,FALSE)-AB75)</f>
        <v>#N/A</v>
      </c>
      <c r="CF75" s="306" t="e">
        <f>IF(AC75="-","-",VLOOKUP($A75,AMABat!$A$10:$AS$1137,CF$9,FALSE)-AC75)</f>
        <v>#N/A</v>
      </c>
      <c r="CG75" s="306" t="e">
        <f>IF(AD75="-","-",VLOOKUP($A75,AMABat!$A$10:$AS$1137,CG$9,FALSE)-AD75)</f>
        <v>#N/A</v>
      </c>
      <c r="CH75" s="306" t="e">
        <f>IF(AE75="-","-",VLOOKUP($A75,AMABat!$A$10:$AS$1137,CH$9,FALSE)-AE75)</f>
        <v>#N/A</v>
      </c>
      <c r="CI75" s="306" t="str">
        <f>IF(AG75="-","-",VLOOKUP($A75,AMABat!$A$10:$AS$1137,CI$9,FALSE)-AG75)</f>
        <v>-</v>
      </c>
      <c r="CJ75" s="306" t="str">
        <f>IF(AH75="-","-",VLOOKUP($A75,AMABat!$A$10:$AS$1137,CJ$9,FALSE)-AH75)</f>
        <v>-</v>
      </c>
      <c r="CK75" s="306" t="e">
        <f>IF(AI75="-","-",VLOOKUP($A75,AMABat!$A$10:$AS$1137,CK$9,FALSE)-AI75)</f>
        <v>#N/A</v>
      </c>
      <c r="CL75" s="306" t="str">
        <f>IF(AJ75="-","-",VLOOKUP($A75,AMABat!$A$10:$AS$1137,CL$9,FALSE)-AJ75)</f>
        <v>-</v>
      </c>
      <c r="CM75" s="306" t="e">
        <f>IF(AK75="-","-",VLOOKUP($A75,AMABat!$A$10:$AS$1137,CM$9,FALSE)-AK75)</f>
        <v>#N/A</v>
      </c>
      <c r="CN75" s="306" t="str">
        <f>IF(AL75="-","-",VLOOKUP($A75,AMABat!$A$10:$AS$1137,CN$9,FALSE)-AL75)</f>
        <v>-</v>
      </c>
      <c r="CO75" s="306" t="str">
        <f>IF(AM75="-","-",VLOOKUP($A75,AMABat!$A$10:$AS$1137,CO$9,FALSE)-AM75)</f>
        <v>-</v>
      </c>
      <c r="CP75" s="306" t="str">
        <f>IF(AN75="-","-",VLOOKUP($A75,AMABat!$A$10:$AS$1137,CP$9,FALSE)-AN75)</f>
        <v>-</v>
      </c>
      <c r="CQ75" s="306" t="e">
        <f>IF(AO75="-","-",VLOOKUP($A75,AMABat!$A$10:$AS$1137,CQ$9,FALSE)-AO75)</f>
        <v>#N/A</v>
      </c>
      <c r="CR75" s="306" t="e">
        <f>IF(AP75="-","-",VLOOKUP($A75,AMABat!$A$10:$AS$1137,CR$9,FALSE)-AP75)</f>
        <v>#N/A</v>
      </c>
      <c r="CS75" s="306" t="e">
        <f>IF(AQ75="-","-",VLOOKUP($A75,AMABat!$A$10:$AS$1137,CS$9,FALSE)-AQ75)</f>
        <v>#N/A</v>
      </c>
      <c r="CT75" s="84" t="e">
        <f t="shared" ref="CT75:CT87" si="93">SUM(BV75:BZ75)</f>
        <v>#N/A</v>
      </c>
      <c r="CU75" s="84" t="e">
        <f t="shared" ref="CU75:CU87" si="94">SUM(CA75:CE75)</f>
        <v>#N/A</v>
      </c>
      <c r="CV75" s="84" t="e">
        <f t="shared" ref="CV75:CV87" si="95">SUM(CF75:CP75)</f>
        <v>#N/A</v>
      </c>
      <c r="CW75" s="84" t="e">
        <f t="shared" ref="CW75:CW87" si="96">SUM(CQ75:CS75)</f>
        <v>#N/A</v>
      </c>
      <c r="CX75" s="84" t="e">
        <f t="shared" ref="CX75:CX87" si="97">SUM(CT75:CW75)</f>
        <v>#N/A</v>
      </c>
    </row>
    <row r="76" spans="1:102" x14ac:dyDescent="0.25">
      <c r="A76" s="306" t="s">
        <v>667</v>
      </c>
      <c r="B76" s="305" t="s">
        <v>534</v>
      </c>
      <c r="C76" s="305"/>
      <c r="D76" s="305" t="s">
        <v>32</v>
      </c>
      <c r="E76" s="305" t="s">
        <v>32</v>
      </c>
      <c r="F76" s="305" t="s">
        <v>72</v>
      </c>
      <c r="G76" t="s">
        <v>11</v>
      </c>
      <c r="H76" t="s">
        <v>523</v>
      </c>
      <c r="I76" s="305" t="s">
        <v>849</v>
      </c>
      <c r="J76" t="s">
        <v>763</v>
      </c>
      <c r="K76" t="s">
        <v>402</v>
      </c>
      <c r="L76">
        <v>26</v>
      </c>
      <c r="M76" t="s">
        <v>83</v>
      </c>
      <c r="N76" t="s">
        <v>83</v>
      </c>
      <c r="O76" t="s">
        <v>773</v>
      </c>
      <c r="P76" s="212" t="s">
        <v>764</v>
      </c>
      <c r="Q76" t="s">
        <v>199</v>
      </c>
      <c r="R76" s="212" t="s">
        <v>200</v>
      </c>
      <c r="S76">
        <v>3</v>
      </c>
      <c r="T76">
        <v>3</v>
      </c>
      <c r="U76">
        <v>2</v>
      </c>
      <c r="V76">
        <v>6</v>
      </c>
      <c r="W76" s="212">
        <v>4</v>
      </c>
      <c r="X76">
        <v>3</v>
      </c>
      <c r="Y76">
        <v>3</v>
      </c>
      <c r="Z76">
        <v>2</v>
      </c>
      <c r="AA76">
        <v>7</v>
      </c>
      <c r="AB76" s="212">
        <v>4</v>
      </c>
      <c r="AC76">
        <v>6</v>
      </c>
      <c r="AD76">
        <v>1</v>
      </c>
      <c r="AE76">
        <v>1</v>
      </c>
      <c r="AF76" s="305">
        <v>1</v>
      </c>
      <c r="AG76" t="s">
        <v>32</v>
      </c>
      <c r="AH76" t="s">
        <v>32</v>
      </c>
      <c r="AI76" t="s">
        <v>32</v>
      </c>
      <c r="AJ76" t="s">
        <v>32</v>
      </c>
      <c r="AK76" t="s">
        <v>32</v>
      </c>
      <c r="AL76" t="s">
        <v>32</v>
      </c>
      <c r="AM76" t="s">
        <v>32</v>
      </c>
      <c r="AN76" s="212" t="s">
        <v>32</v>
      </c>
      <c r="AO76">
        <v>1</v>
      </c>
      <c r="AP76">
        <v>2</v>
      </c>
      <c r="AQ76" s="212">
        <v>1</v>
      </c>
      <c r="AR76" s="78">
        <v>510000</v>
      </c>
      <c r="AS76" s="212" t="s">
        <v>33</v>
      </c>
      <c r="AT76" s="372" t="s">
        <v>199</v>
      </c>
      <c r="AU76" s="22">
        <f t="shared" si="66"/>
        <v>2.1666666666666665</v>
      </c>
      <c r="AV76" s="23" t="str">
        <f t="shared" si="67"/>
        <v>Minors</v>
      </c>
      <c r="AW76" s="22">
        <f t="shared" si="68"/>
        <v>2.5</v>
      </c>
      <c r="AX76" s="22" t="str">
        <f t="shared" si="69"/>
        <v>Minors</v>
      </c>
      <c r="AY76" s="23">
        <f t="shared" si="70"/>
        <v>2.1666666666666665</v>
      </c>
      <c r="AZ76" s="23" t="str">
        <f t="shared" si="71"/>
        <v>Minors</v>
      </c>
      <c r="BA76" s="64">
        <f t="shared" si="72"/>
        <v>0</v>
      </c>
      <c r="BB76" s="65">
        <f t="shared" si="73"/>
        <v>0</v>
      </c>
      <c r="BC76" s="65">
        <f t="shared" si="74"/>
        <v>0</v>
      </c>
      <c r="BD76" s="65">
        <f t="shared" si="75"/>
        <v>0</v>
      </c>
      <c r="BE76" s="65">
        <f t="shared" si="76"/>
        <v>0</v>
      </c>
      <c r="BF76" s="65">
        <f t="shared" si="77"/>
        <v>0</v>
      </c>
      <c r="BG76" s="65">
        <f t="shared" si="78"/>
        <v>0</v>
      </c>
      <c r="BH76" s="65">
        <f t="shared" si="79"/>
        <v>0</v>
      </c>
      <c r="BI76" s="21">
        <f t="shared" si="80"/>
        <v>0</v>
      </c>
      <c r="BJ76" s="64">
        <f t="shared" si="81"/>
        <v>0</v>
      </c>
      <c r="BK76" s="65">
        <f t="shared" si="82"/>
        <v>0</v>
      </c>
      <c r="BL76" s="65">
        <f t="shared" si="83"/>
        <v>0</v>
      </c>
      <c r="BM76" s="65">
        <f t="shared" si="84"/>
        <v>0</v>
      </c>
      <c r="BN76" s="65">
        <f t="shared" si="85"/>
        <v>0</v>
      </c>
      <c r="BO76" s="65">
        <f t="shared" si="86"/>
        <v>0</v>
      </c>
      <c r="BP76" s="65">
        <f t="shared" si="87"/>
        <v>0</v>
      </c>
      <c r="BQ76" s="65">
        <f t="shared" si="88"/>
        <v>0</v>
      </c>
      <c r="BR76" s="21">
        <f t="shared" si="89"/>
        <v>0</v>
      </c>
      <c r="BS76" s="21">
        <f t="shared" si="90"/>
        <v>0</v>
      </c>
      <c r="BT76" s="24">
        <f t="shared" si="91"/>
        <v>0</v>
      </c>
      <c r="BU76" s="20" t="str">
        <f t="shared" si="92"/>
        <v/>
      </c>
      <c r="BV76" s="306" t="e">
        <f>IF(S76="-","-",VLOOKUP($A76,AMABat!$A$10:$AS$1137,BV$9,FALSE)-S76)</f>
        <v>#N/A</v>
      </c>
      <c r="BW76" s="306" t="e">
        <f>IF(T76="-","-",VLOOKUP($A76,AMABat!$A$10:$AS$1137,BW$9,FALSE)-T76)</f>
        <v>#N/A</v>
      </c>
      <c r="BX76" s="306" t="e">
        <f>IF(U76="-","-",VLOOKUP($A76,AMABat!$A$10:$AS$1137,BX$9,FALSE)-U76)</f>
        <v>#N/A</v>
      </c>
      <c r="BY76" s="306" t="e">
        <f>IF(V76="-","-",VLOOKUP($A76,AMABat!$A$10:$AS$1137,BY$9,FALSE)-V76)</f>
        <v>#N/A</v>
      </c>
      <c r="BZ76" s="306" t="e">
        <f>IF(W76="-","-",VLOOKUP($A76,AMABat!$A$10:$AS$1137,BZ$9,FALSE)-W76)</f>
        <v>#N/A</v>
      </c>
      <c r="CA76" s="306" t="e">
        <f>IF(X76="-","-",VLOOKUP($A76,AMABat!$A$10:$AS$1137,CA$9,FALSE)-X76)</f>
        <v>#N/A</v>
      </c>
      <c r="CB76" s="306" t="e">
        <f>IF(Y76="-","-",VLOOKUP($A76,AMABat!$A$10:$AS$1137,CB$9,FALSE)-Y76)</f>
        <v>#N/A</v>
      </c>
      <c r="CC76" s="306" t="e">
        <f>IF(Z76="-","-",VLOOKUP($A76,AMABat!$A$10:$AS$1137,CC$9,FALSE)-Z76)</f>
        <v>#N/A</v>
      </c>
      <c r="CD76" s="306" t="e">
        <f>IF(AA76="-","-",VLOOKUP($A76,AMABat!$A$10:$AS$1137,CD$9,FALSE)-AA76)</f>
        <v>#N/A</v>
      </c>
      <c r="CE76" s="306" t="e">
        <f>IF(AB76="-","-",VLOOKUP($A76,AMABat!$A$10:$AS$1137,CE$9,FALSE)-AB76)</f>
        <v>#N/A</v>
      </c>
      <c r="CF76" s="306" t="e">
        <f>IF(AC76="-","-",VLOOKUP($A76,AMABat!$A$10:$AS$1137,CF$9,FALSE)-AC76)</f>
        <v>#N/A</v>
      </c>
      <c r="CG76" s="306" t="e">
        <f>IF(AD76="-","-",VLOOKUP($A76,AMABat!$A$10:$AS$1137,CG$9,FALSE)-AD76)</f>
        <v>#N/A</v>
      </c>
      <c r="CH76" s="306" t="e">
        <f>IF(AE76="-","-",VLOOKUP($A76,AMABat!$A$10:$AS$1137,CH$9,FALSE)-AE76)</f>
        <v>#N/A</v>
      </c>
      <c r="CI76" s="306" t="str">
        <f>IF(AG76="-","-",VLOOKUP($A76,AMABat!$A$10:$AS$1137,CI$9,FALSE)-AG76)</f>
        <v>-</v>
      </c>
      <c r="CJ76" s="306" t="str">
        <f>IF(AH76="-","-",VLOOKUP($A76,AMABat!$A$10:$AS$1137,CJ$9,FALSE)-AH76)</f>
        <v>-</v>
      </c>
      <c r="CK76" s="306" t="str">
        <f>IF(AI76="-","-",VLOOKUP($A76,AMABat!$A$10:$AS$1137,CK$9,FALSE)-AI76)</f>
        <v>-</v>
      </c>
      <c r="CL76" s="306" t="str">
        <f>IF(AJ76="-","-",VLOOKUP($A76,AMABat!$A$10:$AS$1137,CL$9,FALSE)-AJ76)</f>
        <v>-</v>
      </c>
      <c r="CM76" s="306" t="str">
        <f>IF(AK76="-","-",VLOOKUP($A76,AMABat!$A$10:$AS$1137,CM$9,FALSE)-AK76)</f>
        <v>-</v>
      </c>
      <c r="CN76" s="306" t="str">
        <f>IF(AL76="-","-",VLOOKUP($A76,AMABat!$A$10:$AS$1137,CN$9,FALSE)-AL76)</f>
        <v>-</v>
      </c>
      <c r="CO76" s="306" t="str">
        <f>IF(AM76="-","-",VLOOKUP($A76,AMABat!$A$10:$AS$1137,CO$9,FALSE)-AM76)</f>
        <v>-</v>
      </c>
      <c r="CP76" s="306" t="str">
        <f>IF(AN76="-","-",VLOOKUP($A76,AMABat!$A$10:$AS$1137,CP$9,FALSE)-AN76)</f>
        <v>-</v>
      </c>
      <c r="CQ76" s="306" t="e">
        <f>IF(AO76="-","-",VLOOKUP($A76,AMABat!$A$10:$AS$1137,CQ$9,FALSE)-AO76)</f>
        <v>#N/A</v>
      </c>
      <c r="CR76" s="306" t="e">
        <f>IF(AP76="-","-",VLOOKUP($A76,AMABat!$A$10:$AS$1137,CR$9,FALSE)-AP76)</f>
        <v>#N/A</v>
      </c>
      <c r="CS76" s="306" t="e">
        <f>IF(AQ76="-","-",VLOOKUP($A76,AMABat!$A$10:$AS$1137,CS$9,FALSE)-AQ76)</f>
        <v>#N/A</v>
      </c>
      <c r="CT76" s="84" t="e">
        <f t="shared" si="93"/>
        <v>#N/A</v>
      </c>
      <c r="CU76" s="84" t="e">
        <f t="shared" si="94"/>
        <v>#N/A</v>
      </c>
      <c r="CV76" s="84" t="e">
        <f t="shared" si="95"/>
        <v>#N/A</v>
      </c>
      <c r="CW76" s="84" t="e">
        <f t="shared" si="96"/>
        <v>#N/A</v>
      </c>
      <c r="CX76" s="84" t="e">
        <f t="shared" si="97"/>
        <v>#N/A</v>
      </c>
    </row>
    <row r="77" spans="1:102" x14ac:dyDescent="0.25">
      <c r="A77" s="306" t="s">
        <v>668</v>
      </c>
      <c r="B77" s="305" t="s">
        <v>534</v>
      </c>
      <c r="C77" s="305"/>
      <c r="D77" s="305" t="s">
        <v>32</v>
      </c>
      <c r="E77" s="305" t="s">
        <v>32</v>
      </c>
      <c r="F77" s="305" t="s">
        <v>81</v>
      </c>
      <c r="G77" t="s">
        <v>87</v>
      </c>
      <c r="H77" t="s">
        <v>421</v>
      </c>
      <c r="I77" s="305" t="s">
        <v>815</v>
      </c>
      <c r="J77" t="s">
        <v>802</v>
      </c>
      <c r="K77" t="s">
        <v>277</v>
      </c>
      <c r="L77">
        <v>20</v>
      </c>
      <c r="M77" t="s">
        <v>82</v>
      </c>
      <c r="N77" t="s">
        <v>83</v>
      </c>
      <c r="O77" t="s">
        <v>803</v>
      </c>
      <c r="P77" s="212" t="s">
        <v>764</v>
      </c>
      <c r="Q77" t="s">
        <v>200</v>
      </c>
      <c r="R77" s="212" t="s">
        <v>199</v>
      </c>
      <c r="S77">
        <v>4</v>
      </c>
      <c r="T77">
        <v>4</v>
      </c>
      <c r="U77">
        <v>2</v>
      </c>
      <c r="V77">
        <v>3</v>
      </c>
      <c r="W77" s="212">
        <v>3</v>
      </c>
      <c r="X77">
        <v>4</v>
      </c>
      <c r="Y77">
        <v>4</v>
      </c>
      <c r="Z77">
        <v>2</v>
      </c>
      <c r="AA77">
        <v>4</v>
      </c>
      <c r="AB77" s="212">
        <v>4</v>
      </c>
      <c r="AC77">
        <v>6</v>
      </c>
      <c r="AD77">
        <v>3</v>
      </c>
      <c r="AE77">
        <v>1</v>
      </c>
      <c r="AF77" s="305">
        <v>1</v>
      </c>
      <c r="AG77" t="s">
        <v>32</v>
      </c>
      <c r="AH77" t="s">
        <v>32</v>
      </c>
      <c r="AI77" t="s">
        <v>32</v>
      </c>
      <c r="AJ77" t="s">
        <v>32</v>
      </c>
      <c r="AK77" t="s">
        <v>32</v>
      </c>
      <c r="AL77" t="s">
        <v>32</v>
      </c>
      <c r="AM77" t="s">
        <v>32</v>
      </c>
      <c r="AN77" s="212" t="s">
        <v>32</v>
      </c>
      <c r="AO77">
        <v>3</v>
      </c>
      <c r="AP77">
        <v>2</v>
      </c>
      <c r="AQ77" s="212">
        <v>2</v>
      </c>
      <c r="AR77" s="78" t="s">
        <v>32</v>
      </c>
      <c r="AS77" s="212" t="s">
        <v>33</v>
      </c>
      <c r="AT77" s="372" t="s">
        <v>529</v>
      </c>
      <c r="AU77" s="6">
        <f t="shared" si="66"/>
        <v>2</v>
      </c>
      <c r="AV77" s="9" t="str">
        <f t="shared" si="67"/>
        <v>Minors</v>
      </c>
      <c r="AW77" s="6">
        <f t="shared" si="68"/>
        <v>2.3333333333333335</v>
      </c>
      <c r="AX77" s="6" t="str">
        <f t="shared" si="69"/>
        <v>Minors</v>
      </c>
      <c r="AY77" s="9">
        <f t="shared" si="70"/>
        <v>2.3333333333333335</v>
      </c>
      <c r="AZ77" s="9" t="str">
        <f t="shared" si="71"/>
        <v>Minors</v>
      </c>
      <c r="BA77" s="297">
        <f t="shared" si="72"/>
        <v>0</v>
      </c>
      <c r="BB77" s="292">
        <f t="shared" si="73"/>
        <v>0</v>
      </c>
      <c r="BC77" s="292">
        <f t="shared" si="74"/>
        <v>0</v>
      </c>
      <c r="BD77" s="292">
        <f t="shared" si="75"/>
        <v>0</v>
      </c>
      <c r="BE77" s="292">
        <f t="shared" si="76"/>
        <v>0</v>
      </c>
      <c r="BF77" s="292">
        <f t="shared" si="77"/>
        <v>0</v>
      </c>
      <c r="BG77" s="292">
        <f t="shared" si="78"/>
        <v>0</v>
      </c>
      <c r="BH77" s="292">
        <f t="shared" si="79"/>
        <v>0</v>
      </c>
      <c r="BI77" s="293">
        <f t="shared" si="80"/>
        <v>0</v>
      </c>
      <c r="BJ77" s="297">
        <f t="shared" si="81"/>
        <v>0</v>
      </c>
      <c r="BK77" s="292">
        <f t="shared" si="82"/>
        <v>0</v>
      </c>
      <c r="BL77" s="292">
        <f t="shared" si="83"/>
        <v>0</v>
      </c>
      <c r="BM77" s="292">
        <f t="shared" si="84"/>
        <v>0</v>
      </c>
      <c r="BN77" s="292">
        <f t="shared" si="85"/>
        <v>0</v>
      </c>
      <c r="BO77" s="292">
        <f t="shared" si="86"/>
        <v>0</v>
      </c>
      <c r="BP77" s="292">
        <f t="shared" si="87"/>
        <v>0</v>
      </c>
      <c r="BQ77" s="292">
        <f t="shared" si="88"/>
        <v>0</v>
      </c>
      <c r="BR77" s="293">
        <f t="shared" si="89"/>
        <v>0</v>
      </c>
      <c r="BS77" s="293">
        <f t="shared" si="90"/>
        <v>0</v>
      </c>
      <c r="BT77" s="7">
        <f t="shared" si="91"/>
        <v>0</v>
      </c>
      <c r="BU77" t="str">
        <f t="shared" si="92"/>
        <v/>
      </c>
      <c r="BV77" s="306" t="e">
        <f>IF(S77="-","-",VLOOKUP($A77,AMABat!$A$10:$AS$1137,BV$9,FALSE)-S77)</f>
        <v>#N/A</v>
      </c>
      <c r="BW77" s="306" t="e">
        <f>IF(T77="-","-",VLOOKUP($A77,AMABat!$A$10:$AS$1137,BW$9,FALSE)-T77)</f>
        <v>#N/A</v>
      </c>
      <c r="BX77" s="306" t="e">
        <f>IF(U77="-","-",VLOOKUP($A77,AMABat!$A$10:$AS$1137,BX$9,FALSE)-U77)</f>
        <v>#N/A</v>
      </c>
      <c r="BY77" s="306" t="e">
        <f>IF(V77="-","-",VLOOKUP($A77,AMABat!$A$10:$AS$1137,BY$9,FALSE)-V77)</f>
        <v>#N/A</v>
      </c>
      <c r="BZ77" s="306" t="e">
        <f>IF(W77="-","-",VLOOKUP($A77,AMABat!$A$10:$AS$1137,BZ$9,FALSE)-W77)</f>
        <v>#N/A</v>
      </c>
      <c r="CA77" s="306" t="e">
        <f>IF(X77="-","-",VLOOKUP($A77,AMABat!$A$10:$AS$1137,CA$9,FALSE)-X77)</f>
        <v>#N/A</v>
      </c>
      <c r="CB77" s="306" t="e">
        <f>IF(Y77="-","-",VLOOKUP($A77,AMABat!$A$10:$AS$1137,CB$9,FALSE)-Y77)</f>
        <v>#N/A</v>
      </c>
      <c r="CC77" s="306" t="e">
        <f>IF(Z77="-","-",VLOOKUP($A77,AMABat!$A$10:$AS$1137,CC$9,FALSE)-Z77)</f>
        <v>#N/A</v>
      </c>
      <c r="CD77" s="306" t="e">
        <f>IF(AA77="-","-",VLOOKUP($A77,AMABat!$A$10:$AS$1137,CD$9,FALSE)-AA77)</f>
        <v>#N/A</v>
      </c>
      <c r="CE77" s="306" t="e">
        <f>IF(AB77="-","-",VLOOKUP($A77,AMABat!$A$10:$AS$1137,CE$9,FALSE)-AB77)</f>
        <v>#N/A</v>
      </c>
      <c r="CF77" s="306" t="e">
        <f>IF(AC77="-","-",VLOOKUP($A77,AMABat!$A$10:$AS$1137,CF$9,FALSE)-AC77)</f>
        <v>#N/A</v>
      </c>
      <c r="CG77" s="306" t="e">
        <f>IF(AD77="-","-",VLOOKUP($A77,AMABat!$A$10:$AS$1137,CG$9,FALSE)-AD77)</f>
        <v>#N/A</v>
      </c>
      <c r="CH77" s="306" t="e">
        <f>IF(AE77="-","-",VLOOKUP($A77,AMABat!$A$10:$AS$1137,CH$9,FALSE)-AE77)</f>
        <v>#N/A</v>
      </c>
      <c r="CI77" s="306" t="str">
        <f>IF(AG77="-","-",VLOOKUP($A77,AMABat!$A$10:$AS$1137,CI$9,FALSE)-AG77)</f>
        <v>-</v>
      </c>
      <c r="CJ77" s="306" t="str">
        <f>IF(AH77="-","-",VLOOKUP($A77,AMABat!$A$10:$AS$1137,CJ$9,FALSE)-AH77)</f>
        <v>-</v>
      </c>
      <c r="CK77" s="306" t="str">
        <f>IF(AI77="-","-",VLOOKUP($A77,AMABat!$A$10:$AS$1137,CK$9,FALSE)-AI77)</f>
        <v>-</v>
      </c>
      <c r="CL77" s="306" t="str">
        <f>IF(AJ77="-","-",VLOOKUP($A77,AMABat!$A$10:$AS$1137,CL$9,FALSE)-AJ77)</f>
        <v>-</v>
      </c>
      <c r="CM77" s="306" t="str">
        <f>IF(AK77="-","-",VLOOKUP($A77,AMABat!$A$10:$AS$1137,CM$9,FALSE)-AK77)</f>
        <v>-</v>
      </c>
      <c r="CN77" s="306" t="str">
        <f>IF(AL77="-","-",VLOOKUP($A77,AMABat!$A$10:$AS$1137,CN$9,FALSE)-AL77)</f>
        <v>-</v>
      </c>
      <c r="CO77" s="306" t="str">
        <f>IF(AM77="-","-",VLOOKUP($A77,AMABat!$A$10:$AS$1137,CO$9,FALSE)-AM77)</f>
        <v>-</v>
      </c>
      <c r="CP77" s="306" t="str">
        <f>IF(AN77="-","-",VLOOKUP($A77,AMABat!$A$10:$AS$1137,CP$9,FALSE)-AN77)</f>
        <v>-</v>
      </c>
      <c r="CQ77" s="306" t="e">
        <f>IF(AO77="-","-",VLOOKUP($A77,AMABat!$A$10:$AS$1137,CQ$9,FALSE)-AO77)</f>
        <v>#N/A</v>
      </c>
      <c r="CR77" s="306" t="e">
        <f>IF(AP77="-","-",VLOOKUP($A77,AMABat!$A$10:$AS$1137,CR$9,FALSE)-AP77)</f>
        <v>#N/A</v>
      </c>
      <c r="CS77" s="306" t="e">
        <f>IF(AQ77="-","-",VLOOKUP($A77,AMABat!$A$10:$AS$1137,CS$9,FALSE)-AQ77)</f>
        <v>#N/A</v>
      </c>
      <c r="CT77" s="84" t="e">
        <f t="shared" si="93"/>
        <v>#N/A</v>
      </c>
      <c r="CU77" s="84" t="e">
        <f t="shared" si="94"/>
        <v>#N/A</v>
      </c>
      <c r="CV77" s="84" t="e">
        <f t="shared" si="95"/>
        <v>#N/A</v>
      </c>
      <c r="CW77" s="84" t="e">
        <f t="shared" si="96"/>
        <v>#N/A</v>
      </c>
      <c r="CX77" s="84" t="e">
        <f t="shared" si="97"/>
        <v>#N/A</v>
      </c>
    </row>
    <row r="78" spans="1:102" x14ac:dyDescent="0.25">
      <c r="A78" s="306" t="s">
        <v>669</v>
      </c>
      <c r="B78" s="305" t="s">
        <v>534</v>
      </c>
      <c r="C78" s="305"/>
      <c r="D78" s="305" t="s">
        <v>32</v>
      </c>
      <c r="E78" s="305" t="s">
        <v>32</v>
      </c>
      <c r="F78" s="305" t="s">
        <v>81</v>
      </c>
      <c r="G78" t="s">
        <v>77</v>
      </c>
      <c r="H78" t="s">
        <v>862</v>
      </c>
      <c r="I78" s="305" t="s">
        <v>863</v>
      </c>
      <c r="J78" t="s">
        <v>802</v>
      </c>
      <c r="K78" t="s">
        <v>277</v>
      </c>
      <c r="L78">
        <v>20</v>
      </c>
      <c r="M78" t="s">
        <v>83</v>
      </c>
      <c r="N78" t="s">
        <v>83</v>
      </c>
      <c r="O78" t="s">
        <v>803</v>
      </c>
      <c r="P78" s="212" t="s">
        <v>764</v>
      </c>
      <c r="Q78" t="s">
        <v>201</v>
      </c>
      <c r="R78" s="212" t="s">
        <v>200</v>
      </c>
      <c r="S78">
        <v>3</v>
      </c>
      <c r="T78">
        <v>4</v>
      </c>
      <c r="U78">
        <v>4</v>
      </c>
      <c r="V78">
        <v>3</v>
      </c>
      <c r="W78" s="212">
        <v>2</v>
      </c>
      <c r="X78">
        <v>4</v>
      </c>
      <c r="Y78">
        <v>5</v>
      </c>
      <c r="Z78">
        <v>6</v>
      </c>
      <c r="AA78">
        <v>6</v>
      </c>
      <c r="AB78" s="212">
        <v>4</v>
      </c>
      <c r="AC78">
        <v>7</v>
      </c>
      <c r="AD78">
        <v>10</v>
      </c>
      <c r="AE78">
        <v>1</v>
      </c>
      <c r="AF78" s="305">
        <v>1</v>
      </c>
      <c r="AG78" t="s">
        <v>32</v>
      </c>
      <c r="AH78" t="s">
        <v>32</v>
      </c>
      <c r="AI78" t="s">
        <v>32</v>
      </c>
      <c r="AJ78" t="s">
        <v>32</v>
      </c>
      <c r="AK78" t="s">
        <v>32</v>
      </c>
      <c r="AL78">
        <v>6</v>
      </c>
      <c r="AM78">
        <v>2</v>
      </c>
      <c r="AN78" s="212">
        <v>4</v>
      </c>
      <c r="AO78">
        <v>7</v>
      </c>
      <c r="AP78">
        <v>8</v>
      </c>
      <c r="AQ78" s="212">
        <v>10</v>
      </c>
      <c r="AR78" s="78" t="s">
        <v>32</v>
      </c>
      <c r="AS78" s="212">
        <v>0</v>
      </c>
      <c r="AT78" s="372" t="s">
        <v>199</v>
      </c>
      <c r="AU78" s="22">
        <f t="shared" si="66"/>
        <v>1.8333333333333335</v>
      </c>
      <c r="AV78" s="23" t="str">
        <f t="shared" si="67"/>
        <v>Minors</v>
      </c>
      <c r="AW78" s="22">
        <f t="shared" si="68"/>
        <v>4.333333333333333</v>
      </c>
      <c r="AX78" s="22" t="str">
        <f t="shared" si="69"/>
        <v>Bench</v>
      </c>
      <c r="AY78" s="23">
        <f t="shared" si="70"/>
        <v>4.333333333333333</v>
      </c>
      <c r="AZ78" s="23" t="str">
        <f t="shared" si="71"/>
        <v>Bench</v>
      </c>
      <c r="BA78" s="64">
        <f t="shared" si="72"/>
        <v>0</v>
      </c>
      <c r="BB78" s="65">
        <f t="shared" si="73"/>
        <v>0</v>
      </c>
      <c r="BC78" s="65">
        <f t="shared" si="74"/>
        <v>0</v>
      </c>
      <c r="BD78" s="65">
        <f t="shared" si="75"/>
        <v>0</v>
      </c>
      <c r="BE78" s="65">
        <f t="shared" si="76"/>
        <v>0</v>
      </c>
      <c r="BF78" s="65">
        <f t="shared" si="77"/>
        <v>0</v>
      </c>
      <c r="BG78" s="65">
        <f t="shared" si="78"/>
        <v>0</v>
      </c>
      <c r="BH78" s="65">
        <f t="shared" si="79"/>
        <v>0</v>
      </c>
      <c r="BI78" s="21">
        <f t="shared" si="80"/>
        <v>0</v>
      </c>
      <c r="BJ78" s="64">
        <f t="shared" si="81"/>
        <v>0</v>
      </c>
      <c r="BK78" s="65">
        <f t="shared" si="82"/>
        <v>0</v>
      </c>
      <c r="BL78" s="65">
        <f t="shared" si="83"/>
        <v>0</v>
      </c>
      <c r="BM78" s="65">
        <f t="shared" si="84"/>
        <v>0</v>
      </c>
      <c r="BN78" s="65">
        <f t="shared" si="85"/>
        <v>0</v>
      </c>
      <c r="BO78" s="65">
        <f t="shared" si="86"/>
        <v>0</v>
      </c>
      <c r="BP78" s="65">
        <f t="shared" si="87"/>
        <v>0</v>
      </c>
      <c r="BQ78" s="65">
        <f t="shared" si="88"/>
        <v>0</v>
      </c>
      <c r="BR78" s="21">
        <f t="shared" si="89"/>
        <v>0</v>
      </c>
      <c r="BS78" s="21">
        <f t="shared" si="90"/>
        <v>4</v>
      </c>
      <c r="BT78" s="24">
        <f t="shared" si="91"/>
        <v>1</v>
      </c>
      <c r="BU78" s="20" t="str">
        <f t="shared" si="92"/>
        <v/>
      </c>
      <c r="BV78" s="306" t="e">
        <f>IF(S78="-","-",VLOOKUP($A78,AMABat!$A$10:$AS$1137,BV$9,FALSE)-S78)</f>
        <v>#N/A</v>
      </c>
      <c r="BW78" s="306" t="e">
        <f>IF(T78="-","-",VLOOKUP($A78,AMABat!$A$10:$AS$1137,BW$9,FALSE)-T78)</f>
        <v>#N/A</v>
      </c>
      <c r="BX78" s="306" t="e">
        <f>IF(U78="-","-",VLOOKUP($A78,AMABat!$A$10:$AS$1137,BX$9,FALSE)-U78)</f>
        <v>#N/A</v>
      </c>
      <c r="BY78" s="306" t="e">
        <f>IF(V78="-","-",VLOOKUP($A78,AMABat!$A$10:$AS$1137,BY$9,FALSE)-V78)</f>
        <v>#N/A</v>
      </c>
      <c r="BZ78" s="306" t="e">
        <f>IF(W78="-","-",VLOOKUP($A78,AMABat!$A$10:$AS$1137,BZ$9,FALSE)-W78)</f>
        <v>#N/A</v>
      </c>
      <c r="CA78" s="306" t="e">
        <f>IF(X78="-","-",VLOOKUP($A78,AMABat!$A$10:$AS$1137,CA$9,FALSE)-X78)</f>
        <v>#N/A</v>
      </c>
      <c r="CB78" s="306" t="e">
        <f>IF(Y78="-","-",VLOOKUP($A78,AMABat!$A$10:$AS$1137,CB$9,FALSE)-Y78)</f>
        <v>#N/A</v>
      </c>
      <c r="CC78" s="306" t="e">
        <f>IF(Z78="-","-",VLOOKUP($A78,AMABat!$A$10:$AS$1137,CC$9,FALSE)-Z78)</f>
        <v>#N/A</v>
      </c>
      <c r="CD78" s="306" t="e">
        <f>IF(AA78="-","-",VLOOKUP($A78,AMABat!$A$10:$AS$1137,CD$9,FALSE)-AA78)</f>
        <v>#N/A</v>
      </c>
      <c r="CE78" s="306" t="e">
        <f>IF(AB78="-","-",VLOOKUP($A78,AMABat!$A$10:$AS$1137,CE$9,FALSE)-AB78)</f>
        <v>#N/A</v>
      </c>
      <c r="CF78" s="306" t="e">
        <f>IF(AC78="-","-",VLOOKUP($A78,AMABat!$A$10:$AS$1137,CF$9,FALSE)-AC78)</f>
        <v>#N/A</v>
      </c>
      <c r="CG78" s="306" t="e">
        <f>IF(AD78="-","-",VLOOKUP($A78,AMABat!$A$10:$AS$1137,CG$9,FALSE)-AD78)</f>
        <v>#N/A</v>
      </c>
      <c r="CH78" s="306" t="e">
        <f>IF(AE78="-","-",VLOOKUP($A78,AMABat!$A$10:$AS$1137,CH$9,FALSE)-AE78)</f>
        <v>#N/A</v>
      </c>
      <c r="CI78" s="306" t="str">
        <f>IF(AG78="-","-",VLOOKUP($A78,AMABat!$A$10:$AS$1137,CI$9,FALSE)-AG78)</f>
        <v>-</v>
      </c>
      <c r="CJ78" s="306" t="str">
        <f>IF(AH78="-","-",VLOOKUP($A78,AMABat!$A$10:$AS$1137,CJ$9,FALSE)-AH78)</f>
        <v>-</v>
      </c>
      <c r="CK78" s="306" t="str">
        <f>IF(AI78="-","-",VLOOKUP($A78,AMABat!$A$10:$AS$1137,CK$9,FALSE)-AI78)</f>
        <v>-</v>
      </c>
      <c r="CL78" s="306" t="str">
        <f>IF(AJ78="-","-",VLOOKUP($A78,AMABat!$A$10:$AS$1137,CL$9,FALSE)-AJ78)</f>
        <v>-</v>
      </c>
      <c r="CM78" s="306" t="str">
        <f>IF(AK78="-","-",VLOOKUP($A78,AMABat!$A$10:$AS$1137,CM$9,FALSE)-AK78)</f>
        <v>-</v>
      </c>
      <c r="CN78" s="306" t="e">
        <f>IF(AL78="-","-",VLOOKUP($A78,AMABat!$A$10:$AS$1137,CN$9,FALSE)-AL78)</f>
        <v>#N/A</v>
      </c>
      <c r="CO78" s="306" t="e">
        <f>IF(AM78="-","-",VLOOKUP($A78,AMABat!$A$10:$AS$1137,CO$9,FALSE)-AM78)</f>
        <v>#N/A</v>
      </c>
      <c r="CP78" s="306" t="e">
        <f>IF(AN78="-","-",VLOOKUP($A78,AMABat!$A$10:$AS$1137,CP$9,FALSE)-AN78)</f>
        <v>#N/A</v>
      </c>
      <c r="CQ78" s="306" t="e">
        <f>IF(AO78="-","-",VLOOKUP($A78,AMABat!$A$10:$AS$1137,CQ$9,FALSE)-AO78)</f>
        <v>#N/A</v>
      </c>
      <c r="CR78" s="306" t="e">
        <f>IF(AP78="-","-",VLOOKUP($A78,AMABat!$A$10:$AS$1137,CR$9,FALSE)-AP78)</f>
        <v>#N/A</v>
      </c>
      <c r="CS78" s="306" t="e">
        <f>IF(AQ78="-","-",VLOOKUP($A78,AMABat!$A$10:$AS$1137,CS$9,FALSE)-AQ78)</f>
        <v>#N/A</v>
      </c>
      <c r="CT78" s="84" t="e">
        <f t="shared" si="93"/>
        <v>#N/A</v>
      </c>
      <c r="CU78" s="84" t="e">
        <f t="shared" si="94"/>
        <v>#N/A</v>
      </c>
      <c r="CV78" s="84" t="e">
        <f t="shared" si="95"/>
        <v>#N/A</v>
      </c>
      <c r="CW78" s="84" t="e">
        <f t="shared" si="96"/>
        <v>#N/A</v>
      </c>
      <c r="CX78" s="84" t="e">
        <f t="shared" si="97"/>
        <v>#N/A</v>
      </c>
    </row>
    <row r="79" spans="1:102" x14ac:dyDescent="0.25">
      <c r="A79" s="306" t="s">
        <v>670</v>
      </c>
      <c r="B79" s="305" t="s">
        <v>534</v>
      </c>
      <c r="C79" s="305"/>
      <c r="D79" s="305" t="s">
        <v>32</v>
      </c>
      <c r="E79" s="305" t="s">
        <v>32</v>
      </c>
      <c r="F79" s="305" t="s">
        <v>72</v>
      </c>
      <c r="G79" t="s">
        <v>73</v>
      </c>
      <c r="H79" t="s">
        <v>498</v>
      </c>
      <c r="I79" s="305" t="s">
        <v>843</v>
      </c>
      <c r="J79" t="s">
        <v>814</v>
      </c>
      <c r="K79" t="s">
        <v>187</v>
      </c>
      <c r="L79">
        <v>24</v>
      </c>
      <c r="M79" t="s">
        <v>83</v>
      </c>
      <c r="N79" t="s">
        <v>83</v>
      </c>
      <c r="O79" t="s">
        <v>803</v>
      </c>
      <c r="P79" s="212" t="s">
        <v>808</v>
      </c>
      <c r="Q79" t="s">
        <v>200</v>
      </c>
      <c r="R79" s="212" t="s">
        <v>200</v>
      </c>
      <c r="S79">
        <v>3</v>
      </c>
      <c r="T79">
        <v>3</v>
      </c>
      <c r="U79">
        <v>2</v>
      </c>
      <c r="V79">
        <v>5</v>
      </c>
      <c r="W79" s="212">
        <v>2</v>
      </c>
      <c r="X79">
        <v>4</v>
      </c>
      <c r="Y79">
        <v>4</v>
      </c>
      <c r="Z79">
        <v>2</v>
      </c>
      <c r="AA79">
        <v>6</v>
      </c>
      <c r="AB79" s="212">
        <v>4</v>
      </c>
      <c r="AC79">
        <v>6</v>
      </c>
      <c r="AD79">
        <v>4</v>
      </c>
      <c r="AE79">
        <v>1</v>
      </c>
      <c r="AF79" s="305">
        <v>1</v>
      </c>
      <c r="AG79" t="s">
        <v>32</v>
      </c>
      <c r="AH79">
        <v>8</v>
      </c>
      <c r="AI79" t="s">
        <v>32</v>
      </c>
      <c r="AJ79" t="s">
        <v>32</v>
      </c>
      <c r="AK79" t="s">
        <v>32</v>
      </c>
      <c r="AL79" t="s">
        <v>32</v>
      </c>
      <c r="AM79" t="s">
        <v>32</v>
      </c>
      <c r="AN79" s="212" t="s">
        <v>32</v>
      </c>
      <c r="AO79">
        <v>2</v>
      </c>
      <c r="AP79">
        <v>1</v>
      </c>
      <c r="AQ79" s="212">
        <v>1</v>
      </c>
      <c r="AR79" s="78" t="s">
        <v>32</v>
      </c>
      <c r="AS79" s="212">
        <v>0</v>
      </c>
      <c r="AT79" s="372" t="s">
        <v>199</v>
      </c>
      <c r="AU79" s="6">
        <f t="shared" si="66"/>
        <v>1.8333333333333335</v>
      </c>
      <c r="AV79" s="9" t="str">
        <f t="shared" si="67"/>
        <v>Minors</v>
      </c>
      <c r="AW79" s="6">
        <f t="shared" si="68"/>
        <v>3</v>
      </c>
      <c r="AX79" s="6" t="str">
        <f t="shared" si="69"/>
        <v>Minors</v>
      </c>
      <c r="AY79" s="9">
        <f t="shared" si="70"/>
        <v>2.8333333333333335</v>
      </c>
      <c r="AZ79" s="9" t="str">
        <f t="shared" si="71"/>
        <v>Minors</v>
      </c>
      <c r="BA79" s="297">
        <f t="shared" si="72"/>
        <v>0</v>
      </c>
      <c r="BB79" s="292">
        <f t="shared" si="73"/>
        <v>0</v>
      </c>
      <c r="BC79" s="292">
        <f t="shared" si="74"/>
        <v>0</v>
      </c>
      <c r="BD79" s="292">
        <f t="shared" si="75"/>
        <v>0</v>
      </c>
      <c r="BE79" s="292">
        <f t="shared" si="76"/>
        <v>0</v>
      </c>
      <c r="BF79" s="292">
        <f t="shared" si="77"/>
        <v>0</v>
      </c>
      <c r="BG79" s="292">
        <f t="shared" si="78"/>
        <v>0</v>
      </c>
      <c r="BH79" s="292">
        <f t="shared" si="79"/>
        <v>0</v>
      </c>
      <c r="BI79" s="293">
        <f t="shared" si="80"/>
        <v>0</v>
      </c>
      <c r="BJ79" s="297">
        <f t="shared" si="81"/>
        <v>0</v>
      </c>
      <c r="BK79" s="292">
        <f t="shared" si="82"/>
        <v>0</v>
      </c>
      <c r="BL79" s="292">
        <f t="shared" si="83"/>
        <v>0</v>
      </c>
      <c r="BM79" s="292">
        <f t="shared" si="84"/>
        <v>0</v>
      </c>
      <c r="BN79" s="292">
        <f t="shared" si="85"/>
        <v>0</v>
      </c>
      <c r="BO79" s="292">
        <f t="shared" si="86"/>
        <v>0</v>
      </c>
      <c r="BP79" s="292">
        <f t="shared" si="87"/>
        <v>0</v>
      </c>
      <c r="BQ79" s="292">
        <f t="shared" si="88"/>
        <v>0</v>
      </c>
      <c r="BR79" s="293">
        <f t="shared" si="89"/>
        <v>0</v>
      </c>
      <c r="BS79" s="293">
        <f t="shared" si="90"/>
        <v>0</v>
      </c>
      <c r="BT79" s="7">
        <f t="shared" si="91"/>
        <v>2</v>
      </c>
      <c r="BU79" t="str">
        <f t="shared" si="92"/>
        <v/>
      </c>
      <c r="BV79" s="306" t="e">
        <f>IF(S79="-","-",VLOOKUP($A79,AMABat!$A$10:$AS$1137,BV$9,FALSE)-S79)</f>
        <v>#N/A</v>
      </c>
      <c r="BW79" s="306" t="e">
        <f>IF(T79="-","-",VLOOKUP($A79,AMABat!$A$10:$AS$1137,BW$9,FALSE)-T79)</f>
        <v>#N/A</v>
      </c>
      <c r="BX79" s="306" t="e">
        <f>IF(U79="-","-",VLOOKUP($A79,AMABat!$A$10:$AS$1137,BX$9,FALSE)-U79)</f>
        <v>#N/A</v>
      </c>
      <c r="BY79" s="306" t="e">
        <f>IF(V79="-","-",VLOOKUP($A79,AMABat!$A$10:$AS$1137,BY$9,FALSE)-V79)</f>
        <v>#N/A</v>
      </c>
      <c r="BZ79" s="306" t="e">
        <f>IF(W79="-","-",VLOOKUP($A79,AMABat!$A$10:$AS$1137,BZ$9,FALSE)-W79)</f>
        <v>#N/A</v>
      </c>
      <c r="CA79" s="306" t="e">
        <f>IF(X79="-","-",VLOOKUP($A79,AMABat!$A$10:$AS$1137,CA$9,FALSE)-X79)</f>
        <v>#N/A</v>
      </c>
      <c r="CB79" s="306" t="e">
        <f>IF(Y79="-","-",VLOOKUP($A79,AMABat!$A$10:$AS$1137,CB$9,FALSE)-Y79)</f>
        <v>#N/A</v>
      </c>
      <c r="CC79" s="306" t="e">
        <f>IF(Z79="-","-",VLOOKUP($A79,AMABat!$A$10:$AS$1137,CC$9,FALSE)-Z79)</f>
        <v>#N/A</v>
      </c>
      <c r="CD79" s="306" t="e">
        <f>IF(AA79="-","-",VLOOKUP($A79,AMABat!$A$10:$AS$1137,CD$9,FALSE)-AA79)</f>
        <v>#N/A</v>
      </c>
      <c r="CE79" s="306" t="e">
        <f>IF(AB79="-","-",VLOOKUP($A79,AMABat!$A$10:$AS$1137,CE$9,FALSE)-AB79)</f>
        <v>#N/A</v>
      </c>
      <c r="CF79" s="306" t="e">
        <f>IF(AC79="-","-",VLOOKUP($A79,AMABat!$A$10:$AS$1137,CF$9,FALSE)-AC79)</f>
        <v>#N/A</v>
      </c>
      <c r="CG79" s="306" t="e">
        <f>IF(AD79="-","-",VLOOKUP($A79,AMABat!$A$10:$AS$1137,CG$9,FALSE)-AD79)</f>
        <v>#N/A</v>
      </c>
      <c r="CH79" s="306" t="e">
        <f>IF(AE79="-","-",VLOOKUP($A79,AMABat!$A$10:$AS$1137,CH$9,FALSE)-AE79)</f>
        <v>#N/A</v>
      </c>
      <c r="CI79" s="306" t="str">
        <f>IF(AG79="-","-",VLOOKUP($A79,AMABat!$A$10:$AS$1137,CI$9,FALSE)-AG79)</f>
        <v>-</v>
      </c>
      <c r="CJ79" s="306" t="e">
        <f>IF(AH79="-","-",VLOOKUP($A79,AMABat!$A$10:$AS$1137,CJ$9,FALSE)-AH79)</f>
        <v>#N/A</v>
      </c>
      <c r="CK79" s="306" t="str">
        <f>IF(AI79="-","-",VLOOKUP($A79,AMABat!$A$10:$AS$1137,CK$9,FALSE)-AI79)</f>
        <v>-</v>
      </c>
      <c r="CL79" s="306" t="str">
        <f>IF(AJ79="-","-",VLOOKUP($A79,AMABat!$A$10:$AS$1137,CL$9,FALSE)-AJ79)</f>
        <v>-</v>
      </c>
      <c r="CM79" s="306" t="str">
        <f>IF(AK79="-","-",VLOOKUP($A79,AMABat!$A$10:$AS$1137,CM$9,FALSE)-AK79)</f>
        <v>-</v>
      </c>
      <c r="CN79" s="306" t="str">
        <f>IF(AL79="-","-",VLOOKUP($A79,AMABat!$A$10:$AS$1137,CN$9,FALSE)-AL79)</f>
        <v>-</v>
      </c>
      <c r="CO79" s="306" t="str">
        <f>IF(AM79="-","-",VLOOKUP($A79,AMABat!$A$10:$AS$1137,CO$9,FALSE)-AM79)</f>
        <v>-</v>
      </c>
      <c r="CP79" s="306" t="str">
        <f>IF(AN79="-","-",VLOOKUP($A79,AMABat!$A$10:$AS$1137,CP$9,FALSE)-AN79)</f>
        <v>-</v>
      </c>
      <c r="CQ79" s="306" t="e">
        <f>IF(AO79="-","-",VLOOKUP($A79,AMABat!$A$10:$AS$1137,CQ$9,FALSE)-AO79)</f>
        <v>#N/A</v>
      </c>
      <c r="CR79" s="306" t="e">
        <f>IF(AP79="-","-",VLOOKUP($A79,AMABat!$A$10:$AS$1137,CR$9,FALSE)-AP79)</f>
        <v>#N/A</v>
      </c>
      <c r="CS79" s="306" t="e">
        <f>IF(AQ79="-","-",VLOOKUP($A79,AMABat!$A$10:$AS$1137,CS$9,FALSE)-AQ79)</f>
        <v>#N/A</v>
      </c>
      <c r="CT79" s="84" t="e">
        <f t="shared" si="93"/>
        <v>#N/A</v>
      </c>
      <c r="CU79" s="84" t="e">
        <f t="shared" si="94"/>
        <v>#N/A</v>
      </c>
      <c r="CV79" s="84" t="e">
        <f t="shared" si="95"/>
        <v>#N/A</v>
      </c>
      <c r="CW79" s="84" t="e">
        <f t="shared" si="96"/>
        <v>#N/A</v>
      </c>
      <c r="CX79" s="84" t="e">
        <f t="shared" si="97"/>
        <v>#N/A</v>
      </c>
    </row>
    <row r="80" spans="1:102" x14ac:dyDescent="0.25">
      <c r="A80" s="306" t="s">
        <v>671</v>
      </c>
      <c r="B80" s="305" t="s">
        <v>534</v>
      </c>
      <c r="C80" s="305"/>
      <c r="D80" s="305" t="s">
        <v>32</v>
      </c>
      <c r="E80" s="305" t="s">
        <v>32</v>
      </c>
      <c r="F80" s="305" t="s">
        <v>81</v>
      </c>
      <c r="G80" t="s">
        <v>71</v>
      </c>
      <c r="H80" t="s">
        <v>833</v>
      </c>
      <c r="I80" s="305" t="s">
        <v>834</v>
      </c>
      <c r="J80" t="s">
        <v>814</v>
      </c>
      <c r="K80" t="s">
        <v>187</v>
      </c>
      <c r="L80">
        <v>25</v>
      </c>
      <c r="M80" t="s">
        <v>83</v>
      </c>
      <c r="N80" t="s">
        <v>83</v>
      </c>
      <c r="O80" t="s">
        <v>808</v>
      </c>
      <c r="P80" s="212" t="s">
        <v>773</v>
      </c>
      <c r="Q80" t="s">
        <v>200</v>
      </c>
      <c r="R80" s="212" t="s">
        <v>200</v>
      </c>
      <c r="S80">
        <v>3</v>
      </c>
      <c r="T80">
        <v>6</v>
      </c>
      <c r="U80">
        <v>4</v>
      </c>
      <c r="V80">
        <v>3</v>
      </c>
      <c r="W80" s="212">
        <v>6</v>
      </c>
      <c r="X80">
        <v>3</v>
      </c>
      <c r="Y80">
        <v>6</v>
      </c>
      <c r="Z80">
        <v>4</v>
      </c>
      <c r="AA80">
        <v>3</v>
      </c>
      <c r="AB80" s="212">
        <v>6</v>
      </c>
      <c r="AC80">
        <v>6</v>
      </c>
      <c r="AD80">
        <v>5</v>
      </c>
      <c r="AE80">
        <v>8</v>
      </c>
      <c r="AF80" s="305">
        <v>3</v>
      </c>
      <c r="AG80">
        <v>6</v>
      </c>
      <c r="AH80">
        <v>1</v>
      </c>
      <c r="AI80" t="s">
        <v>32</v>
      </c>
      <c r="AJ80" t="s">
        <v>32</v>
      </c>
      <c r="AK80" t="s">
        <v>32</v>
      </c>
      <c r="AL80" t="s">
        <v>32</v>
      </c>
      <c r="AM80" t="s">
        <v>32</v>
      </c>
      <c r="AN80" s="212" t="s">
        <v>32</v>
      </c>
      <c r="AO80">
        <v>1</v>
      </c>
      <c r="AP80">
        <v>1</v>
      </c>
      <c r="AQ80" s="212">
        <v>1</v>
      </c>
      <c r="AR80" s="78" t="s">
        <v>32</v>
      </c>
      <c r="AS80" s="212" t="s">
        <v>33</v>
      </c>
      <c r="AT80" s="372" t="s">
        <v>529</v>
      </c>
      <c r="AU80" s="22">
        <f t="shared" si="66"/>
        <v>1.8333333333333335</v>
      </c>
      <c r="AV80" s="23" t="str">
        <f t="shared" si="67"/>
        <v>Minors</v>
      </c>
      <c r="AW80" s="22">
        <f t="shared" si="68"/>
        <v>1.8333333333333335</v>
      </c>
      <c r="AX80" s="22" t="str">
        <f t="shared" si="69"/>
        <v>Minors</v>
      </c>
      <c r="AY80" s="23">
        <f t="shared" si="70"/>
        <v>1.8333333333333335</v>
      </c>
      <c r="AZ80" s="23" t="str">
        <f t="shared" si="71"/>
        <v>Minors</v>
      </c>
      <c r="BA80" s="64">
        <f t="shared" si="72"/>
        <v>0</v>
      </c>
      <c r="BB80" s="65">
        <f t="shared" si="73"/>
        <v>0</v>
      </c>
      <c r="BC80" s="65">
        <f t="shared" si="74"/>
        <v>0</v>
      </c>
      <c r="BD80" s="65">
        <f t="shared" si="75"/>
        <v>0</v>
      </c>
      <c r="BE80" s="65">
        <f t="shared" si="76"/>
        <v>0</v>
      </c>
      <c r="BF80" s="65">
        <f t="shared" si="77"/>
        <v>0</v>
      </c>
      <c r="BG80" s="65">
        <f t="shared" si="78"/>
        <v>0</v>
      </c>
      <c r="BH80" s="65">
        <f t="shared" si="79"/>
        <v>0</v>
      </c>
      <c r="BI80" s="21">
        <f t="shared" si="80"/>
        <v>0</v>
      </c>
      <c r="BJ80" s="64">
        <f t="shared" si="81"/>
        <v>0</v>
      </c>
      <c r="BK80" s="65">
        <f t="shared" si="82"/>
        <v>0</v>
      </c>
      <c r="BL80" s="65">
        <f t="shared" si="83"/>
        <v>0</v>
      </c>
      <c r="BM80" s="65">
        <f t="shared" si="84"/>
        <v>0</v>
      </c>
      <c r="BN80" s="65">
        <f t="shared" si="85"/>
        <v>0</v>
      </c>
      <c r="BO80" s="65">
        <f t="shared" si="86"/>
        <v>0</v>
      </c>
      <c r="BP80" s="65">
        <f t="shared" si="87"/>
        <v>0</v>
      </c>
      <c r="BQ80" s="65">
        <f t="shared" si="88"/>
        <v>0</v>
      </c>
      <c r="BR80" s="21">
        <f t="shared" si="89"/>
        <v>0</v>
      </c>
      <c r="BS80" s="21">
        <f t="shared" si="90"/>
        <v>0</v>
      </c>
      <c r="BT80" s="24">
        <f t="shared" si="91"/>
        <v>1</v>
      </c>
      <c r="BU80" s="20" t="str">
        <f t="shared" si="92"/>
        <v/>
      </c>
      <c r="BV80" s="306" t="e">
        <f>IF(S80="-","-",VLOOKUP($A80,AMABat!$A$10:$AS$1137,BV$9,FALSE)-S80)</f>
        <v>#N/A</v>
      </c>
      <c r="BW80" s="306" t="e">
        <f>IF(T80="-","-",VLOOKUP($A80,AMABat!$A$10:$AS$1137,BW$9,FALSE)-T80)</f>
        <v>#N/A</v>
      </c>
      <c r="BX80" s="306" t="e">
        <f>IF(U80="-","-",VLOOKUP($A80,AMABat!$A$10:$AS$1137,BX$9,FALSE)-U80)</f>
        <v>#N/A</v>
      </c>
      <c r="BY80" s="306" t="e">
        <f>IF(V80="-","-",VLOOKUP($A80,AMABat!$A$10:$AS$1137,BY$9,FALSE)-V80)</f>
        <v>#N/A</v>
      </c>
      <c r="BZ80" s="306" t="e">
        <f>IF(W80="-","-",VLOOKUP($A80,AMABat!$A$10:$AS$1137,BZ$9,FALSE)-W80)</f>
        <v>#N/A</v>
      </c>
      <c r="CA80" s="306" t="e">
        <f>IF(X80="-","-",VLOOKUP($A80,AMABat!$A$10:$AS$1137,CA$9,FALSE)-X80)</f>
        <v>#N/A</v>
      </c>
      <c r="CB80" s="306" t="e">
        <f>IF(Y80="-","-",VLOOKUP($A80,AMABat!$A$10:$AS$1137,CB$9,FALSE)-Y80)</f>
        <v>#N/A</v>
      </c>
      <c r="CC80" s="306" t="e">
        <f>IF(Z80="-","-",VLOOKUP($A80,AMABat!$A$10:$AS$1137,CC$9,FALSE)-Z80)</f>
        <v>#N/A</v>
      </c>
      <c r="CD80" s="306" t="e">
        <f>IF(AA80="-","-",VLOOKUP($A80,AMABat!$A$10:$AS$1137,CD$9,FALSE)-AA80)</f>
        <v>#N/A</v>
      </c>
      <c r="CE80" s="306" t="e">
        <f>IF(AB80="-","-",VLOOKUP($A80,AMABat!$A$10:$AS$1137,CE$9,FALSE)-AB80)</f>
        <v>#N/A</v>
      </c>
      <c r="CF80" s="306" t="e">
        <f>IF(AC80="-","-",VLOOKUP($A80,AMABat!$A$10:$AS$1137,CF$9,FALSE)-AC80)</f>
        <v>#N/A</v>
      </c>
      <c r="CG80" s="306" t="e">
        <f>IF(AD80="-","-",VLOOKUP($A80,AMABat!$A$10:$AS$1137,CG$9,FALSE)-AD80)</f>
        <v>#N/A</v>
      </c>
      <c r="CH80" s="306" t="e">
        <f>IF(AE80="-","-",VLOOKUP($A80,AMABat!$A$10:$AS$1137,CH$9,FALSE)-AE80)</f>
        <v>#N/A</v>
      </c>
      <c r="CI80" s="306" t="e">
        <f>IF(AG80="-","-",VLOOKUP($A80,AMABat!$A$10:$AS$1137,CI$9,FALSE)-AG80)</f>
        <v>#N/A</v>
      </c>
      <c r="CJ80" s="306" t="e">
        <f>IF(AH80="-","-",VLOOKUP($A80,AMABat!$A$10:$AS$1137,CJ$9,FALSE)-AH80)</f>
        <v>#N/A</v>
      </c>
      <c r="CK80" s="306" t="str">
        <f>IF(AI80="-","-",VLOOKUP($A80,AMABat!$A$10:$AS$1137,CK$9,FALSE)-AI80)</f>
        <v>-</v>
      </c>
      <c r="CL80" s="306" t="str">
        <f>IF(AJ80="-","-",VLOOKUP($A80,AMABat!$A$10:$AS$1137,CL$9,FALSE)-AJ80)</f>
        <v>-</v>
      </c>
      <c r="CM80" s="306" t="str">
        <f>IF(AK80="-","-",VLOOKUP($A80,AMABat!$A$10:$AS$1137,CM$9,FALSE)-AK80)</f>
        <v>-</v>
      </c>
      <c r="CN80" s="306" t="str">
        <f>IF(AL80="-","-",VLOOKUP($A80,AMABat!$A$10:$AS$1137,CN$9,FALSE)-AL80)</f>
        <v>-</v>
      </c>
      <c r="CO80" s="306" t="str">
        <f>IF(AM80="-","-",VLOOKUP($A80,AMABat!$A$10:$AS$1137,CO$9,FALSE)-AM80)</f>
        <v>-</v>
      </c>
      <c r="CP80" s="306" t="str">
        <f>IF(AN80="-","-",VLOOKUP($A80,AMABat!$A$10:$AS$1137,CP$9,FALSE)-AN80)</f>
        <v>-</v>
      </c>
      <c r="CQ80" s="306" t="e">
        <f>IF(AO80="-","-",VLOOKUP($A80,AMABat!$A$10:$AS$1137,CQ$9,FALSE)-AO80)</f>
        <v>#N/A</v>
      </c>
      <c r="CR80" s="306" t="e">
        <f>IF(AP80="-","-",VLOOKUP($A80,AMABat!$A$10:$AS$1137,CR$9,FALSE)-AP80)</f>
        <v>#N/A</v>
      </c>
      <c r="CS80" s="306" t="e">
        <f>IF(AQ80="-","-",VLOOKUP($A80,AMABat!$A$10:$AS$1137,CS$9,FALSE)-AQ80)</f>
        <v>#N/A</v>
      </c>
      <c r="CT80" s="84" t="e">
        <f t="shared" si="93"/>
        <v>#N/A</v>
      </c>
      <c r="CU80" s="84" t="e">
        <f t="shared" si="94"/>
        <v>#N/A</v>
      </c>
      <c r="CV80" s="84" t="e">
        <f t="shared" si="95"/>
        <v>#N/A</v>
      </c>
      <c r="CW80" s="84" t="e">
        <f t="shared" si="96"/>
        <v>#N/A</v>
      </c>
      <c r="CX80" s="84" t="e">
        <f t="shared" si="97"/>
        <v>#N/A</v>
      </c>
    </row>
    <row r="81" spans="1:102" x14ac:dyDescent="0.25">
      <c r="A81" s="306" t="s">
        <v>672</v>
      </c>
      <c r="B81" s="305" t="s">
        <v>534</v>
      </c>
      <c r="C81" s="305"/>
      <c r="D81" s="305" t="s">
        <v>32</v>
      </c>
      <c r="E81" s="305" t="s">
        <v>32</v>
      </c>
      <c r="F81" s="305" t="s">
        <v>81</v>
      </c>
      <c r="G81" t="s">
        <v>74</v>
      </c>
      <c r="H81" t="s">
        <v>1138</v>
      </c>
      <c r="I81" s="305" t="s">
        <v>426</v>
      </c>
      <c r="J81" t="s">
        <v>769</v>
      </c>
      <c r="K81" t="s">
        <v>186</v>
      </c>
      <c r="L81">
        <v>24</v>
      </c>
      <c r="M81" t="s">
        <v>83</v>
      </c>
      <c r="N81" t="s">
        <v>83</v>
      </c>
      <c r="O81" t="s">
        <v>808</v>
      </c>
      <c r="P81" s="212" t="s">
        <v>773</v>
      </c>
      <c r="Q81" t="s">
        <v>199</v>
      </c>
      <c r="R81" s="212" t="s">
        <v>199</v>
      </c>
      <c r="S81">
        <v>4</v>
      </c>
      <c r="T81">
        <v>4</v>
      </c>
      <c r="U81">
        <v>2</v>
      </c>
      <c r="V81">
        <v>2</v>
      </c>
      <c r="W81" s="212">
        <v>6</v>
      </c>
      <c r="X81">
        <v>4</v>
      </c>
      <c r="Y81">
        <v>4</v>
      </c>
      <c r="Z81">
        <v>2</v>
      </c>
      <c r="AA81">
        <v>3</v>
      </c>
      <c r="AB81" s="212">
        <v>6</v>
      </c>
      <c r="AC81">
        <v>8</v>
      </c>
      <c r="AD81">
        <v>8</v>
      </c>
      <c r="AE81">
        <v>1</v>
      </c>
      <c r="AF81" s="305">
        <v>1</v>
      </c>
      <c r="AG81" t="s">
        <v>32</v>
      </c>
      <c r="AH81">
        <v>4</v>
      </c>
      <c r="AI81">
        <v>8</v>
      </c>
      <c r="AJ81" t="s">
        <v>32</v>
      </c>
      <c r="AK81">
        <v>7</v>
      </c>
      <c r="AL81">
        <v>6</v>
      </c>
      <c r="AM81" t="s">
        <v>32</v>
      </c>
      <c r="AN81" s="212" t="s">
        <v>32</v>
      </c>
      <c r="AO81">
        <v>10</v>
      </c>
      <c r="AP81">
        <v>7</v>
      </c>
      <c r="AQ81" s="212">
        <v>4</v>
      </c>
      <c r="AR81" t="s">
        <v>32</v>
      </c>
      <c r="AS81" s="212" t="s">
        <v>33</v>
      </c>
      <c r="AT81" s="372" t="s">
        <v>529</v>
      </c>
      <c r="AU81" s="6">
        <f t="shared" si="66"/>
        <v>1.6666666666666665</v>
      </c>
      <c r="AV81" s="9" t="str">
        <f t="shared" si="67"/>
        <v>Minors</v>
      </c>
      <c r="AW81" s="6">
        <f t="shared" si="68"/>
        <v>2</v>
      </c>
      <c r="AX81" s="6" t="str">
        <f t="shared" si="69"/>
        <v>Minors</v>
      </c>
      <c r="AY81" s="9">
        <f t="shared" si="70"/>
        <v>2</v>
      </c>
      <c r="AZ81" s="9" t="str">
        <f t="shared" si="71"/>
        <v>Minors</v>
      </c>
      <c r="BA81" s="297">
        <f t="shared" si="72"/>
        <v>0</v>
      </c>
      <c r="BB81" s="292">
        <f t="shared" si="73"/>
        <v>0</v>
      </c>
      <c r="BC81" s="292">
        <f t="shared" si="74"/>
        <v>0</v>
      </c>
      <c r="BD81" s="292">
        <f t="shared" si="75"/>
        <v>0</v>
      </c>
      <c r="BE81" s="292">
        <f t="shared" si="76"/>
        <v>0</v>
      </c>
      <c r="BF81" s="292">
        <f t="shared" si="77"/>
        <v>0</v>
      </c>
      <c r="BG81" s="292">
        <f t="shared" si="78"/>
        <v>0</v>
      </c>
      <c r="BH81" s="292">
        <f t="shared" si="79"/>
        <v>0</v>
      </c>
      <c r="BI81" s="293">
        <f t="shared" si="80"/>
        <v>0</v>
      </c>
      <c r="BJ81" s="297">
        <f t="shared" si="81"/>
        <v>0</v>
      </c>
      <c r="BK81" s="292">
        <f t="shared" si="82"/>
        <v>0</v>
      </c>
      <c r="BL81" s="292">
        <f t="shared" si="83"/>
        <v>0</v>
      </c>
      <c r="BM81" s="292">
        <f t="shared" si="84"/>
        <v>0</v>
      </c>
      <c r="BN81" s="292">
        <f t="shared" si="85"/>
        <v>0</v>
      </c>
      <c r="BO81" s="292">
        <f t="shared" si="86"/>
        <v>0</v>
      </c>
      <c r="BP81" s="292">
        <f t="shared" si="87"/>
        <v>0</v>
      </c>
      <c r="BQ81" s="292">
        <f t="shared" si="88"/>
        <v>0</v>
      </c>
      <c r="BR81" s="293">
        <f t="shared" si="89"/>
        <v>0</v>
      </c>
      <c r="BS81" s="293">
        <f t="shared" si="90"/>
        <v>2</v>
      </c>
      <c r="BT81" s="7">
        <f t="shared" si="91"/>
        <v>2</v>
      </c>
      <c r="BU81" t="str">
        <f t="shared" si="92"/>
        <v/>
      </c>
      <c r="BV81" s="306" t="e">
        <f>IF(S81="-","-",VLOOKUP($A81,AMABat!$A$10:$AS$1137,BV$9,FALSE)-S81)</f>
        <v>#N/A</v>
      </c>
      <c r="BW81" s="306" t="e">
        <f>IF(T81="-","-",VLOOKUP($A81,AMABat!$A$10:$AS$1137,BW$9,FALSE)-T81)</f>
        <v>#N/A</v>
      </c>
      <c r="BX81" s="306" t="e">
        <f>IF(U81="-","-",VLOOKUP($A81,AMABat!$A$10:$AS$1137,BX$9,FALSE)-U81)</f>
        <v>#N/A</v>
      </c>
      <c r="BY81" s="306" t="e">
        <f>IF(V81="-","-",VLOOKUP($A81,AMABat!$A$10:$AS$1137,BY$9,FALSE)-V81)</f>
        <v>#N/A</v>
      </c>
      <c r="BZ81" s="306" t="e">
        <f>IF(W81="-","-",VLOOKUP($A81,AMABat!$A$10:$AS$1137,BZ$9,FALSE)-W81)</f>
        <v>#N/A</v>
      </c>
      <c r="CA81" s="306" t="e">
        <f>IF(X81="-","-",VLOOKUP($A81,AMABat!$A$10:$AS$1137,CA$9,FALSE)-X81)</f>
        <v>#N/A</v>
      </c>
      <c r="CB81" s="306" t="e">
        <f>IF(Y81="-","-",VLOOKUP($A81,AMABat!$A$10:$AS$1137,CB$9,FALSE)-Y81)</f>
        <v>#N/A</v>
      </c>
      <c r="CC81" s="306" t="e">
        <f>IF(Z81="-","-",VLOOKUP($A81,AMABat!$A$10:$AS$1137,CC$9,FALSE)-Z81)</f>
        <v>#N/A</v>
      </c>
      <c r="CD81" s="306" t="e">
        <f>IF(AA81="-","-",VLOOKUP($A81,AMABat!$A$10:$AS$1137,CD$9,FALSE)-AA81)</f>
        <v>#N/A</v>
      </c>
      <c r="CE81" s="306" t="e">
        <f>IF(AB81="-","-",VLOOKUP($A81,AMABat!$A$10:$AS$1137,CE$9,FALSE)-AB81)</f>
        <v>#N/A</v>
      </c>
      <c r="CF81" s="306" t="e">
        <f>IF(AC81="-","-",VLOOKUP($A81,AMABat!$A$10:$AS$1137,CF$9,FALSE)-AC81)</f>
        <v>#N/A</v>
      </c>
      <c r="CG81" s="306" t="e">
        <f>IF(AD81="-","-",VLOOKUP($A81,AMABat!$A$10:$AS$1137,CG$9,FALSE)-AD81)</f>
        <v>#N/A</v>
      </c>
      <c r="CH81" s="306" t="e">
        <f>IF(AE81="-","-",VLOOKUP($A81,AMABat!$A$10:$AS$1137,CH$9,FALSE)-AE81)</f>
        <v>#N/A</v>
      </c>
      <c r="CI81" s="306" t="str">
        <f>IF(AG81="-","-",VLOOKUP($A81,AMABat!$A$10:$AS$1137,CI$9,FALSE)-AG81)</f>
        <v>-</v>
      </c>
      <c r="CJ81" s="306" t="e">
        <f>IF(AH81="-","-",VLOOKUP($A81,AMABat!$A$10:$AS$1137,CJ$9,FALSE)-AH81)</f>
        <v>#N/A</v>
      </c>
      <c r="CK81" s="306" t="e">
        <f>IF(AI81="-","-",VLOOKUP($A81,AMABat!$A$10:$AS$1137,CK$9,FALSE)-AI81)</f>
        <v>#N/A</v>
      </c>
      <c r="CL81" s="306" t="str">
        <f>IF(AJ81="-","-",VLOOKUP($A81,AMABat!$A$10:$AS$1137,CL$9,FALSE)-AJ81)</f>
        <v>-</v>
      </c>
      <c r="CM81" s="306" t="e">
        <f>IF(AK81="-","-",VLOOKUP($A81,AMABat!$A$10:$AS$1137,CM$9,FALSE)-AK81)</f>
        <v>#N/A</v>
      </c>
      <c r="CN81" s="306" t="e">
        <f>IF(AL81="-","-",VLOOKUP($A81,AMABat!$A$10:$AS$1137,CN$9,FALSE)-AL81)</f>
        <v>#N/A</v>
      </c>
      <c r="CO81" s="306" t="str">
        <f>IF(AM81="-","-",VLOOKUP($A81,AMABat!$A$10:$AS$1137,CO$9,FALSE)-AM81)</f>
        <v>-</v>
      </c>
      <c r="CP81" s="306" t="str">
        <f>IF(AN81="-","-",VLOOKUP($A81,AMABat!$A$10:$AS$1137,CP$9,FALSE)-AN81)</f>
        <v>-</v>
      </c>
      <c r="CQ81" s="306" t="e">
        <f>IF(AO81="-","-",VLOOKUP($A81,AMABat!$A$10:$AS$1137,CQ$9,FALSE)-AO81)</f>
        <v>#N/A</v>
      </c>
      <c r="CR81" s="306" t="e">
        <f>IF(AP81="-","-",VLOOKUP($A81,AMABat!$A$10:$AS$1137,CR$9,FALSE)-AP81)</f>
        <v>#N/A</v>
      </c>
      <c r="CS81" s="306" t="e">
        <f>IF(AQ81="-","-",VLOOKUP($A81,AMABat!$A$10:$AS$1137,CS$9,FALSE)-AQ81)</f>
        <v>#N/A</v>
      </c>
      <c r="CT81" s="84" t="e">
        <f t="shared" si="93"/>
        <v>#N/A</v>
      </c>
      <c r="CU81" s="84" t="e">
        <f t="shared" si="94"/>
        <v>#N/A</v>
      </c>
      <c r="CV81" s="84" t="e">
        <f t="shared" si="95"/>
        <v>#N/A</v>
      </c>
      <c r="CW81" s="84" t="e">
        <f t="shared" si="96"/>
        <v>#N/A</v>
      </c>
      <c r="CX81" s="84" t="e">
        <f t="shared" si="97"/>
        <v>#N/A</v>
      </c>
    </row>
    <row r="82" spans="1:102" x14ac:dyDescent="0.25">
      <c r="A82" s="306" t="s">
        <v>673</v>
      </c>
      <c r="B82" s="305" t="s">
        <v>534</v>
      </c>
      <c r="C82" s="305"/>
      <c r="D82" s="305" t="s">
        <v>32</v>
      </c>
      <c r="E82" s="305" t="s">
        <v>32</v>
      </c>
      <c r="F82" s="305" t="s">
        <v>81</v>
      </c>
      <c r="G82" t="s">
        <v>75</v>
      </c>
      <c r="H82" t="s">
        <v>502</v>
      </c>
      <c r="I82" s="305" t="s">
        <v>428</v>
      </c>
      <c r="J82" t="s">
        <v>802</v>
      </c>
      <c r="K82" t="s">
        <v>277</v>
      </c>
      <c r="L82">
        <v>22</v>
      </c>
      <c r="M82" t="s">
        <v>85</v>
      </c>
      <c r="N82" t="s">
        <v>83</v>
      </c>
      <c r="O82" t="s">
        <v>808</v>
      </c>
      <c r="P82" s="212" t="s">
        <v>808</v>
      </c>
      <c r="Q82" t="s">
        <v>200</v>
      </c>
      <c r="R82" s="212" t="s">
        <v>200</v>
      </c>
      <c r="S82">
        <v>4</v>
      </c>
      <c r="T82">
        <v>4</v>
      </c>
      <c r="U82">
        <v>2</v>
      </c>
      <c r="V82">
        <v>2</v>
      </c>
      <c r="W82" s="212">
        <v>8</v>
      </c>
      <c r="X82">
        <v>4</v>
      </c>
      <c r="Y82">
        <v>4</v>
      </c>
      <c r="Z82">
        <v>2</v>
      </c>
      <c r="AA82">
        <v>3</v>
      </c>
      <c r="AB82" s="212">
        <v>8</v>
      </c>
      <c r="AC82">
        <v>9</v>
      </c>
      <c r="AD82">
        <v>7</v>
      </c>
      <c r="AE82">
        <v>1</v>
      </c>
      <c r="AF82" s="305">
        <v>1</v>
      </c>
      <c r="AG82" t="s">
        <v>32</v>
      </c>
      <c r="AH82" t="s">
        <v>32</v>
      </c>
      <c r="AI82">
        <v>1</v>
      </c>
      <c r="AJ82">
        <v>7</v>
      </c>
      <c r="AK82">
        <v>1</v>
      </c>
      <c r="AL82" t="s">
        <v>32</v>
      </c>
      <c r="AM82" t="s">
        <v>32</v>
      </c>
      <c r="AN82" s="212" t="s">
        <v>32</v>
      </c>
      <c r="AO82">
        <v>10</v>
      </c>
      <c r="AP82">
        <v>10</v>
      </c>
      <c r="AQ82" s="212">
        <v>10</v>
      </c>
      <c r="AR82" s="78" t="s">
        <v>32</v>
      </c>
      <c r="AS82" s="212">
        <v>0</v>
      </c>
      <c r="AT82" s="372" t="s">
        <v>529</v>
      </c>
      <c r="AU82" s="22">
        <f t="shared" si="66"/>
        <v>1.6666666666666665</v>
      </c>
      <c r="AV82" s="23" t="str">
        <f t="shared" si="67"/>
        <v>Minors</v>
      </c>
      <c r="AW82" s="22">
        <f t="shared" si="68"/>
        <v>2</v>
      </c>
      <c r="AX82" s="22" t="str">
        <f t="shared" si="69"/>
        <v>Minors</v>
      </c>
      <c r="AY82" s="23">
        <f t="shared" si="70"/>
        <v>2</v>
      </c>
      <c r="AZ82" s="23" t="str">
        <f t="shared" si="71"/>
        <v>Minors</v>
      </c>
      <c r="BA82" s="64">
        <f t="shared" si="72"/>
        <v>0</v>
      </c>
      <c r="BB82" s="65">
        <f t="shared" si="73"/>
        <v>0</v>
      </c>
      <c r="BC82" s="65">
        <f t="shared" si="74"/>
        <v>0</v>
      </c>
      <c r="BD82" s="65">
        <f t="shared" si="75"/>
        <v>0</v>
      </c>
      <c r="BE82" s="65">
        <f t="shared" si="76"/>
        <v>0</v>
      </c>
      <c r="BF82" s="65">
        <f t="shared" si="77"/>
        <v>0</v>
      </c>
      <c r="BG82" s="65">
        <f t="shared" si="78"/>
        <v>0</v>
      </c>
      <c r="BH82" s="65">
        <f t="shared" si="79"/>
        <v>0</v>
      </c>
      <c r="BI82" s="21">
        <f t="shared" si="80"/>
        <v>0</v>
      </c>
      <c r="BJ82" s="64">
        <f t="shared" si="81"/>
        <v>0</v>
      </c>
      <c r="BK82" s="65">
        <f t="shared" si="82"/>
        <v>0</v>
      </c>
      <c r="BL82" s="65">
        <f t="shared" si="83"/>
        <v>0</v>
      </c>
      <c r="BM82" s="65">
        <f t="shared" si="84"/>
        <v>0</v>
      </c>
      <c r="BN82" s="65">
        <f t="shared" si="85"/>
        <v>0</v>
      </c>
      <c r="BO82" s="65">
        <f t="shared" si="86"/>
        <v>0</v>
      </c>
      <c r="BP82" s="65">
        <f t="shared" si="87"/>
        <v>0</v>
      </c>
      <c r="BQ82" s="65">
        <f t="shared" si="88"/>
        <v>0</v>
      </c>
      <c r="BR82" s="21">
        <f t="shared" si="89"/>
        <v>0</v>
      </c>
      <c r="BS82" s="21">
        <f t="shared" si="90"/>
        <v>6</v>
      </c>
      <c r="BT82" s="24">
        <f t="shared" si="91"/>
        <v>1</v>
      </c>
      <c r="BU82" s="20" t="str">
        <f t="shared" si="92"/>
        <v/>
      </c>
      <c r="BV82" s="306" t="e">
        <f>IF(S82="-","-",VLOOKUP($A82,AMABat!$A$10:$AS$1137,BV$9,FALSE)-S82)</f>
        <v>#N/A</v>
      </c>
      <c r="BW82" s="306" t="e">
        <f>IF(T82="-","-",VLOOKUP($A82,AMABat!$A$10:$AS$1137,BW$9,FALSE)-T82)</f>
        <v>#N/A</v>
      </c>
      <c r="BX82" s="306" t="e">
        <f>IF(U82="-","-",VLOOKUP($A82,AMABat!$A$10:$AS$1137,BX$9,FALSE)-U82)</f>
        <v>#N/A</v>
      </c>
      <c r="BY82" s="306" t="e">
        <f>IF(V82="-","-",VLOOKUP($A82,AMABat!$A$10:$AS$1137,BY$9,FALSE)-V82)</f>
        <v>#N/A</v>
      </c>
      <c r="BZ82" s="306" t="e">
        <f>IF(W82="-","-",VLOOKUP($A82,AMABat!$A$10:$AS$1137,BZ$9,FALSE)-W82)</f>
        <v>#N/A</v>
      </c>
      <c r="CA82" s="306" t="e">
        <f>IF(X82="-","-",VLOOKUP($A82,AMABat!$A$10:$AS$1137,CA$9,FALSE)-X82)</f>
        <v>#N/A</v>
      </c>
      <c r="CB82" s="306" t="e">
        <f>IF(Y82="-","-",VLOOKUP($A82,AMABat!$A$10:$AS$1137,CB$9,FALSE)-Y82)</f>
        <v>#N/A</v>
      </c>
      <c r="CC82" s="306" t="e">
        <f>IF(Z82="-","-",VLOOKUP($A82,AMABat!$A$10:$AS$1137,CC$9,FALSE)-Z82)</f>
        <v>#N/A</v>
      </c>
      <c r="CD82" s="306" t="e">
        <f>IF(AA82="-","-",VLOOKUP($A82,AMABat!$A$10:$AS$1137,CD$9,FALSE)-AA82)</f>
        <v>#N/A</v>
      </c>
      <c r="CE82" s="306" t="e">
        <f>IF(AB82="-","-",VLOOKUP($A82,AMABat!$A$10:$AS$1137,CE$9,FALSE)-AB82)</f>
        <v>#N/A</v>
      </c>
      <c r="CF82" s="306" t="e">
        <f>IF(AC82="-","-",VLOOKUP($A82,AMABat!$A$10:$AS$1137,CF$9,FALSE)-AC82)</f>
        <v>#N/A</v>
      </c>
      <c r="CG82" s="306" t="e">
        <f>IF(AD82="-","-",VLOOKUP($A82,AMABat!$A$10:$AS$1137,CG$9,FALSE)-AD82)</f>
        <v>#N/A</v>
      </c>
      <c r="CH82" s="306" t="e">
        <f>IF(AE82="-","-",VLOOKUP($A82,AMABat!$A$10:$AS$1137,CH$9,FALSE)-AE82)</f>
        <v>#N/A</v>
      </c>
      <c r="CI82" s="306" t="str">
        <f>IF(AG82="-","-",VLOOKUP($A82,AMABat!$A$10:$AS$1137,CI$9,FALSE)-AG82)</f>
        <v>-</v>
      </c>
      <c r="CJ82" s="306" t="str">
        <f>IF(AH82="-","-",VLOOKUP($A82,AMABat!$A$10:$AS$1137,CJ$9,FALSE)-AH82)</f>
        <v>-</v>
      </c>
      <c r="CK82" s="306" t="e">
        <f>IF(AI82="-","-",VLOOKUP($A82,AMABat!$A$10:$AS$1137,CK$9,FALSE)-AI82)</f>
        <v>#N/A</v>
      </c>
      <c r="CL82" s="306" t="e">
        <f>IF(AJ82="-","-",VLOOKUP($A82,AMABat!$A$10:$AS$1137,CL$9,FALSE)-AJ82)</f>
        <v>#N/A</v>
      </c>
      <c r="CM82" s="306" t="e">
        <f>IF(AK82="-","-",VLOOKUP($A82,AMABat!$A$10:$AS$1137,CM$9,FALSE)-AK82)</f>
        <v>#N/A</v>
      </c>
      <c r="CN82" s="306" t="str">
        <f>IF(AL82="-","-",VLOOKUP($A82,AMABat!$A$10:$AS$1137,CN$9,FALSE)-AL82)</f>
        <v>-</v>
      </c>
      <c r="CO82" s="306" t="str">
        <f>IF(AM82="-","-",VLOOKUP($A82,AMABat!$A$10:$AS$1137,CO$9,FALSE)-AM82)</f>
        <v>-</v>
      </c>
      <c r="CP82" s="306" t="str">
        <f>IF(AN82="-","-",VLOOKUP($A82,AMABat!$A$10:$AS$1137,CP$9,FALSE)-AN82)</f>
        <v>-</v>
      </c>
      <c r="CQ82" s="306" t="e">
        <f>IF(AO82="-","-",VLOOKUP($A82,AMABat!$A$10:$AS$1137,CQ$9,FALSE)-AO82)</f>
        <v>#N/A</v>
      </c>
      <c r="CR82" s="306" t="e">
        <f>IF(AP82="-","-",VLOOKUP($A82,AMABat!$A$10:$AS$1137,CR$9,FALSE)-AP82)</f>
        <v>#N/A</v>
      </c>
      <c r="CS82" s="306" t="e">
        <f>IF(AQ82="-","-",VLOOKUP($A82,AMABat!$A$10:$AS$1137,CS$9,FALSE)-AQ82)</f>
        <v>#N/A</v>
      </c>
      <c r="CT82" s="84" t="e">
        <f t="shared" si="93"/>
        <v>#N/A</v>
      </c>
      <c r="CU82" s="84" t="e">
        <f t="shared" si="94"/>
        <v>#N/A</v>
      </c>
      <c r="CV82" s="84" t="e">
        <f t="shared" si="95"/>
        <v>#N/A</v>
      </c>
      <c r="CW82" s="84" t="e">
        <f t="shared" si="96"/>
        <v>#N/A</v>
      </c>
      <c r="CX82" s="84" t="e">
        <f t="shared" si="97"/>
        <v>#N/A</v>
      </c>
    </row>
    <row r="83" spans="1:102" x14ac:dyDescent="0.25">
      <c r="A83" s="306" t="s">
        <v>674</v>
      </c>
      <c r="B83" s="305" t="s">
        <v>534</v>
      </c>
      <c r="C83" s="305"/>
      <c r="D83" s="305" t="s">
        <v>32</v>
      </c>
      <c r="E83" s="305" t="s">
        <v>32</v>
      </c>
      <c r="F83" s="305" t="s">
        <v>81</v>
      </c>
      <c r="G83" t="s">
        <v>74</v>
      </c>
      <c r="H83" t="s">
        <v>835</v>
      </c>
      <c r="I83" s="305" t="s">
        <v>836</v>
      </c>
      <c r="J83" t="s">
        <v>763</v>
      </c>
      <c r="K83" t="s">
        <v>16</v>
      </c>
      <c r="L83">
        <v>19</v>
      </c>
      <c r="M83" t="s">
        <v>83</v>
      </c>
      <c r="N83" t="s">
        <v>83</v>
      </c>
      <c r="O83" t="s">
        <v>808</v>
      </c>
      <c r="P83" s="3" t="s">
        <v>764</v>
      </c>
      <c r="Q83" t="s">
        <v>200</v>
      </c>
      <c r="R83" s="3" t="s">
        <v>199</v>
      </c>
      <c r="S83">
        <v>3</v>
      </c>
      <c r="T83">
        <v>7</v>
      </c>
      <c r="U83">
        <v>3</v>
      </c>
      <c r="V83">
        <v>3</v>
      </c>
      <c r="W83" s="3">
        <v>2</v>
      </c>
      <c r="X83">
        <v>7</v>
      </c>
      <c r="Y83">
        <v>7</v>
      </c>
      <c r="Z83">
        <v>6</v>
      </c>
      <c r="AA83">
        <v>5</v>
      </c>
      <c r="AB83" s="3">
        <v>5</v>
      </c>
      <c r="AC83">
        <v>4</v>
      </c>
      <c r="AD83">
        <v>3</v>
      </c>
      <c r="AE83">
        <v>1</v>
      </c>
      <c r="AF83" s="305">
        <v>1</v>
      </c>
      <c r="AG83" t="s">
        <v>32</v>
      </c>
      <c r="AH83" t="s">
        <v>32</v>
      </c>
      <c r="AI83">
        <v>4</v>
      </c>
      <c r="AJ83" t="s">
        <v>32</v>
      </c>
      <c r="AK83">
        <v>2</v>
      </c>
      <c r="AL83" t="s">
        <v>32</v>
      </c>
      <c r="AM83" t="s">
        <v>32</v>
      </c>
      <c r="AN83" s="3" t="s">
        <v>32</v>
      </c>
      <c r="AO83">
        <v>8</v>
      </c>
      <c r="AP83">
        <v>7</v>
      </c>
      <c r="AQ83" s="3">
        <v>7</v>
      </c>
      <c r="AR83" s="78" t="s">
        <v>32</v>
      </c>
      <c r="AS83" s="3">
        <v>0</v>
      </c>
      <c r="AT83" s="372" t="s">
        <v>199</v>
      </c>
      <c r="AU83" s="6">
        <f t="shared" si="66"/>
        <v>1.5</v>
      </c>
      <c r="AV83" s="9" t="str">
        <f t="shared" si="67"/>
        <v>Minors</v>
      </c>
      <c r="AW83" s="6">
        <f t="shared" si="68"/>
        <v>6</v>
      </c>
      <c r="AX83" s="6" t="str">
        <f t="shared" si="69"/>
        <v>Reg</v>
      </c>
      <c r="AY83" s="9">
        <f t="shared" si="70"/>
        <v>6</v>
      </c>
      <c r="AZ83" s="9" t="str">
        <f t="shared" si="71"/>
        <v>Reg</v>
      </c>
      <c r="BA83" s="297">
        <f t="shared" si="72"/>
        <v>0</v>
      </c>
      <c r="BB83" s="292">
        <f t="shared" si="73"/>
        <v>0</v>
      </c>
      <c r="BC83" s="292">
        <f t="shared" si="74"/>
        <v>0</v>
      </c>
      <c r="BD83" s="292">
        <f t="shared" si="75"/>
        <v>0</v>
      </c>
      <c r="BE83" s="292">
        <f t="shared" si="76"/>
        <v>0</v>
      </c>
      <c r="BF83" s="292">
        <f t="shared" si="77"/>
        <v>0</v>
      </c>
      <c r="BG83" s="292">
        <f t="shared" si="78"/>
        <v>0</v>
      </c>
      <c r="BH83" s="292">
        <f t="shared" si="79"/>
        <v>0</v>
      </c>
      <c r="BI83" s="293">
        <f t="shared" si="80"/>
        <v>0</v>
      </c>
      <c r="BJ83" s="297">
        <f t="shared" si="81"/>
        <v>0</v>
      </c>
      <c r="BK83" s="292">
        <f t="shared" si="82"/>
        <v>0</v>
      </c>
      <c r="BL83" s="292">
        <f t="shared" si="83"/>
        <v>0</v>
      </c>
      <c r="BM83" s="292">
        <f t="shared" si="84"/>
        <v>0</v>
      </c>
      <c r="BN83" s="292">
        <f t="shared" si="85"/>
        <v>0</v>
      </c>
      <c r="BO83" s="292">
        <f t="shared" si="86"/>
        <v>1</v>
      </c>
      <c r="BP83" s="292">
        <f t="shared" si="87"/>
        <v>1</v>
      </c>
      <c r="BQ83" s="292">
        <f t="shared" si="88"/>
        <v>1</v>
      </c>
      <c r="BR83" s="293">
        <f t="shared" si="89"/>
        <v>1</v>
      </c>
      <c r="BS83" s="293">
        <f t="shared" si="90"/>
        <v>3</v>
      </c>
      <c r="BT83" s="7">
        <f t="shared" si="91"/>
        <v>0</v>
      </c>
      <c r="BU83" t="str">
        <f t="shared" si="92"/>
        <v/>
      </c>
      <c r="BV83" s="306" t="e">
        <f>IF(S83="-","-",VLOOKUP($A83,AMABat!$A$10:$AS$1137,BV$9,FALSE)-S83)</f>
        <v>#N/A</v>
      </c>
      <c r="BW83" s="306" t="e">
        <f>IF(T83="-","-",VLOOKUP($A83,AMABat!$A$10:$AS$1137,BW$9,FALSE)-T83)</f>
        <v>#N/A</v>
      </c>
      <c r="BX83" s="306" t="e">
        <f>IF(U83="-","-",VLOOKUP($A83,AMABat!$A$10:$AS$1137,BX$9,FALSE)-U83)</f>
        <v>#N/A</v>
      </c>
      <c r="BY83" s="306" t="e">
        <f>IF(V83="-","-",VLOOKUP($A83,AMABat!$A$10:$AS$1137,BY$9,FALSE)-V83)</f>
        <v>#N/A</v>
      </c>
      <c r="BZ83" s="306" t="e">
        <f>IF(W83="-","-",VLOOKUP($A83,AMABat!$A$10:$AS$1137,BZ$9,FALSE)-W83)</f>
        <v>#N/A</v>
      </c>
      <c r="CA83" s="306" t="e">
        <f>IF(X83="-","-",VLOOKUP($A83,AMABat!$A$10:$AS$1137,CA$9,FALSE)-X83)</f>
        <v>#N/A</v>
      </c>
      <c r="CB83" s="306" t="e">
        <f>IF(Y83="-","-",VLOOKUP($A83,AMABat!$A$10:$AS$1137,CB$9,FALSE)-Y83)</f>
        <v>#N/A</v>
      </c>
      <c r="CC83" s="306" t="e">
        <f>IF(Z83="-","-",VLOOKUP($A83,AMABat!$A$10:$AS$1137,CC$9,FALSE)-Z83)</f>
        <v>#N/A</v>
      </c>
      <c r="CD83" s="306" t="e">
        <f>IF(AA83="-","-",VLOOKUP($A83,AMABat!$A$10:$AS$1137,CD$9,FALSE)-AA83)</f>
        <v>#N/A</v>
      </c>
      <c r="CE83" s="306" t="e">
        <f>IF(AB83="-","-",VLOOKUP($A83,AMABat!$A$10:$AS$1137,CE$9,FALSE)-AB83)</f>
        <v>#N/A</v>
      </c>
      <c r="CF83" s="306" t="e">
        <f>IF(AC83="-","-",VLOOKUP($A83,AMABat!$A$10:$AS$1137,CF$9,FALSE)-AC83)</f>
        <v>#N/A</v>
      </c>
      <c r="CG83" s="306" t="e">
        <f>IF(AD83="-","-",VLOOKUP($A83,AMABat!$A$10:$AS$1137,CG$9,FALSE)-AD83)</f>
        <v>#N/A</v>
      </c>
      <c r="CH83" s="306" t="e">
        <f>IF(AE83="-","-",VLOOKUP($A83,AMABat!$A$10:$AS$1137,CH$9,FALSE)-AE83)</f>
        <v>#N/A</v>
      </c>
      <c r="CI83" s="306" t="str">
        <f>IF(AG83="-","-",VLOOKUP($A83,AMABat!$A$10:$AS$1137,CI$9,FALSE)-AG83)</f>
        <v>-</v>
      </c>
      <c r="CJ83" s="306" t="str">
        <f>IF(AH83="-","-",VLOOKUP($A83,AMABat!$A$10:$AS$1137,CJ$9,FALSE)-AH83)</f>
        <v>-</v>
      </c>
      <c r="CK83" s="306" t="e">
        <f>IF(AI83="-","-",VLOOKUP($A83,AMABat!$A$10:$AS$1137,CK$9,FALSE)-AI83)</f>
        <v>#N/A</v>
      </c>
      <c r="CL83" s="306" t="str">
        <f>IF(AJ83="-","-",VLOOKUP($A83,AMABat!$A$10:$AS$1137,CL$9,FALSE)-AJ83)</f>
        <v>-</v>
      </c>
      <c r="CM83" s="306" t="e">
        <f>IF(AK83="-","-",VLOOKUP($A83,AMABat!$A$10:$AS$1137,CM$9,FALSE)-AK83)</f>
        <v>#N/A</v>
      </c>
      <c r="CN83" s="306" t="str">
        <f>IF(AL83="-","-",VLOOKUP($A83,AMABat!$A$10:$AS$1137,CN$9,FALSE)-AL83)</f>
        <v>-</v>
      </c>
      <c r="CO83" s="306" t="str">
        <f>IF(AM83="-","-",VLOOKUP($A83,AMABat!$A$10:$AS$1137,CO$9,FALSE)-AM83)</f>
        <v>-</v>
      </c>
      <c r="CP83" s="306" t="str">
        <f>IF(AN83="-","-",VLOOKUP($A83,AMABat!$A$10:$AS$1137,CP$9,FALSE)-AN83)</f>
        <v>-</v>
      </c>
      <c r="CQ83" s="306" t="e">
        <f>IF(AO83="-","-",VLOOKUP($A83,AMABat!$A$10:$AS$1137,CQ$9,FALSE)-AO83)</f>
        <v>#N/A</v>
      </c>
      <c r="CR83" s="306" t="e">
        <f>IF(AP83="-","-",VLOOKUP($A83,AMABat!$A$10:$AS$1137,CR$9,FALSE)-AP83)</f>
        <v>#N/A</v>
      </c>
      <c r="CS83" s="306" t="e">
        <f>IF(AQ83="-","-",VLOOKUP($A83,AMABat!$A$10:$AS$1137,CS$9,FALSE)-AQ83)</f>
        <v>#N/A</v>
      </c>
      <c r="CT83" s="84" t="e">
        <f t="shared" si="93"/>
        <v>#N/A</v>
      </c>
      <c r="CU83" s="84" t="e">
        <f t="shared" si="94"/>
        <v>#N/A</v>
      </c>
      <c r="CV83" s="84" t="e">
        <f t="shared" si="95"/>
        <v>#N/A</v>
      </c>
      <c r="CW83" s="84" t="e">
        <f t="shared" si="96"/>
        <v>#N/A</v>
      </c>
      <c r="CX83" s="84" t="e">
        <f t="shared" si="97"/>
        <v>#N/A</v>
      </c>
    </row>
    <row r="84" spans="1:102" x14ac:dyDescent="0.25">
      <c r="A84" s="306" t="s">
        <v>675</v>
      </c>
      <c r="B84" s="305" t="s">
        <v>534</v>
      </c>
      <c r="C84" s="305"/>
      <c r="D84" s="305" t="s">
        <v>32</v>
      </c>
      <c r="E84" s="305" t="s">
        <v>32</v>
      </c>
      <c r="F84" s="305" t="s">
        <v>81</v>
      </c>
      <c r="G84" t="s">
        <v>71</v>
      </c>
      <c r="H84" t="s">
        <v>499</v>
      </c>
      <c r="I84" s="305" t="s">
        <v>714</v>
      </c>
      <c r="J84" t="s">
        <v>802</v>
      </c>
      <c r="K84" t="s">
        <v>277</v>
      </c>
      <c r="L84">
        <v>22</v>
      </c>
      <c r="M84" t="s">
        <v>83</v>
      </c>
      <c r="N84" t="s">
        <v>83</v>
      </c>
      <c r="O84" t="s">
        <v>808</v>
      </c>
      <c r="P84" s="3" t="s">
        <v>773</v>
      </c>
      <c r="Q84" t="s">
        <v>199</v>
      </c>
      <c r="R84" s="3" t="s">
        <v>200</v>
      </c>
      <c r="S84">
        <v>2</v>
      </c>
      <c r="T84">
        <v>4</v>
      </c>
      <c r="U84">
        <v>3</v>
      </c>
      <c r="V84">
        <v>5</v>
      </c>
      <c r="W84" s="3">
        <v>1</v>
      </c>
      <c r="X84">
        <v>3</v>
      </c>
      <c r="Y84">
        <v>4</v>
      </c>
      <c r="Z84">
        <v>3</v>
      </c>
      <c r="AA84">
        <v>7</v>
      </c>
      <c r="AB84" s="3">
        <v>3</v>
      </c>
      <c r="AC84">
        <v>3</v>
      </c>
      <c r="AD84">
        <v>3</v>
      </c>
      <c r="AE84">
        <v>5</v>
      </c>
      <c r="AF84" s="305">
        <v>5</v>
      </c>
      <c r="AG84">
        <v>2</v>
      </c>
      <c r="AH84" t="s">
        <v>32</v>
      </c>
      <c r="AI84" t="s">
        <v>32</v>
      </c>
      <c r="AJ84" t="s">
        <v>32</v>
      </c>
      <c r="AK84" t="s">
        <v>32</v>
      </c>
      <c r="AL84" t="s">
        <v>32</v>
      </c>
      <c r="AM84" t="s">
        <v>32</v>
      </c>
      <c r="AN84" s="3" t="s">
        <v>32</v>
      </c>
      <c r="AO84">
        <v>2</v>
      </c>
      <c r="AP84">
        <v>7</v>
      </c>
      <c r="AQ84" s="3">
        <v>8</v>
      </c>
      <c r="AR84" s="78" t="s">
        <v>32</v>
      </c>
      <c r="AS84" s="3" t="s">
        <v>33</v>
      </c>
      <c r="AT84" s="372" t="s">
        <v>199</v>
      </c>
      <c r="AU84" s="22">
        <f t="shared" si="66"/>
        <v>1.3333333333333335</v>
      </c>
      <c r="AV84" s="23" t="str">
        <f t="shared" si="67"/>
        <v>Minors</v>
      </c>
      <c r="AW84" s="22">
        <f t="shared" si="68"/>
        <v>2.833333333333333</v>
      </c>
      <c r="AX84" s="22" t="str">
        <f t="shared" si="69"/>
        <v>Minors</v>
      </c>
      <c r="AY84" s="23">
        <f t="shared" si="70"/>
        <v>2.833333333333333</v>
      </c>
      <c r="AZ84" s="23" t="str">
        <f t="shared" si="71"/>
        <v>Minors</v>
      </c>
      <c r="BA84" s="64">
        <f t="shared" si="72"/>
        <v>0</v>
      </c>
      <c r="BB84" s="65">
        <f t="shared" si="73"/>
        <v>0</v>
      </c>
      <c r="BC84" s="65">
        <f t="shared" si="74"/>
        <v>0</v>
      </c>
      <c r="BD84" s="65">
        <f t="shared" si="75"/>
        <v>0</v>
      </c>
      <c r="BE84" s="65">
        <f t="shared" si="76"/>
        <v>0</v>
      </c>
      <c r="BF84" s="65">
        <f t="shared" si="77"/>
        <v>0</v>
      </c>
      <c r="BG84" s="65">
        <f t="shared" si="78"/>
        <v>0</v>
      </c>
      <c r="BH84" s="65">
        <f t="shared" si="79"/>
        <v>0</v>
      </c>
      <c r="BI84" s="21">
        <f t="shared" si="80"/>
        <v>0</v>
      </c>
      <c r="BJ84" s="64">
        <f t="shared" si="81"/>
        <v>0</v>
      </c>
      <c r="BK84" s="65">
        <f t="shared" si="82"/>
        <v>0</v>
      </c>
      <c r="BL84" s="65">
        <f t="shared" si="83"/>
        <v>0</v>
      </c>
      <c r="BM84" s="65">
        <f t="shared" si="84"/>
        <v>0</v>
      </c>
      <c r="BN84" s="65">
        <f t="shared" si="85"/>
        <v>0</v>
      </c>
      <c r="BO84" s="65">
        <f t="shared" si="86"/>
        <v>0</v>
      </c>
      <c r="BP84" s="65">
        <f t="shared" si="87"/>
        <v>0</v>
      </c>
      <c r="BQ84" s="65">
        <f t="shared" si="88"/>
        <v>0</v>
      </c>
      <c r="BR84" s="21">
        <f t="shared" si="89"/>
        <v>0</v>
      </c>
      <c r="BS84" s="21">
        <f t="shared" si="90"/>
        <v>1</v>
      </c>
      <c r="BT84" s="24">
        <f t="shared" si="91"/>
        <v>0</v>
      </c>
      <c r="BU84" s="20" t="str">
        <f t="shared" si="92"/>
        <v/>
      </c>
      <c r="BV84" s="306" t="e">
        <f>IF(S84="-","-",VLOOKUP($A84,AMABat!$A$10:$AS$1137,BV$9,FALSE)-S84)</f>
        <v>#N/A</v>
      </c>
      <c r="BW84" s="306" t="e">
        <f>IF(T84="-","-",VLOOKUP($A84,AMABat!$A$10:$AS$1137,BW$9,FALSE)-T84)</f>
        <v>#N/A</v>
      </c>
      <c r="BX84" s="306" t="e">
        <f>IF(U84="-","-",VLOOKUP($A84,AMABat!$A$10:$AS$1137,BX$9,FALSE)-U84)</f>
        <v>#N/A</v>
      </c>
      <c r="BY84" s="306" t="e">
        <f>IF(V84="-","-",VLOOKUP($A84,AMABat!$A$10:$AS$1137,BY$9,FALSE)-V84)</f>
        <v>#N/A</v>
      </c>
      <c r="BZ84" s="306" t="e">
        <f>IF(W84="-","-",VLOOKUP($A84,AMABat!$A$10:$AS$1137,BZ$9,FALSE)-W84)</f>
        <v>#N/A</v>
      </c>
      <c r="CA84" s="306" t="e">
        <f>IF(X84="-","-",VLOOKUP($A84,AMABat!$A$10:$AS$1137,CA$9,FALSE)-X84)</f>
        <v>#N/A</v>
      </c>
      <c r="CB84" s="306" t="e">
        <f>IF(Y84="-","-",VLOOKUP($A84,AMABat!$A$10:$AS$1137,CB$9,FALSE)-Y84)</f>
        <v>#N/A</v>
      </c>
      <c r="CC84" s="306" t="e">
        <f>IF(Z84="-","-",VLOOKUP($A84,AMABat!$A$10:$AS$1137,CC$9,FALSE)-Z84)</f>
        <v>#N/A</v>
      </c>
      <c r="CD84" s="306" t="e">
        <f>IF(AA84="-","-",VLOOKUP($A84,AMABat!$A$10:$AS$1137,CD$9,FALSE)-AA84)</f>
        <v>#N/A</v>
      </c>
      <c r="CE84" s="306" t="e">
        <f>IF(AB84="-","-",VLOOKUP($A84,AMABat!$A$10:$AS$1137,CE$9,FALSE)-AB84)</f>
        <v>#N/A</v>
      </c>
      <c r="CF84" s="306" t="e">
        <f>IF(AC84="-","-",VLOOKUP($A84,AMABat!$A$10:$AS$1137,CF$9,FALSE)-AC84)</f>
        <v>#N/A</v>
      </c>
      <c r="CG84" s="306" t="e">
        <f>IF(AD84="-","-",VLOOKUP($A84,AMABat!$A$10:$AS$1137,CG$9,FALSE)-AD84)</f>
        <v>#N/A</v>
      </c>
      <c r="CH84" s="306" t="e">
        <f>IF(AE84="-","-",VLOOKUP($A84,AMABat!$A$10:$AS$1137,CH$9,FALSE)-AE84)</f>
        <v>#N/A</v>
      </c>
      <c r="CI84" s="306" t="e">
        <f>IF(AG84="-","-",VLOOKUP($A84,AMABat!$A$10:$AS$1137,CI$9,FALSE)-AG84)</f>
        <v>#N/A</v>
      </c>
      <c r="CJ84" s="306" t="str">
        <f>IF(AH84="-","-",VLOOKUP($A84,AMABat!$A$10:$AS$1137,CJ$9,FALSE)-AH84)</f>
        <v>-</v>
      </c>
      <c r="CK84" s="306" t="str">
        <f>IF(AI84="-","-",VLOOKUP($A84,AMABat!$A$10:$AS$1137,CK$9,FALSE)-AI84)</f>
        <v>-</v>
      </c>
      <c r="CL84" s="306" t="str">
        <f>IF(AJ84="-","-",VLOOKUP($A84,AMABat!$A$10:$AS$1137,CL$9,FALSE)-AJ84)</f>
        <v>-</v>
      </c>
      <c r="CM84" s="306" t="str">
        <f>IF(AK84="-","-",VLOOKUP($A84,AMABat!$A$10:$AS$1137,CM$9,FALSE)-AK84)</f>
        <v>-</v>
      </c>
      <c r="CN84" s="306" t="str">
        <f>IF(AL84="-","-",VLOOKUP($A84,AMABat!$A$10:$AS$1137,CN$9,FALSE)-AL84)</f>
        <v>-</v>
      </c>
      <c r="CO84" s="306" t="str">
        <f>IF(AM84="-","-",VLOOKUP($A84,AMABat!$A$10:$AS$1137,CO$9,FALSE)-AM84)</f>
        <v>-</v>
      </c>
      <c r="CP84" s="306" t="str">
        <f>IF(AN84="-","-",VLOOKUP($A84,AMABat!$A$10:$AS$1137,CP$9,FALSE)-AN84)</f>
        <v>-</v>
      </c>
      <c r="CQ84" s="306" t="e">
        <f>IF(AO84="-","-",VLOOKUP($A84,AMABat!$A$10:$AS$1137,CQ$9,FALSE)-AO84)</f>
        <v>#N/A</v>
      </c>
      <c r="CR84" s="306" t="e">
        <f>IF(AP84="-","-",VLOOKUP($A84,AMABat!$A$10:$AS$1137,CR$9,FALSE)-AP84)</f>
        <v>#N/A</v>
      </c>
      <c r="CS84" s="306" t="e">
        <f>IF(AQ84="-","-",VLOOKUP($A84,AMABat!$A$10:$AS$1137,CS$9,FALSE)-AQ84)</f>
        <v>#N/A</v>
      </c>
      <c r="CT84" s="84" t="e">
        <f t="shared" si="93"/>
        <v>#N/A</v>
      </c>
      <c r="CU84" s="84" t="e">
        <f t="shared" si="94"/>
        <v>#N/A</v>
      </c>
      <c r="CV84" s="84" t="e">
        <f t="shared" si="95"/>
        <v>#N/A</v>
      </c>
      <c r="CW84" s="84" t="e">
        <f t="shared" si="96"/>
        <v>#N/A</v>
      </c>
      <c r="CX84" s="84" t="e">
        <f t="shared" si="97"/>
        <v>#N/A</v>
      </c>
    </row>
    <row r="85" spans="1:102" x14ac:dyDescent="0.25">
      <c r="A85" s="306" t="s">
        <v>676</v>
      </c>
      <c r="B85" s="305" t="s">
        <v>534</v>
      </c>
      <c r="C85" s="305"/>
      <c r="D85" s="305" t="s">
        <v>32</v>
      </c>
      <c r="E85" s="305" t="s">
        <v>32</v>
      </c>
      <c r="F85" s="305" t="s">
        <v>81</v>
      </c>
      <c r="G85" t="s">
        <v>71</v>
      </c>
      <c r="H85" t="s">
        <v>717</v>
      </c>
      <c r="I85" s="305" t="s">
        <v>422</v>
      </c>
      <c r="J85" t="s">
        <v>763</v>
      </c>
      <c r="K85" t="s">
        <v>16</v>
      </c>
      <c r="L85">
        <v>19</v>
      </c>
      <c r="M85" t="s">
        <v>83</v>
      </c>
      <c r="N85" t="s">
        <v>83</v>
      </c>
      <c r="O85" t="s">
        <v>808</v>
      </c>
      <c r="P85" s="3" t="s">
        <v>773</v>
      </c>
      <c r="Q85" t="s">
        <v>200</v>
      </c>
      <c r="R85" s="3" t="s">
        <v>200</v>
      </c>
      <c r="S85">
        <v>3</v>
      </c>
      <c r="T85">
        <v>5</v>
      </c>
      <c r="U85">
        <v>2</v>
      </c>
      <c r="V85">
        <v>3</v>
      </c>
      <c r="W85" s="3">
        <v>2</v>
      </c>
      <c r="X85">
        <v>4</v>
      </c>
      <c r="Y85">
        <v>5</v>
      </c>
      <c r="Z85">
        <v>4</v>
      </c>
      <c r="AA85">
        <v>6</v>
      </c>
      <c r="AB85" s="3">
        <v>4</v>
      </c>
      <c r="AC85">
        <v>3</v>
      </c>
      <c r="AD85">
        <v>3</v>
      </c>
      <c r="AE85">
        <v>7</v>
      </c>
      <c r="AF85" s="305">
        <v>6</v>
      </c>
      <c r="AG85">
        <v>6</v>
      </c>
      <c r="AH85" t="s">
        <v>32</v>
      </c>
      <c r="AI85" t="s">
        <v>32</v>
      </c>
      <c r="AJ85" t="s">
        <v>32</v>
      </c>
      <c r="AK85" t="s">
        <v>32</v>
      </c>
      <c r="AL85" t="s">
        <v>32</v>
      </c>
      <c r="AM85" t="s">
        <v>32</v>
      </c>
      <c r="AN85" s="3" t="s">
        <v>32</v>
      </c>
      <c r="AO85">
        <v>1</v>
      </c>
      <c r="AP85">
        <v>1</v>
      </c>
      <c r="AQ85" s="3">
        <v>1</v>
      </c>
      <c r="AR85" s="78" t="s">
        <v>32</v>
      </c>
      <c r="AS85" s="3" t="s">
        <v>33</v>
      </c>
      <c r="AT85" s="372" t="s">
        <v>529</v>
      </c>
      <c r="AU85" s="6">
        <f t="shared" si="66"/>
        <v>1.1666666666666665</v>
      </c>
      <c r="AV85" s="9" t="str">
        <f t="shared" si="67"/>
        <v>Minors</v>
      </c>
      <c r="AW85" s="6">
        <f t="shared" si="68"/>
        <v>3.666666666666667</v>
      </c>
      <c r="AX85" s="6" t="str">
        <f t="shared" si="69"/>
        <v>Minors</v>
      </c>
      <c r="AY85" s="9">
        <f t="shared" si="70"/>
        <v>3.666666666666667</v>
      </c>
      <c r="AZ85" s="9" t="str">
        <f t="shared" si="71"/>
        <v>Minors</v>
      </c>
      <c r="BA85" s="297">
        <f t="shared" si="72"/>
        <v>0</v>
      </c>
      <c r="BB85" s="292">
        <f t="shared" si="73"/>
        <v>0</v>
      </c>
      <c r="BC85" s="292">
        <f t="shared" si="74"/>
        <v>0</v>
      </c>
      <c r="BD85" s="292">
        <f t="shared" si="75"/>
        <v>0</v>
      </c>
      <c r="BE85" s="292">
        <f t="shared" si="76"/>
        <v>0</v>
      </c>
      <c r="BF85" s="292">
        <f t="shared" si="77"/>
        <v>0</v>
      </c>
      <c r="BG85" s="292">
        <f t="shared" si="78"/>
        <v>0</v>
      </c>
      <c r="BH85" s="292">
        <f t="shared" si="79"/>
        <v>0</v>
      </c>
      <c r="BI85" s="293">
        <f t="shared" si="80"/>
        <v>0</v>
      </c>
      <c r="BJ85" s="297">
        <f t="shared" si="81"/>
        <v>0</v>
      </c>
      <c r="BK85" s="292">
        <f t="shared" si="82"/>
        <v>0</v>
      </c>
      <c r="BL85" s="292">
        <f t="shared" si="83"/>
        <v>0</v>
      </c>
      <c r="BM85" s="292">
        <f t="shared" si="84"/>
        <v>0</v>
      </c>
      <c r="BN85" s="292">
        <f t="shared" si="85"/>
        <v>0</v>
      </c>
      <c r="BO85" s="292">
        <f t="shared" si="86"/>
        <v>0</v>
      </c>
      <c r="BP85" s="292">
        <f t="shared" si="87"/>
        <v>0</v>
      </c>
      <c r="BQ85" s="292">
        <f t="shared" si="88"/>
        <v>0</v>
      </c>
      <c r="BR85" s="293">
        <f t="shared" si="89"/>
        <v>0</v>
      </c>
      <c r="BS85" s="293">
        <f t="shared" si="90"/>
        <v>0</v>
      </c>
      <c r="BT85" s="7">
        <f t="shared" si="91"/>
        <v>1</v>
      </c>
      <c r="BU85" t="str">
        <f t="shared" si="92"/>
        <v/>
      </c>
      <c r="BV85" s="306" t="e">
        <f>IF(S85="-","-",VLOOKUP($A85,AMABat!$A$10:$AS$1137,BV$9,FALSE)-S85)</f>
        <v>#N/A</v>
      </c>
      <c r="BW85" s="306" t="e">
        <f>IF(T85="-","-",VLOOKUP($A85,AMABat!$A$10:$AS$1137,BW$9,FALSE)-T85)</f>
        <v>#N/A</v>
      </c>
      <c r="BX85" s="306" t="e">
        <f>IF(U85="-","-",VLOOKUP($A85,AMABat!$A$10:$AS$1137,BX$9,FALSE)-U85)</f>
        <v>#N/A</v>
      </c>
      <c r="BY85" s="306" t="e">
        <f>IF(V85="-","-",VLOOKUP($A85,AMABat!$A$10:$AS$1137,BY$9,FALSE)-V85)</f>
        <v>#N/A</v>
      </c>
      <c r="BZ85" s="306" t="e">
        <f>IF(W85="-","-",VLOOKUP($A85,AMABat!$A$10:$AS$1137,BZ$9,FALSE)-W85)</f>
        <v>#N/A</v>
      </c>
      <c r="CA85" s="306" t="e">
        <f>IF(X85="-","-",VLOOKUP($A85,AMABat!$A$10:$AS$1137,CA$9,FALSE)-X85)</f>
        <v>#N/A</v>
      </c>
      <c r="CB85" s="306" t="e">
        <f>IF(Y85="-","-",VLOOKUP($A85,AMABat!$A$10:$AS$1137,CB$9,FALSE)-Y85)</f>
        <v>#N/A</v>
      </c>
      <c r="CC85" s="306" t="e">
        <f>IF(Z85="-","-",VLOOKUP($A85,AMABat!$A$10:$AS$1137,CC$9,FALSE)-Z85)</f>
        <v>#N/A</v>
      </c>
      <c r="CD85" s="306" t="e">
        <f>IF(AA85="-","-",VLOOKUP($A85,AMABat!$A$10:$AS$1137,CD$9,FALSE)-AA85)</f>
        <v>#N/A</v>
      </c>
      <c r="CE85" s="306" t="e">
        <f>IF(AB85="-","-",VLOOKUP($A85,AMABat!$A$10:$AS$1137,CE$9,FALSE)-AB85)</f>
        <v>#N/A</v>
      </c>
      <c r="CF85" s="306" t="e">
        <f>IF(AC85="-","-",VLOOKUP($A85,AMABat!$A$10:$AS$1137,CF$9,FALSE)-AC85)</f>
        <v>#N/A</v>
      </c>
      <c r="CG85" s="306" t="e">
        <f>IF(AD85="-","-",VLOOKUP($A85,AMABat!$A$10:$AS$1137,CG$9,FALSE)-AD85)</f>
        <v>#N/A</v>
      </c>
      <c r="CH85" s="306" t="e">
        <f>IF(AE85="-","-",VLOOKUP($A85,AMABat!$A$10:$AS$1137,CH$9,FALSE)-AE85)</f>
        <v>#N/A</v>
      </c>
      <c r="CI85" s="306" t="e">
        <f>IF(AG85="-","-",VLOOKUP($A85,AMABat!$A$10:$AS$1137,CI$9,FALSE)-AG85)</f>
        <v>#N/A</v>
      </c>
      <c r="CJ85" s="306" t="str">
        <f>IF(AH85="-","-",VLOOKUP($A85,AMABat!$A$10:$AS$1137,CJ$9,FALSE)-AH85)</f>
        <v>-</v>
      </c>
      <c r="CK85" s="306" t="str">
        <f>IF(AI85="-","-",VLOOKUP($A85,AMABat!$A$10:$AS$1137,CK$9,FALSE)-AI85)</f>
        <v>-</v>
      </c>
      <c r="CL85" s="306" t="str">
        <f>IF(AJ85="-","-",VLOOKUP($A85,AMABat!$A$10:$AS$1137,CL$9,FALSE)-AJ85)</f>
        <v>-</v>
      </c>
      <c r="CM85" s="306" t="str">
        <f>IF(AK85="-","-",VLOOKUP($A85,AMABat!$A$10:$AS$1137,CM$9,FALSE)-AK85)</f>
        <v>-</v>
      </c>
      <c r="CN85" s="306" t="str">
        <f>IF(AL85="-","-",VLOOKUP($A85,AMABat!$A$10:$AS$1137,CN$9,FALSE)-AL85)</f>
        <v>-</v>
      </c>
      <c r="CO85" s="306" t="str">
        <f>IF(AM85="-","-",VLOOKUP($A85,AMABat!$A$10:$AS$1137,CO$9,FALSE)-AM85)</f>
        <v>-</v>
      </c>
      <c r="CP85" s="306" t="str">
        <f>IF(AN85="-","-",VLOOKUP($A85,AMABat!$A$10:$AS$1137,CP$9,FALSE)-AN85)</f>
        <v>-</v>
      </c>
      <c r="CQ85" s="306" t="e">
        <f>IF(AO85="-","-",VLOOKUP($A85,AMABat!$A$10:$AS$1137,CQ$9,FALSE)-AO85)</f>
        <v>#N/A</v>
      </c>
      <c r="CR85" s="306" t="e">
        <f>IF(AP85="-","-",VLOOKUP($A85,AMABat!$A$10:$AS$1137,CR$9,FALSE)-AP85)</f>
        <v>#N/A</v>
      </c>
      <c r="CS85" s="306" t="e">
        <f>IF(AQ85="-","-",VLOOKUP($A85,AMABat!$A$10:$AS$1137,CS$9,FALSE)-AQ85)</f>
        <v>#N/A</v>
      </c>
      <c r="CT85" s="84" t="e">
        <f t="shared" si="93"/>
        <v>#N/A</v>
      </c>
      <c r="CU85" s="84" t="e">
        <f t="shared" si="94"/>
        <v>#N/A</v>
      </c>
      <c r="CV85" s="84" t="e">
        <f t="shared" si="95"/>
        <v>#N/A</v>
      </c>
      <c r="CW85" s="84" t="e">
        <f t="shared" si="96"/>
        <v>#N/A</v>
      </c>
      <c r="CX85" s="84" t="e">
        <f t="shared" si="97"/>
        <v>#N/A</v>
      </c>
    </row>
    <row r="86" spans="1:102" x14ac:dyDescent="0.25">
      <c r="A86" s="306" t="s">
        <v>677</v>
      </c>
      <c r="B86" s="305" t="s">
        <v>534</v>
      </c>
      <c r="C86" s="305"/>
      <c r="D86" s="305" t="s">
        <v>32</v>
      </c>
      <c r="E86" s="305" t="s">
        <v>32</v>
      </c>
      <c r="F86" s="305" t="s">
        <v>72</v>
      </c>
      <c r="G86" t="s">
        <v>78</v>
      </c>
      <c r="H86" t="s">
        <v>837</v>
      </c>
      <c r="I86" s="305" t="s">
        <v>838</v>
      </c>
      <c r="J86" t="s">
        <v>802</v>
      </c>
      <c r="K86" t="s">
        <v>277</v>
      </c>
      <c r="L86">
        <v>21</v>
      </c>
      <c r="M86" t="s">
        <v>83</v>
      </c>
      <c r="N86" t="s">
        <v>83</v>
      </c>
      <c r="O86" t="s">
        <v>808</v>
      </c>
      <c r="P86" s="3" t="s">
        <v>764</v>
      </c>
      <c r="Q86" t="s">
        <v>199</v>
      </c>
      <c r="R86" s="3" t="s">
        <v>200</v>
      </c>
      <c r="S86">
        <v>3</v>
      </c>
      <c r="T86">
        <v>4</v>
      </c>
      <c r="U86">
        <v>2</v>
      </c>
      <c r="V86">
        <v>3</v>
      </c>
      <c r="W86" s="3">
        <v>3</v>
      </c>
      <c r="X86">
        <v>5</v>
      </c>
      <c r="Y86">
        <v>4</v>
      </c>
      <c r="Z86">
        <v>2</v>
      </c>
      <c r="AA86">
        <v>5</v>
      </c>
      <c r="AB86" s="3">
        <v>5</v>
      </c>
      <c r="AC86">
        <v>6</v>
      </c>
      <c r="AD86">
        <v>8</v>
      </c>
      <c r="AE86">
        <v>1</v>
      </c>
      <c r="AF86" s="305">
        <v>1</v>
      </c>
      <c r="AG86" t="s">
        <v>32</v>
      </c>
      <c r="AH86" t="s">
        <v>32</v>
      </c>
      <c r="AI86" t="s">
        <v>32</v>
      </c>
      <c r="AJ86" t="s">
        <v>32</v>
      </c>
      <c r="AK86" t="s">
        <v>32</v>
      </c>
      <c r="AL86">
        <v>4</v>
      </c>
      <c r="AM86">
        <v>10</v>
      </c>
      <c r="AN86" s="3">
        <v>10</v>
      </c>
      <c r="AO86">
        <v>10</v>
      </c>
      <c r="AP86">
        <v>7</v>
      </c>
      <c r="AQ86" s="3">
        <v>6</v>
      </c>
      <c r="AR86" s="78" t="s">
        <v>32</v>
      </c>
      <c r="AS86" s="3" t="s">
        <v>33</v>
      </c>
      <c r="AT86" s="372" t="s">
        <v>199</v>
      </c>
      <c r="AU86" s="22">
        <f t="shared" si="66"/>
        <v>1.1666666666666665</v>
      </c>
      <c r="AV86" s="23" t="str">
        <f t="shared" si="67"/>
        <v>Minors</v>
      </c>
      <c r="AW86" s="22">
        <f t="shared" si="68"/>
        <v>3.5</v>
      </c>
      <c r="AX86" s="22" t="str">
        <f t="shared" si="69"/>
        <v>Minors</v>
      </c>
      <c r="AY86" s="23">
        <f t="shared" si="70"/>
        <v>3.5</v>
      </c>
      <c r="AZ86" s="23" t="str">
        <f t="shared" si="71"/>
        <v>Minors</v>
      </c>
      <c r="BA86" s="64">
        <f t="shared" si="72"/>
        <v>0</v>
      </c>
      <c r="BB86" s="65">
        <f t="shared" si="73"/>
        <v>0</v>
      </c>
      <c r="BC86" s="65">
        <f t="shared" si="74"/>
        <v>0</v>
      </c>
      <c r="BD86" s="65">
        <f t="shared" si="75"/>
        <v>0</v>
      </c>
      <c r="BE86" s="65">
        <f t="shared" si="76"/>
        <v>0</v>
      </c>
      <c r="BF86" s="65">
        <f t="shared" si="77"/>
        <v>0</v>
      </c>
      <c r="BG86" s="65">
        <f t="shared" si="78"/>
        <v>0</v>
      </c>
      <c r="BH86" s="65">
        <f t="shared" si="79"/>
        <v>0</v>
      </c>
      <c r="BI86" s="21">
        <f t="shared" si="80"/>
        <v>0</v>
      </c>
      <c r="BJ86" s="64">
        <f t="shared" si="81"/>
        <v>0</v>
      </c>
      <c r="BK86" s="65">
        <f t="shared" si="82"/>
        <v>0</v>
      </c>
      <c r="BL86" s="65">
        <f t="shared" si="83"/>
        <v>0</v>
      </c>
      <c r="BM86" s="65">
        <f t="shared" si="84"/>
        <v>0</v>
      </c>
      <c r="BN86" s="65">
        <f t="shared" si="85"/>
        <v>0</v>
      </c>
      <c r="BO86" s="65">
        <f t="shared" si="86"/>
        <v>0</v>
      </c>
      <c r="BP86" s="65">
        <f t="shared" si="87"/>
        <v>0</v>
      </c>
      <c r="BQ86" s="65">
        <f t="shared" si="88"/>
        <v>0</v>
      </c>
      <c r="BR86" s="21">
        <f t="shared" si="89"/>
        <v>0</v>
      </c>
      <c r="BS86" s="21">
        <f t="shared" si="90"/>
        <v>2</v>
      </c>
      <c r="BT86" s="24">
        <f t="shared" si="91"/>
        <v>2</v>
      </c>
      <c r="BU86" s="20" t="str">
        <f t="shared" si="92"/>
        <v/>
      </c>
      <c r="BV86" s="306" t="e">
        <f>IF(S86="-","-",VLOOKUP($A86,AMABat!$A$10:$AS$1137,BV$9,FALSE)-S86)</f>
        <v>#N/A</v>
      </c>
      <c r="BW86" s="306" t="e">
        <f>IF(T86="-","-",VLOOKUP($A86,AMABat!$A$10:$AS$1137,BW$9,FALSE)-T86)</f>
        <v>#N/A</v>
      </c>
      <c r="BX86" s="306" t="e">
        <f>IF(U86="-","-",VLOOKUP($A86,AMABat!$A$10:$AS$1137,BX$9,FALSE)-U86)</f>
        <v>#N/A</v>
      </c>
      <c r="BY86" s="306" t="e">
        <f>IF(V86="-","-",VLOOKUP($A86,AMABat!$A$10:$AS$1137,BY$9,FALSE)-V86)</f>
        <v>#N/A</v>
      </c>
      <c r="BZ86" s="306" t="e">
        <f>IF(W86="-","-",VLOOKUP($A86,AMABat!$A$10:$AS$1137,BZ$9,FALSE)-W86)</f>
        <v>#N/A</v>
      </c>
      <c r="CA86" s="306" t="e">
        <f>IF(X86="-","-",VLOOKUP($A86,AMABat!$A$10:$AS$1137,CA$9,FALSE)-X86)</f>
        <v>#N/A</v>
      </c>
      <c r="CB86" s="306" t="e">
        <f>IF(Y86="-","-",VLOOKUP($A86,AMABat!$A$10:$AS$1137,CB$9,FALSE)-Y86)</f>
        <v>#N/A</v>
      </c>
      <c r="CC86" s="306" t="e">
        <f>IF(Z86="-","-",VLOOKUP($A86,AMABat!$A$10:$AS$1137,CC$9,FALSE)-Z86)</f>
        <v>#N/A</v>
      </c>
      <c r="CD86" s="306" t="e">
        <f>IF(AA86="-","-",VLOOKUP($A86,AMABat!$A$10:$AS$1137,CD$9,FALSE)-AA86)</f>
        <v>#N/A</v>
      </c>
      <c r="CE86" s="306" t="e">
        <f>IF(AB86="-","-",VLOOKUP($A86,AMABat!$A$10:$AS$1137,CE$9,FALSE)-AB86)</f>
        <v>#N/A</v>
      </c>
      <c r="CF86" s="306" t="e">
        <f>IF(AC86="-","-",VLOOKUP($A86,AMABat!$A$10:$AS$1137,CF$9,FALSE)-AC86)</f>
        <v>#N/A</v>
      </c>
      <c r="CG86" s="306" t="e">
        <f>IF(AD86="-","-",VLOOKUP($A86,AMABat!$A$10:$AS$1137,CG$9,FALSE)-AD86)</f>
        <v>#N/A</v>
      </c>
      <c r="CH86" s="306" t="e">
        <f>IF(AE86="-","-",VLOOKUP($A86,AMABat!$A$10:$AS$1137,CH$9,FALSE)-AE86)</f>
        <v>#N/A</v>
      </c>
      <c r="CI86" s="306" t="str">
        <f>IF(AG86="-","-",VLOOKUP($A86,AMABat!$A$10:$AS$1137,CI$9,FALSE)-AG86)</f>
        <v>-</v>
      </c>
      <c r="CJ86" s="306" t="str">
        <f>IF(AH86="-","-",VLOOKUP($A86,AMABat!$A$10:$AS$1137,CJ$9,FALSE)-AH86)</f>
        <v>-</v>
      </c>
      <c r="CK86" s="306" t="str">
        <f>IF(AI86="-","-",VLOOKUP($A86,AMABat!$A$10:$AS$1137,CK$9,FALSE)-AI86)</f>
        <v>-</v>
      </c>
      <c r="CL86" s="306" t="str">
        <f>IF(AJ86="-","-",VLOOKUP($A86,AMABat!$A$10:$AS$1137,CL$9,FALSE)-AJ86)</f>
        <v>-</v>
      </c>
      <c r="CM86" s="306" t="str">
        <f>IF(AK86="-","-",VLOOKUP($A86,AMABat!$A$10:$AS$1137,CM$9,FALSE)-AK86)</f>
        <v>-</v>
      </c>
      <c r="CN86" s="306" t="e">
        <f>IF(AL86="-","-",VLOOKUP($A86,AMABat!$A$10:$AS$1137,CN$9,FALSE)-AL86)</f>
        <v>#N/A</v>
      </c>
      <c r="CO86" s="306" t="e">
        <f>IF(AM86="-","-",VLOOKUP($A86,AMABat!$A$10:$AS$1137,CO$9,FALSE)-AM86)</f>
        <v>#N/A</v>
      </c>
      <c r="CP86" s="306" t="e">
        <f>IF(AN86="-","-",VLOOKUP($A86,AMABat!$A$10:$AS$1137,CP$9,FALSE)-AN86)</f>
        <v>#N/A</v>
      </c>
      <c r="CQ86" s="306" t="e">
        <f>IF(AO86="-","-",VLOOKUP($A86,AMABat!$A$10:$AS$1137,CQ$9,FALSE)-AO86)</f>
        <v>#N/A</v>
      </c>
      <c r="CR86" s="306" t="e">
        <f>IF(AP86="-","-",VLOOKUP($A86,AMABat!$A$10:$AS$1137,CR$9,FALSE)-AP86)</f>
        <v>#N/A</v>
      </c>
      <c r="CS86" s="306" t="e">
        <f>IF(AQ86="-","-",VLOOKUP($A86,AMABat!$A$10:$AS$1137,CS$9,FALSE)-AQ86)</f>
        <v>#N/A</v>
      </c>
      <c r="CT86" s="84" t="e">
        <f t="shared" si="93"/>
        <v>#N/A</v>
      </c>
      <c r="CU86" s="84" t="e">
        <f t="shared" si="94"/>
        <v>#N/A</v>
      </c>
      <c r="CV86" s="84" t="e">
        <f t="shared" si="95"/>
        <v>#N/A</v>
      </c>
      <c r="CW86" s="84" t="e">
        <f t="shared" si="96"/>
        <v>#N/A</v>
      </c>
      <c r="CX86" s="84" t="e">
        <f t="shared" si="97"/>
        <v>#N/A</v>
      </c>
    </row>
    <row r="87" spans="1:102" x14ac:dyDescent="0.25">
      <c r="A87" s="306" t="s">
        <v>678</v>
      </c>
      <c r="B87" s="305" t="s">
        <v>534</v>
      </c>
      <c r="C87" s="305"/>
      <c r="D87" s="305" t="s">
        <v>32</v>
      </c>
      <c r="E87" s="305" t="s">
        <v>32</v>
      </c>
      <c r="F87" s="305" t="s">
        <v>81</v>
      </c>
      <c r="G87" t="s">
        <v>75</v>
      </c>
      <c r="H87" t="s">
        <v>1183</v>
      </c>
      <c r="I87" s="305" t="s">
        <v>1184</v>
      </c>
      <c r="J87" t="s">
        <v>802</v>
      </c>
      <c r="K87" t="s">
        <v>277</v>
      </c>
      <c r="L87">
        <v>22</v>
      </c>
      <c r="M87" t="s">
        <v>83</v>
      </c>
      <c r="N87" t="s">
        <v>83</v>
      </c>
      <c r="O87" t="s">
        <v>816</v>
      </c>
      <c r="P87" s="3" t="s">
        <v>808</v>
      </c>
      <c r="Q87" t="s">
        <v>199</v>
      </c>
      <c r="R87" s="3" t="s">
        <v>201</v>
      </c>
      <c r="S87">
        <v>3</v>
      </c>
      <c r="T87">
        <v>3</v>
      </c>
      <c r="U87">
        <v>2</v>
      </c>
      <c r="V87">
        <v>3</v>
      </c>
      <c r="W87" s="3">
        <v>3</v>
      </c>
      <c r="X87">
        <v>4</v>
      </c>
      <c r="Y87">
        <v>3</v>
      </c>
      <c r="Z87">
        <v>2</v>
      </c>
      <c r="AA87">
        <v>4</v>
      </c>
      <c r="AB87" s="3">
        <v>5</v>
      </c>
      <c r="AC87">
        <v>8</v>
      </c>
      <c r="AD87">
        <v>6</v>
      </c>
      <c r="AE87">
        <v>1</v>
      </c>
      <c r="AF87" s="305">
        <v>1</v>
      </c>
      <c r="AG87" t="s">
        <v>32</v>
      </c>
      <c r="AH87" t="s">
        <v>32</v>
      </c>
      <c r="AI87" t="s">
        <v>32</v>
      </c>
      <c r="AJ87">
        <v>3</v>
      </c>
      <c r="AK87">
        <v>1</v>
      </c>
      <c r="AL87" t="s">
        <v>32</v>
      </c>
      <c r="AM87" t="s">
        <v>32</v>
      </c>
      <c r="AN87" s="3" t="s">
        <v>32</v>
      </c>
      <c r="AO87">
        <v>4</v>
      </c>
      <c r="AP87">
        <v>1</v>
      </c>
      <c r="AQ87" s="3">
        <v>1</v>
      </c>
      <c r="AR87" t="s">
        <v>32</v>
      </c>
      <c r="AS87" s="3" t="s">
        <v>33</v>
      </c>
      <c r="AT87" s="372" t="s">
        <v>779</v>
      </c>
      <c r="AU87" s="6">
        <f t="shared" si="66"/>
        <v>1.1666666666666665</v>
      </c>
      <c r="AV87" s="9" t="str">
        <f t="shared" si="67"/>
        <v>Minors</v>
      </c>
      <c r="AW87" s="6">
        <f t="shared" si="68"/>
        <v>2.3333333333333335</v>
      </c>
      <c r="AX87" s="6" t="str">
        <f t="shared" si="69"/>
        <v>Minors</v>
      </c>
      <c r="AY87" s="9">
        <f t="shared" si="70"/>
        <v>2.3333333333333335</v>
      </c>
      <c r="AZ87" s="9" t="str">
        <f t="shared" si="71"/>
        <v>Minors</v>
      </c>
      <c r="BA87" s="297">
        <f t="shared" si="72"/>
        <v>0</v>
      </c>
      <c r="BB87" s="292">
        <f t="shared" si="73"/>
        <v>0</v>
      </c>
      <c r="BC87" s="292">
        <f t="shared" si="74"/>
        <v>0</v>
      </c>
      <c r="BD87" s="292">
        <f t="shared" si="75"/>
        <v>0</v>
      </c>
      <c r="BE87" s="292">
        <f t="shared" si="76"/>
        <v>0</v>
      </c>
      <c r="BF87" s="292">
        <f t="shared" si="77"/>
        <v>0</v>
      </c>
      <c r="BG87" s="292">
        <f t="shared" si="78"/>
        <v>0</v>
      </c>
      <c r="BH87" s="292">
        <f t="shared" si="79"/>
        <v>0</v>
      </c>
      <c r="BI87" s="293">
        <f t="shared" si="80"/>
        <v>0</v>
      </c>
      <c r="BJ87" s="297">
        <f t="shared" si="81"/>
        <v>0</v>
      </c>
      <c r="BK87" s="292">
        <f t="shared" si="82"/>
        <v>0</v>
      </c>
      <c r="BL87" s="292">
        <f t="shared" si="83"/>
        <v>0</v>
      </c>
      <c r="BM87" s="292">
        <f t="shared" si="84"/>
        <v>0</v>
      </c>
      <c r="BN87" s="292">
        <f t="shared" si="85"/>
        <v>0</v>
      </c>
      <c r="BO87" s="292">
        <f t="shared" si="86"/>
        <v>0</v>
      </c>
      <c r="BP87" s="292">
        <f t="shared" si="87"/>
        <v>0</v>
      </c>
      <c r="BQ87" s="292">
        <f t="shared" si="88"/>
        <v>0</v>
      </c>
      <c r="BR87" s="293">
        <f t="shared" si="89"/>
        <v>0</v>
      </c>
      <c r="BS87" s="293">
        <f t="shared" si="90"/>
        <v>0</v>
      </c>
      <c r="BT87" s="7">
        <f t="shared" si="91"/>
        <v>0</v>
      </c>
      <c r="BU87" t="str">
        <f t="shared" si="92"/>
        <v/>
      </c>
      <c r="BV87" s="306" t="e">
        <f>IF(S87="-","-",VLOOKUP($A87,AMABat!$A$10:$AS$1137,BV$9,FALSE)-S87)</f>
        <v>#N/A</v>
      </c>
      <c r="BW87" s="306" t="e">
        <f>IF(T87="-","-",VLOOKUP($A87,AMABat!$A$10:$AS$1137,BW$9,FALSE)-T87)</f>
        <v>#N/A</v>
      </c>
      <c r="BX87" s="306" t="e">
        <f>IF(U87="-","-",VLOOKUP($A87,AMABat!$A$10:$AS$1137,BX$9,FALSE)-U87)</f>
        <v>#N/A</v>
      </c>
      <c r="BY87" s="306" t="e">
        <f>IF(V87="-","-",VLOOKUP($A87,AMABat!$A$10:$AS$1137,BY$9,FALSE)-V87)</f>
        <v>#N/A</v>
      </c>
      <c r="BZ87" s="306" t="e">
        <f>IF(W87="-","-",VLOOKUP($A87,AMABat!$A$10:$AS$1137,BZ$9,FALSE)-W87)</f>
        <v>#N/A</v>
      </c>
      <c r="CA87" s="306" t="e">
        <f>IF(X87="-","-",VLOOKUP($A87,AMABat!$A$10:$AS$1137,CA$9,FALSE)-X87)</f>
        <v>#N/A</v>
      </c>
      <c r="CB87" s="306" t="e">
        <f>IF(Y87="-","-",VLOOKUP($A87,AMABat!$A$10:$AS$1137,CB$9,FALSE)-Y87)</f>
        <v>#N/A</v>
      </c>
      <c r="CC87" s="306" t="e">
        <f>IF(Z87="-","-",VLOOKUP($A87,AMABat!$A$10:$AS$1137,CC$9,FALSE)-Z87)</f>
        <v>#N/A</v>
      </c>
      <c r="CD87" s="306" t="e">
        <f>IF(AA87="-","-",VLOOKUP($A87,AMABat!$A$10:$AS$1137,CD$9,FALSE)-AA87)</f>
        <v>#N/A</v>
      </c>
      <c r="CE87" s="306" t="e">
        <f>IF(AB87="-","-",VLOOKUP($A87,AMABat!$A$10:$AS$1137,CE$9,FALSE)-AB87)</f>
        <v>#N/A</v>
      </c>
      <c r="CF87" s="306" t="e">
        <f>IF(AC87="-","-",VLOOKUP($A87,AMABat!$A$10:$AS$1137,CF$9,FALSE)-AC87)</f>
        <v>#N/A</v>
      </c>
      <c r="CG87" s="306" t="e">
        <f>IF(AD87="-","-",VLOOKUP($A87,AMABat!$A$10:$AS$1137,CG$9,FALSE)-AD87)</f>
        <v>#N/A</v>
      </c>
      <c r="CH87" s="306" t="e">
        <f>IF(AE87="-","-",VLOOKUP($A87,AMABat!$A$10:$AS$1137,CH$9,FALSE)-AE87)</f>
        <v>#N/A</v>
      </c>
      <c r="CI87" s="306" t="str">
        <f>IF(AG87="-","-",VLOOKUP($A87,AMABat!$A$10:$AS$1137,CI$9,FALSE)-AG87)</f>
        <v>-</v>
      </c>
      <c r="CJ87" s="306" t="str">
        <f>IF(AH87="-","-",VLOOKUP($A87,AMABat!$A$10:$AS$1137,CJ$9,FALSE)-AH87)</f>
        <v>-</v>
      </c>
      <c r="CK87" s="306" t="str">
        <f>IF(AI87="-","-",VLOOKUP($A87,AMABat!$A$10:$AS$1137,CK$9,FALSE)-AI87)</f>
        <v>-</v>
      </c>
      <c r="CL87" s="306" t="e">
        <f>IF(AJ87="-","-",VLOOKUP($A87,AMABat!$A$10:$AS$1137,CL$9,FALSE)-AJ87)</f>
        <v>#N/A</v>
      </c>
      <c r="CM87" s="306" t="e">
        <f>IF(AK87="-","-",VLOOKUP($A87,AMABat!$A$10:$AS$1137,CM$9,FALSE)-AK87)</f>
        <v>#N/A</v>
      </c>
      <c r="CN87" s="306" t="str">
        <f>IF(AL87="-","-",VLOOKUP($A87,AMABat!$A$10:$AS$1137,CN$9,FALSE)-AL87)</f>
        <v>-</v>
      </c>
      <c r="CO87" s="306" t="str">
        <f>IF(AM87="-","-",VLOOKUP($A87,AMABat!$A$10:$AS$1137,CO$9,FALSE)-AM87)</f>
        <v>-</v>
      </c>
      <c r="CP87" s="306" t="str">
        <f>IF(AN87="-","-",VLOOKUP($A87,AMABat!$A$10:$AS$1137,CP$9,FALSE)-AN87)</f>
        <v>-</v>
      </c>
      <c r="CQ87" s="306" t="e">
        <f>IF(AO87="-","-",VLOOKUP($A87,AMABat!$A$10:$AS$1137,CQ$9,FALSE)-AO87)</f>
        <v>#N/A</v>
      </c>
      <c r="CR87" s="306" t="e">
        <f>IF(AP87="-","-",VLOOKUP($A87,AMABat!$A$10:$AS$1137,CR$9,FALSE)-AP87)</f>
        <v>#N/A</v>
      </c>
      <c r="CS87" s="306" t="e">
        <f>IF(AQ87="-","-",VLOOKUP($A87,AMABat!$A$10:$AS$1137,CS$9,FALSE)-AQ87)</f>
        <v>#N/A</v>
      </c>
      <c r="CT87" s="84" t="e">
        <f t="shared" si="93"/>
        <v>#N/A</v>
      </c>
      <c r="CU87" s="84" t="e">
        <f t="shared" si="94"/>
        <v>#N/A</v>
      </c>
      <c r="CV87" s="84" t="e">
        <f t="shared" si="95"/>
        <v>#N/A</v>
      </c>
      <c r="CW87" s="84" t="e">
        <f t="shared" si="96"/>
        <v>#N/A</v>
      </c>
      <c r="CX87" s="84" t="e">
        <f t="shared" si="97"/>
        <v>#N/A</v>
      </c>
    </row>
    <row r="88" spans="1:102" x14ac:dyDescent="0.25">
      <c r="A88" s="306" t="s">
        <v>679</v>
      </c>
      <c r="B88" s="305" t="s">
        <v>534</v>
      </c>
      <c r="C88" s="305"/>
      <c r="D88" s="305" t="s">
        <v>32</v>
      </c>
      <c r="E88" s="305" t="s">
        <v>32</v>
      </c>
      <c r="F88" s="305" t="s">
        <v>81</v>
      </c>
      <c r="G88" t="s">
        <v>78</v>
      </c>
      <c r="H88" t="s">
        <v>822</v>
      </c>
      <c r="I88" s="305" t="s">
        <v>823</v>
      </c>
      <c r="J88" t="s">
        <v>814</v>
      </c>
      <c r="K88" t="s">
        <v>187</v>
      </c>
      <c r="L88">
        <v>24</v>
      </c>
      <c r="M88" t="s">
        <v>83</v>
      </c>
      <c r="N88" t="s">
        <v>83</v>
      </c>
      <c r="O88" t="s">
        <v>808</v>
      </c>
      <c r="P88" s="3" t="s">
        <v>773</v>
      </c>
      <c r="Q88" t="s">
        <v>201</v>
      </c>
      <c r="R88" s="3" t="s">
        <v>199</v>
      </c>
      <c r="S88">
        <v>3</v>
      </c>
      <c r="T88">
        <v>4</v>
      </c>
      <c r="U88">
        <v>2</v>
      </c>
      <c r="V88">
        <v>3</v>
      </c>
      <c r="W88" s="3">
        <v>7</v>
      </c>
      <c r="X88">
        <v>4</v>
      </c>
      <c r="Y88">
        <v>4</v>
      </c>
      <c r="Z88">
        <v>2</v>
      </c>
      <c r="AA88">
        <v>4</v>
      </c>
      <c r="AB88" s="3">
        <v>7</v>
      </c>
      <c r="AC88">
        <v>2</v>
      </c>
      <c r="AD88">
        <v>6</v>
      </c>
      <c r="AE88">
        <v>1</v>
      </c>
      <c r="AF88" s="305">
        <v>1</v>
      </c>
      <c r="AG88" t="s">
        <v>32</v>
      </c>
      <c r="AH88" t="s">
        <v>32</v>
      </c>
      <c r="AI88" t="s">
        <v>32</v>
      </c>
      <c r="AJ88" t="s">
        <v>32</v>
      </c>
      <c r="AK88" t="s">
        <v>32</v>
      </c>
      <c r="AL88">
        <v>2</v>
      </c>
      <c r="AM88">
        <v>6</v>
      </c>
      <c r="AN88" s="3">
        <v>7</v>
      </c>
      <c r="AO88">
        <v>10</v>
      </c>
      <c r="AP88">
        <v>10</v>
      </c>
      <c r="AQ88" s="3">
        <v>10</v>
      </c>
      <c r="AR88" t="s">
        <v>32</v>
      </c>
      <c r="AS88" s="3" t="s">
        <v>33</v>
      </c>
      <c r="AT88" s="372" t="s">
        <v>199</v>
      </c>
      <c r="AU88" s="22">
        <f t="shared" ref="AU88:AU90" si="98">AVERAGE(S88,U88,V88)+IF(OR(S88&gt;7,AND(S88&gt;5,V88&gt;5)),0.5,0)+IF(U88&gt;7,0.25,0)+IF(S88&lt;6,-0.5*(6-S88),0)</f>
        <v>1.1666666666666665</v>
      </c>
      <c r="AV88" s="23" t="str">
        <f t="shared" ref="AV88:AV90" si="99">IF(AU88&gt;9,"SuperStar",IF(AU88&gt;8,"Star",IF(AU88&gt;6.5,"GoodReg",IF(AU88&gt;5,"Reg",IF(AU88&gt;4,"Bench","Minors")))))</f>
        <v>Minors</v>
      </c>
      <c r="AW88" s="22">
        <f t="shared" ref="AW88:AW90" si="100">AVERAGE(X88,Z88,AA88)+IF(OR(X88&gt;7,AND(X88&gt;5,AA88&gt;5)),0.5,0)+IF(Z88&gt;7,0.25,0)+IF(X88&lt;6,-0.5*(6-X88),0)</f>
        <v>2.3333333333333335</v>
      </c>
      <c r="AX88" s="22" t="str">
        <f t="shared" ref="AX88:AX90" si="101">IF(AW88&gt;9,"SuperStar",IF(AW88&gt;8,"Star",IF(AW88&gt;6.5,"GoodReg",IF(AW88&gt;5,"Reg",IF(AW88&gt;4,"Bench","Minors")))))</f>
        <v>Minors</v>
      </c>
      <c r="AY88" s="23">
        <f t="shared" ref="AY88:AY90" si="102">MIN(AU88+(MAX(0,25-L88))^1.5,AW88)</f>
        <v>2.1666666666666665</v>
      </c>
      <c r="AZ88" s="23" t="str">
        <f t="shared" ref="AZ88:AZ90" si="103">IF(AY88&gt;9,"SuperStar",IF(AY88&gt;8,"Star",IF(AY88&gt;6.5,"GoodReg",IF(AY88&gt;5,"Reg",IF(AY88&gt;4,"Bench","Minors")))))</f>
        <v>Minors</v>
      </c>
      <c r="BA88" s="64">
        <f t="shared" ref="BA88:BA90" si="104">IF(AND(OR(S88+V88&gt;12,AND(S88&gt;6,V88&gt;6)),AO88&gt;6,OR(AP88&gt;=AO88,AP88&gt;6)),1,0)</f>
        <v>0</v>
      </c>
      <c r="BB88" s="65">
        <f t="shared" ref="BB88:BB90" si="105">IF(OR(AND(S88&gt;6,W88&gt;6),S88+V88&gt;12),1,0)</f>
        <v>0</v>
      </c>
      <c r="BC88" s="65">
        <f t="shared" ref="BC88:BC90" si="106">IF(AND(S88&gt;6,U88&gt;6,V88&gt;6),1,0)</f>
        <v>0</v>
      </c>
      <c r="BD88" s="65">
        <f t="shared" ref="BD88:BD90" si="107">IF(AND(U88&gt;7,OR(S88&gt;6,V88&gt;6)),1,0)</f>
        <v>0</v>
      </c>
      <c r="BE88" s="65">
        <f t="shared" ref="BE88:BE90" si="108">IF(AND(U88&gt;6,OR(S88&gt;6,V88&gt;6)),1,0)</f>
        <v>0</v>
      </c>
      <c r="BF88" s="65">
        <f t="shared" ref="BF88:BF90" si="109">IF(AND(OR(S88&gt;6,U88&gt;6),OR(S88&gt;6,V88&gt;6)),1,0)</f>
        <v>0</v>
      </c>
      <c r="BG88" s="65">
        <f t="shared" ref="BG88:BG90" si="110">IF(AND(S88&gt;4,OR(S88&gt;6,U88&gt;6,V88&gt;6)),1,0)</f>
        <v>0</v>
      </c>
      <c r="BH88" s="65">
        <f t="shared" ref="BH88:BH90" si="111">IF(AND(S88&gt;4,OR(S88&gt;6,T88&gt;6,U88&gt;6,V88&gt;6)),1,0)</f>
        <v>0</v>
      </c>
      <c r="BI88" s="21">
        <f t="shared" ref="BI88:BI90" si="112">IF(AND(S88&gt;4,MAX(S88:W88)&gt;6),1,0)</f>
        <v>0</v>
      </c>
      <c r="BJ88" s="64">
        <f t="shared" ref="BJ88:BJ90" si="113">IF(AND(OR(X88+AA88&gt;12,AND(X88&gt;6,AA88&gt;6)),AO88&gt;6,OR(AP88&gt;=AO88,AP88&gt;6)),1,0)</f>
        <v>0</v>
      </c>
      <c r="BK88" s="65">
        <f t="shared" ref="BK88:BK90" si="114">IF(OR(AND(X88&gt;6,AB88&gt;6),X88+AA88&gt;12),1,0)</f>
        <v>0</v>
      </c>
      <c r="BL88" s="65">
        <f t="shared" ref="BL88:BL90" si="115">IF(AND(X88&gt;6,Z88&gt;6,AA88&gt;6),1,0)</f>
        <v>0</v>
      </c>
      <c r="BM88" s="65">
        <f t="shared" ref="BM88:BM90" si="116">IF(AND(Z88&gt;7,OR(X88&gt;6,AA88&gt;6)),1,0)</f>
        <v>0</v>
      </c>
      <c r="BN88" s="65">
        <f t="shared" ref="BN88:BN90" si="117">IF(AND(Z88&gt;6,OR(X88&gt;6,AA88&gt;6)),1,0)</f>
        <v>0</v>
      </c>
      <c r="BO88" s="65">
        <f t="shared" ref="BO88:BO90" si="118">IF(AND(OR(X88&gt;6,Z88&gt;6),OR(X88&gt;6,AA88&gt;6)),1,0)</f>
        <v>0</v>
      </c>
      <c r="BP88" s="65">
        <f t="shared" ref="BP88:BP90" si="119">IF(AND(X88&gt;4,OR(X88&gt;6,Z88&gt;6,AA88&gt;6)),1,0)</f>
        <v>0</v>
      </c>
      <c r="BQ88" s="65">
        <f t="shared" ref="BQ88:BQ90" si="120">IF(AND(X88&gt;4,OR(X88&gt;6,Y88&gt;6,Z88&gt;6,AA88&gt;6)),1,0)</f>
        <v>0</v>
      </c>
      <c r="BR88" s="21">
        <f t="shared" ref="BR88:BR90" si="121">IF(AND(X88&gt;4,MAX(X88:AB88)&gt;6),1,0)</f>
        <v>0</v>
      </c>
      <c r="BS88" s="21">
        <f t="shared" ref="BS88:BS90" si="122">IF(AVERAGE(AO88:AP88)&gt;9,1,0)+IF(AVERAGE(AO88:AP88)&gt;7,1,0)+IF(AO88&gt;7,1,0)+IF(AP88&gt;7,1,0)+IF(AQ88&gt;8,1,0)+IF(AQ88&gt;6,1,0)</f>
        <v>6</v>
      </c>
      <c r="BT88" s="24">
        <f t="shared" ref="BT88:BT90" si="123">IF(OR(MAX(AG88,AH88,AL88,AN88)&gt;6,MAX(AI88,AJ88,AK88,AM88)&gt;7),2,IF(MAX(AG88:AN88)&gt;4,1,0))</f>
        <v>2</v>
      </c>
      <c r="BU88" s="20" t="str">
        <f t="shared" ref="BU88:BU90" si="124">IF(AS88=1,"Yes","")</f>
        <v/>
      </c>
      <c r="BV88" s="306" t="e">
        <f>IF(S88="-","-",VLOOKUP($A88,AMABat!$A$10:$AS$1137,BV$9,FALSE)-S88)</f>
        <v>#N/A</v>
      </c>
      <c r="BW88" s="306" t="e">
        <f>IF(T88="-","-",VLOOKUP($A88,AMABat!$A$10:$AS$1137,BW$9,FALSE)-T88)</f>
        <v>#N/A</v>
      </c>
      <c r="BX88" s="306" t="e">
        <f>IF(U88="-","-",VLOOKUP($A88,AMABat!$A$10:$AS$1137,BX$9,FALSE)-U88)</f>
        <v>#N/A</v>
      </c>
      <c r="BY88" s="306" t="e">
        <f>IF(V88="-","-",VLOOKUP($A88,AMABat!$A$10:$AS$1137,BY$9,FALSE)-V88)</f>
        <v>#N/A</v>
      </c>
      <c r="BZ88" s="306" t="e">
        <f>IF(W88="-","-",VLOOKUP($A88,AMABat!$A$10:$AS$1137,BZ$9,FALSE)-W88)</f>
        <v>#N/A</v>
      </c>
      <c r="CA88" s="306" t="e">
        <f>IF(X88="-","-",VLOOKUP($A88,AMABat!$A$10:$AS$1137,CA$9,FALSE)-X88)</f>
        <v>#N/A</v>
      </c>
      <c r="CB88" s="306" t="e">
        <f>IF(Y88="-","-",VLOOKUP($A88,AMABat!$A$10:$AS$1137,CB$9,FALSE)-Y88)</f>
        <v>#N/A</v>
      </c>
      <c r="CC88" s="306" t="e">
        <f>IF(Z88="-","-",VLOOKUP($A88,AMABat!$A$10:$AS$1137,CC$9,FALSE)-Z88)</f>
        <v>#N/A</v>
      </c>
      <c r="CD88" s="306" t="e">
        <f>IF(AA88="-","-",VLOOKUP($A88,AMABat!$A$10:$AS$1137,CD$9,FALSE)-AA88)</f>
        <v>#N/A</v>
      </c>
      <c r="CE88" s="306" t="e">
        <f>IF(AB88="-","-",VLOOKUP($A88,AMABat!$A$10:$AS$1137,CE$9,FALSE)-AB88)</f>
        <v>#N/A</v>
      </c>
      <c r="CF88" s="306" t="e">
        <f>IF(AC88="-","-",VLOOKUP($A88,AMABat!$A$10:$AS$1137,CF$9,FALSE)-AC88)</f>
        <v>#N/A</v>
      </c>
      <c r="CG88" s="306" t="e">
        <f>IF(AD88="-","-",VLOOKUP($A88,AMABat!$A$10:$AS$1137,CG$9,FALSE)-AD88)</f>
        <v>#N/A</v>
      </c>
      <c r="CH88" s="306" t="e">
        <f>IF(AE88="-","-",VLOOKUP($A88,AMABat!$A$10:$AS$1137,CH$9,FALSE)-AE88)</f>
        <v>#N/A</v>
      </c>
      <c r="CI88" s="306" t="str">
        <f>IF(AG88="-","-",VLOOKUP($A88,AMABat!$A$10:$AS$1137,CI$9,FALSE)-AG88)</f>
        <v>-</v>
      </c>
      <c r="CJ88" s="306" t="str">
        <f>IF(AH88="-","-",VLOOKUP($A88,AMABat!$A$10:$AS$1137,CJ$9,FALSE)-AH88)</f>
        <v>-</v>
      </c>
      <c r="CK88" s="306" t="str">
        <f>IF(AI88="-","-",VLOOKUP($A88,AMABat!$A$10:$AS$1137,CK$9,FALSE)-AI88)</f>
        <v>-</v>
      </c>
      <c r="CL88" s="306" t="str">
        <f>IF(AJ88="-","-",VLOOKUP($A88,AMABat!$A$10:$AS$1137,CL$9,FALSE)-AJ88)</f>
        <v>-</v>
      </c>
      <c r="CM88" s="306" t="str">
        <f>IF(AK88="-","-",VLOOKUP($A88,AMABat!$A$10:$AS$1137,CM$9,FALSE)-AK88)</f>
        <v>-</v>
      </c>
      <c r="CN88" s="306" t="e">
        <f>IF(AL88="-","-",VLOOKUP($A88,AMABat!$A$10:$AS$1137,CN$9,FALSE)-AL88)</f>
        <v>#N/A</v>
      </c>
      <c r="CO88" s="306" t="e">
        <f>IF(AM88="-","-",VLOOKUP($A88,AMABat!$A$10:$AS$1137,CO$9,FALSE)-AM88)</f>
        <v>#N/A</v>
      </c>
      <c r="CP88" s="306" t="e">
        <f>IF(AN88="-","-",VLOOKUP($A88,AMABat!$A$10:$AS$1137,CP$9,FALSE)-AN88)</f>
        <v>#N/A</v>
      </c>
      <c r="CQ88" s="306" t="e">
        <f>IF(AO88="-","-",VLOOKUP($A88,AMABat!$A$10:$AS$1137,CQ$9,FALSE)-AO88)</f>
        <v>#N/A</v>
      </c>
      <c r="CR88" s="306" t="e">
        <f>IF(AP88="-","-",VLOOKUP($A88,AMABat!$A$10:$AS$1137,CR$9,FALSE)-AP88)</f>
        <v>#N/A</v>
      </c>
      <c r="CS88" s="306" t="e">
        <f>IF(AQ88="-","-",VLOOKUP($A88,AMABat!$A$10:$AS$1137,CS$9,FALSE)-AQ88)</f>
        <v>#N/A</v>
      </c>
      <c r="CT88" s="306" t="e">
        <f t="shared" ref="CT88:CT90" si="125">SUM(BV88:BZ88)</f>
        <v>#N/A</v>
      </c>
      <c r="CU88" s="306" t="e">
        <f t="shared" ref="CU88:CU90" si="126">SUM(CA88:CE88)</f>
        <v>#N/A</v>
      </c>
      <c r="CV88" s="306" t="e">
        <f t="shared" ref="CV88:CV90" si="127">SUM(CF88:CP88)</f>
        <v>#N/A</v>
      </c>
      <c r="CW88" s="306" t="e">
        <f t="shared" ref="CW88:CW90" si="128">SUM(CQ88:CS88)</f>
        <v>#N/A</v>
      </c>
      <c r="CX88" s="306" t="e">
        <f t="shared" ref="CX88:CX90" si="129">SUM(CT88:CW88)</f>
        <v>#N/A</v>
      </c>
    </row>
    <row r="89" spans="1:102" x14ac:dyDescent="0.25">
      <c r="A89" s="306" t="s">
        <v>680</v>
      </c>
      <c r="B89" s="305" t="s">
        <v>534</v>
      </c>
      <c r="C89" s="305"/>
      <c r="D89" s="305" t="s">
        <v>32</v>
      </c>
      <c r="E89" s="305" t="s">
        <v>32</v>
      </c>
      <c r="F89" s="305" t="s">
        <v>72</v>
      </c>
      <c r="G89" t="s">
        <v>75</v>
      </c>
      <c r="H89" t="s">
        <v>856</v>
      </c>
      <c r="I89" s="305" t="s">
        <v>408</v>
      </c>
      <c r="J89" t="s">
        <v>814</v>
      </c>
      <c r="K89" t="s">
        <v>187</v>
      </c>
      <c r="L89">
        <v>23</v>
      </c>
      <c r="M89" t="s">
        <v>83</v>
      </c>
      <c r="N89" t="s">
        <v>83</v>
      </c>
      <c r="O89" t="s">
        <v>803</v>
      </c>
      <c r="P89" s="3" t="s">
        <v>808</v>
      </c>
      <c r="Q89" t="s">
        <v>199</v>
      </c>
      <c r="R89" s="3" t="s">
        <v>201</v>
      </c>
      <c r="S89">
        <v>3</v>
      </c>
      <c r="T89">
        <v>4</v>
      </c>
      <c r="U89">
        <v>2</v>
      </c>
      <c r="V89">
        <v>3</v>
      </c>
      <c r="W89" s="3">
        <v>4</v>
      </c>
      <c r="X89">
        <v>3</v>
      </c>
      <c r="Y89">
        <v>4</v>
      </c>
      <c r="Z89">
        <v>2</v>
      </c>
      <c r="AA89">
        <v>3</v>
      </c>
      <c r="AB89" s="3">
        <v>6</v>
      </c>
      <c r="AC89">
        <v>10</v>
      </c>
      <c r="AD89">
        <v>9</v>
      </c>
      <c r="AE89">
        <v>1</v>
      </c>
      <c r="AF89" s="305">
        <v>1</v>
      </c>
      <c r="AG89" t="s">
        <v>32</v>
      </c>
      <c r="AH89">
        <v>7</v>
      </c>
      <c r="AI89">
        <v>2</v>
      </c>
      <c r="AJ89">
        <v>7</v>
      </c>
      <c r="AK89" t="s">
        <v>32</v>
      </c>
      <c r="AL89" t="s">
        <v>32</v>
      </c>
      <c r="AM89" t="s">
        <v>32</v>
      </c>
      <c r="AN89" s="3" t="s">
        <v>32</v>
      </c>
      <c r="AO89">
        <v>5</v>
      </c>
      <c r="AP89">
        <v>6</v>
      </c>
      <c r="AQ89" s="3">
        <v>3</v>
      </c>
      <c r="AR89" t="s">
        <v>32</v>
      </c>
      <c r="AS89" s="3" t="s">
        <v>33</v>
      </c>
      <c r="AT89" s="372" t="s">
        <v>199</v>
      </c>
      <c r="AU89" s="6">
        <f t="shared" si="98"/>
        <v>1.1666666666666665</v>
      </c>
      <c r="AV89" s="9" t="str">
        <f t="shared" si="99"/>
        <v>Minors</v>
      </c>
      <c r="AW89" s="6">
        <f t="shared" si="100"/>
        <v>1.1666666666666665</v>
      </c>
      <c r="AX89" s="6" t="str">
        <f t="shared" si="101"/>
        <v>Minors</v>
      </c>
      <c r="AY89" s="9">
        <f t="shared" si="102"/>
        <v>1.1666666666666665</v>
      </c>
      <c r="AZ89" s="9" t="str">
        <f t="shared" si="103"/>
        <v>Minors</v>
      </c>
      <c r="BA89" s="320">
        <f t="shared" si="104"/>
        <v>0</v>
      </c>
      <c r="BB89" s="318">
        <f t="shared" si="105"/>
        <v>0</v>
      </c>
      <c r="BC89" s="318">
        <f t="shared" si="106"/>
        <v>0</v>
      </c>
      <c r="BD89" s="318">
        <f t="shared" si="107"/>
        <v>0</v>
      </c>
      <c r="BE89" s="318">
        <f t="shared" si="108"/>
        <v>0</v>
      </c>
      <c r="BF89" s="318">
        <f t="shared" si="109"/>
        <v>0</v>
      </c>
      <c r="BG89" s="318">
        <f t="shared" si="110"/>
        <v>0</v>
      </c>
      <c r="BH89" s="318">
        <f t="shared" si="111"/>
        <v>0</v>
      </c>
      <c r="BI89" s="319">
        <f t="shared" si="112"/>
        <v>0</v>
      </c>
      <c r="BJ89" s="320">
        <f t="shared" si="113"/>
        <v>0</v>
      </c>
      <c r="BK89" s="318">
        <f t="shared" si="114"/>
        <v>0</v>
      </c>
      <c r="BL89" s="318">
        <f t="shared" si="115"/>
        <v>0</v>
      </c>
      <c r="BM89" s="318">
        <f t="shared" si="116"/>
        <v>0</v>
      </c>
      <c r="BN89" s="318">
        <f t="shared" si="117"/>
        <v>0</v>
      </c>
      <c r="BO89" s="318">
        <f t="shared" si="118"/>
        <v>0</v>
      </c>
      <c r="BP89" s="318">
        <f t="shared" si="119"/>
        <v>0</v>
      </c>
      <c r="BQ89" s="318">
        <f t="shared" si="120"/>
        <v>0</v>
      </c>
      <c r="BR89" s="319">
        <f t="shared" si="121"/>
        <v>0</v>
      </c>
      <c r="BS89" s="319">
        <f t="shared" si="122"/>
        <v>0</v>
      </c>
      <c r="BT89" s="7">
        <f t="shared" si="123"/>
        <v>2</v>
      </c>
      <c r="BU89" s="305" t="str">
        <f t="shared" si="124"/>
        <v/>
      </c>
      <c r="BV89" s="306" t="e">
        <f>IF(S89="-","-",VLOOKUP($A89,AMABat!$A$10:$AS$1137,BV$9,FALSE)-S89)</f>
        <v>#N/A</v>
      </c>
      <c r="BW89" s="306" t="e">
        <f>IF(T89="-","-",VLOOKUP($A89,AMABat!$A$10:$AS$1137,BW$9,FALSE)-T89)</f>
        <v>#N/A</v>
      </c>
      <c r="BX89" s="306" t="e">
        <f>IF(U89="-","-",VLOOKUP($A89,AMABat!$A$10:$AS$1137,BX$9,FALSE)-U89)</f>
        <v>#N/A</v>
      </c>
      <c r="BY89" s="306" t="e">
        <f>IF(V89="-","-",VLOOKUP($A89,AMABat!$A$10:$AS$1137,BY$9,FALSE)-V89)</f>
        <v>#N/A</v>
      </c>
      <c r="BZ89" s="306" t="e">
        <f>IF(W89="-","-",VLOOKUP($A89,AMABat!$A$10:$AS$1137,BZ$9,FALSE)-W89)</f>
        <v>#N/A</v>
      </c>
      <c r="CA89" s="306" t="e">
        <f>IF(X89="-","-",VLOOKUP($A89,AMABat!$A$10:$AS$1137,CA$9,FALSE)-X89)</f>
        <v>#N/A</v>
      </c>
      <c r="CB89" s="306" t="e">
        <f>IF(Y89="-","-",VLOOKUP($A89,AMABat!$A$10:$AS$1137,CB$9,FALSE)-Y89)</f>
        <v>#N/A</v>
      </c>
      <c r="CC89" s="306" t="e">
        <f>IF(Z89="-","-",VLOOKUP($A89,AMABat!$A$10:$AS$1137,CC$9,FALSE)-Z89)</f>
        <v>#N/A</v>
      </c>
      <c r="CD89" s="306" t="e">
        <f>IF(AA89="-","-",VLOOKUP($A89,AMABat!$A$10:$AS$1137,CD$9,FALSE)-AA89)</f>
        <v>#N/A</v>
      </c>
      <c r="CE89" s="306" t="e">
        <f>IF(AB89="-","-",VLOOKUP($A89,AMABat!$A$10:$AS$1137,CE$9,FALSE)-AB89)</f>
        <v>#N/A</v>
      </c>
      <c r="CF89" s="306" t="e">
        <f>IF(AC89="-","-",VLOOKUP($A89,AMABat!$A$10:$AS$1137,CF$9,FALSE)-AC89)</f>
        <v>#N/A</v>
      </c>
      <c r="CG89" s="306" t="e">
        <f>IF(AD89="-","-",VLOOKUP($A89,AMABat!$A$10:$AS$1137,CG$9,FALSE)-AD89)</f>
        <v>#N/A</v>
      </c>
      <c r="CH89" s="306" t="e">
        <f>IF(AE89="-","-",VLOOKUP($A89,AMABat!$A$10:$AS$1137,CH$9,FALSE)-AE89)</f>
        <v>#N/A</v>
      </c>
      <c r="CI89" s="306" t="str">
        <f>IF(AG89="-","-",VLOOKUP($A89,AMABat!$A$10:$AS$1137,CI$9,FALSE)-AG89)</f>
        <v>-</v>
      </c>
      <c r="CJ89" s="306" t="e">
        <f>IF(AH89="-","-",VLOOKUP($A89,AMABat!$A$10:$AS$1137,CJ$9,FALSE)-AH89)</f>
        <v>#N/A</v>
      </c>
      <c r="CK89" s="306" t="e">
        <f>IF(AI89="-","-",VLOOKUP($A89,AMABat!$A$10:$AS$1137,CK$9,FALSE)-AI89)</f>
        <v>#N/A</v>
      </c>
      <c r="CL89" s="306" t="e">
        <f>IF(AJ89="-","-",VLOOKUP($A89,AMABat!$A$10:$AS$1137,CL$9,FALSE)-AJ89)</f>
        <v>#N/A</v>
      </c>
      <c r="CM89" s="306" t="str">
        <f>IF(AK89="-","-",VLOOKUP($A89,AMABat!$A$10:$AS$1137,CM$9,FALSE)-AK89)</f>
        <v>-</v>
      </c>
      <c r="CN89" s="306" t="str">
        <f>IF(AL89="-","-",VLOOKUP($A89,AMABat!$A$10:$AS$1137,CN$9,FALSE)-AL89)</f>
        <v>-</v>
      </c>
      <c r="CO89" s="306" t="str">
        <f>IF(AM89="-","-",VLOOKUP($A89,AMABat!$A$10:$AS$1137,CO$9,FALSE)-AM89)</f>
        <v>-</v>
      </c>
      <c r="CP89" s="306" t="str">
        <f>IF(AN89="-","-",VLOOKUP($A89,AMABat!$A$10:$AS$1137,CP$9,FALSE)-AN89)</f>
        <v>-</v>
      </c>
      <c r="CQ89" s="306" t="e">
        <f>IF(AO89="-","-",VLOOKUP($A89,AMABat!$A$10:$AS$1137,CQ$9,FALSE)-AO89)</f>
        <v>#N/A</v>
      </c>
      <c r="CR89" s="306" t="e">
        <f>IF(AP89="-","-",VLOOKUP($A89,AMABat!$A$10:$AS$1137,CR$9,FALSE)-AP89)</f>
        <v>#N/A</v>
      </c>
      <c r="CS89" s="306" t="e">
        <f>IF(AQ89="-","-",VLOOKUP($A89,AMABat!$A$10:$AS$1137,CS$9,FALSE)-AQ89)</f>
        <v>#N/A</v>
      </c>
      <c r="CT89" s="306" t="e">
        <f t="shared" si="125"/>
        <v>#N/A</v>
      </c>
      <c r="CU89" s="306" t="e">
        <f t="shared" si="126"/>
        <v>#N/A</v>
      </c>
      <c r="CV89" s="306" t="e">
        <f t="shared" si="127"/>
        <v>#N/A</v>
      </c>
      <c r="CW89" s="306" t="e">
        <f t="shared" si="128"/>
        <v>#N/A</v>
      </c>
      <c r="CX89" s="306" t="e">
        <f t="shared" si="129"/>
        <v>#N/A</v>
      </c>
    </row>
    <row r="90" spans="1:102" x14ac:dyDescent="0.25">
      <c r="A90" s="306" t="s">
        <v>681</v>
      </c>
      <c r="B90" s="305" t="s">
        <v>534</v>
      </c>
      <c r="C90" s="305"/>
      <c r="D90" s="305" t="s">
        <v>32</v>
      </c>
      <c r="E90" s="305" t="s">
        <v>32</v>
      </c>
      <c r="F90" s="305" t="s">
        <v>81</v>
      </c>
      <c r="G90" t="s">
        <v>71</v>
      </c>
      <c r="H90" t="s">
        <v>888</v>
      </c>
      <c r="I90" s="305" t="s">
        <v>889</v>
      </c>
      <c r="J90" t="s">
        <v>810</v>
      </c>
      <c r="K90" t="s">
        <v>83</v>
      </c>
      <c r="L90">
        <v>19</v>
      </c>
      <c r="M90" t="s">
        <v>85</v>
      </c>
      <c r="N90" t="s">
        <v>83</v>
      </c>
      <c r="O90" t="s">
        <v>816</v>
      </c>
      <c r="P90" s="3" t="s">
        <v>764</v>
      </c>
      <c r="Q90" t="s">
        <v>199</v>
      </c>
      <c r="R90" s="3" t="s">
        <v>200</v>
      </c>
      <c r="S90">
        <v>2</v>
      </c>
      <c r="T90">
        <v>4</v>
      </c>
      <c r="U90">
        <v>3</v>
      </c>
      <c r="V90">
        <v>4</v>
      </c>
      <c r="W90" s="3">
        <v>1</v>
      </c>
      <c r="X90">
        <v>4</v>
      </c>
      <c r="Y90">
        <v>7</v>
      </c>
      <c r="Z90">
        <v>5</v>
      </c>
      <c r="AA90">
        <v>7</v>
      </c>
      <c r="AB90" s="3">
        <v>3</v>
      </c>
      <c r="AC90">
        <v>3</v>
      </c>
      <c r="AD90">
        <v>3</v>
      </c>
      <c r="AE90">
        <v>6</v>
      </c>
      <c r="AF90" s="305">
        <v>7</v>
      </c>
      <c r="AG90">
        <v>2</v>
      </c>
      <c r="AH90" t="s">
        <v>32</v>
      </c>
      <c r="AI90" t="s">
        <v>32</v>
      </c>
      <c r="AJ90" t="s">
        <v>32</v>
      </c>
      <c r="AK90" t="s">
        <v>32</v>
      </c>
      <c r="AL90" t="s">
        <v>32</v>
      </c>
      <c r="AM90" t="s">
        <v>32</v>
      </c>
      <c r="AN90" s="3" t="s">
        <v>32</v>
      </c>
      <c r="AO90">
        <v>3</v>
      </c>
      <c r="AP90">
        <v>2</v>
      </c>
      <c r="AQ90" s="3">
        <v>4</v>
      </c>
      <c r="AR90" t="s">
        <v>32</v>
      </c>
      <c r="AS90" s="3" t="s">
        <v>33</v>
      </c>
      <c r="AT90" s="372" t="s">
        <v>199</v>
      </c>
      <c r="AU90" s="22">
        <f t="shared" si="98"/>
        <v>1</v>
      </c>
      <c r="AV90" s="23" t="str">
        <f t="shared" si="99"/>
        <v>Minors</v>
      </c>
      <c r="AW90" s="22">
        <f t="shared" si="100"/>
        <v>4.333333333333333</v>
      </c>
      <c r="AX90" s="22" t="str">
        <f t="shared" si="101"/>
        <v>Bench</v>
      </c>
      <c r="AY90" s="23">
        <f t="shared" si="102"/>
        <v>4.333333333333333</v>
      </c>
      <c r="AZ90" s="23" t="str">
        <f t="shared" si="103"/>
        <v>Bench</v>
      </c>
      <c r="BA90" s="64">
        <f t="shared" si="104"/>
        <v>0</v>
      </c>
      <c r="BB90" s="65">
        <f t="shared" si="105"/>
        <v>0</v>
      </c>
      <c r="BC90" s="65">
        <f t="shared" si="106"/>
        <v>0</v>
      </c>
      <c r="BD90" s="65">
        <f t="shared" si="107"/>
        <v>0</v>
      </c>
      <c r="BE90" s="65">
        <f t="shared" si="108"/>
        <v>0</v>
      </c>
      <c r="BF90" s="65">
        <f t="shared" si="109"/>
        <v>0</v>
      </c>
      <c r="BG90" s="65">
        <f t="shared" si="110"/>
        <v>0</v>
      </c>
      <c r="BH90" s="65">
        <f t="shared" si="111"/>
        <v>0</v>
      </c>
      <c r="BI90" s="21">
        <f t="shared" si="112"/>
        <v>0</v>
      </c>
      <c r="BJ90" s="64">
        <f t="shared" si="113"/>
        <v>0</v>
      </c>
      <c r="BK90" s="65">
        <f t="shared" si="114"/>
        <v>0</v>
      </c>
      <c r="BL90" s="65">
        <f t="shared" si="115"/>
        <v>0</v>
      </c>
      <c r="BM90" s="65">
        <f t="shared" si="116"/>
        <v>0</v>
      </c>
      <c r="BN90" s="65">
        <f t="shared" si="117"/>
        <v>0</v>
      </c>
      <c r="BO90" s="65">
        <f t="shared" si="118"/>
        <v>0</v>
      </c>
      <c r="BP90" s="65">
        <f t="shared" si="119"/>
        <v>0</v>
      </c>
      <c r="BQ90" s="65">
        <f t="shared" si="120"/>
        <v>0</v>
      </c>
      <c r="BR90" s="21">
        <f t="shared" si="121"/>
        <v>0</v>
      </c>
      <c r="BS90" s="21">
        <f t="shared" si="122"/>
        <v>0</v>
      </c>
      <c r="BT90" s="24">
        <f t="shared" si="123"/>
        <v>0</v>
      </c>
      <c r="BU90" s="20" t="str">
        <f t="shared" si="124"/>
        <v/>
      </c>
      <c r="BV90" s="306" t="e">
        <f>IF(S90="-","-",VLOOKUP($A90,AMABat!$A$10:$AS$1137,BV$9,FALSE)-S90)</f>
        <v>#N/A</v>
      </c>
      <c r="BW90" s="306" t="e">
        <f>IF(T90="-","-",VLOOKUP($A90,AMABat!$A$10:$AS$1137,BW$9,FALSE)-T90)</f>
        <v>#N/A</v>
      </c>
      <c r="BX90" s="306" t="e">
        <f>IF(U90="-","-",VLOOKUP($A90,AMABat!$A$10:$AS$1137,BX$9,FALSE)-U90)</f>
        <v>#N/A</v>
      </c>
      <c r="BY90" s="306" t="e">
        <f>IF(V90="-","-",VLOOKUP($A90,AMABat!$A$10:$AS$1137,BY$9,FALSE)-V90)</f>
        <v>#N/A</v>
      </c>
      <c r="BZ90" s="306" t="e">
        <f>IF(W90="-","-",VLOOKUP($A90,AMABat!$A$10:$AS$1137,BZ$9,FALSE)-W90)</f>
        <v>#N/A</v>
      </c>
      <c r="CA90" s="306" t="e">
        <f>IF(X90="-","-",VLOOKUP($A90,AMABat!$A$10:$AS$1137,CA$9,FALSE)-X90)</f>
        <v>#N/A</v>
      </c>
      <c r="CB90" s="306" t="e">
        <f>IF(Y90="-","-",VLOOKUP($A90,AMABat!$A$10:$AS$1137,CB$9,FALSE)-Y90)</f>
        <v>#N/A</v>
      </c>
      <c r="CC90" s="306" t="e">
        <f>IF(Z90="-","-",VLOOKUP($A90,AMABat!$A$10:$AS$1137,CC$9,FALSE)-Z90)</f>
        <v>#N/A</v>
      </c>
      <c r="CD90" s="306" t="e">
        <f>IF(AA90="-","-",VLOOKUP($A90,AMABat!$A$10:$AS$1137,CD$9,FALSE)-AA90)</f>
        <v>#N/A</v>
      </c>
      <c r="CE90" s="306" t="e">
        <f>IF(AB90="-","-",VLOOKUP($A90,AMABat!$A$10:$AS$1137,CE$9,FALSE)-AB90)</f>
        <v>#N/A</v>
      </c>
      <c r="CF90" s="306" t="e">
        <f>IF(AC90="-","-",VLOOKUP($A90,AMABat!$A$10:$AS$1137,CF$9,FALSE)-AC90)</f>
        <v>#N/A</v>
      </c>
      <c r="CG90" s="306" t="e">
        <f>IF(AD90="-","-",VLOOKUP($A90,AMABat!$A$10:$AS$1137,CG$9,FALSE)-AD90)</f>
        <v>#N/A</v>
      </c>
      <c r="CH90" s="306" t="e">
        <f>IF(AE90="-","-",VLOOKUP($A90,AMABat!$A$10:$AS$1137,CH$9,FALSE)-AE90)</f>
        <v>#N/A</v>
      </c>
      <c r="CI90" s="306" t="e">
        <f>IF(AG90="-","-",VLOOKUP($A90,AMABat!$A$10:$AS$1137,CI$9,FALSE)-AG90)</f>
        <v>#N/A</v>
      </c>
      <c r="CJ90" s="306" t="str">
        <f>IF(AH90="-","-",VLOOKUP($A90,AMABat!$A$10:$AS$1137,CJ$9,FALSE)-AH90)</f>
        <v>-</v>
      </c>
      <c r="CK90" s="306" t="str">
        <f>IF(AI90="-","-",VLOOKUP($A90,AMABat!$A$10:$AS$1137,CK$9,FALSE)-AI90)</f>
        <v>-</v>
      </c>
      <c r="CL90" s="306" t="str">
        <f>IF(AJ90="-","-",VLOOKUP($A90,AMABat!$A$10:$AS$1137,CL$9,FALSE)-AJ90)</f>
        <v>-</v>
      </c>
      <c r="CM90" s="306" t="str">
        <f>IF(AK90="-","-",VLOOKUP($A90,AMABat!$A$10:$AS$1137,CM$9,FALSE)-AK90)</f>
        <v>-</v>
      </c>
      <c r="CN90" s="306" t="str">
        <f>IF(AL90="-","-",VLOOKUP($A90,AMABat!$A$10:$AS$1137,CN$9,FALSE)-AL90)</f>
        <v>-</v>
      </c>
      <c r="CO90" s="306" t="str">
        <f>IF(AM90="-","-",VLOOKUP($A90,AMABat!$A$10:$AS$1137,CO$9,FALSE)-AM90)</f>
        <v>-</v>
      </c>
      <c r="CP90" s="306" t="str">
        <f>IF(AN90="-","-",VLOOKUP($A90,AMABat!$A$10:$AS$1137,CP$9,FALSE)-AN90)</f>
        <v>-</v>
      </c>
      <c r="CQ90" s="306" t="e">
        <f>IF(AO90="-","-",VLOOKUP($A90,AMABat!$A$10:$AS$1137,CQ$9,FALSE)-AO90)</f>
        <v>#N/A</v>
      </c>
      <c r="CR90" s="306" t="e">
        <f>IF(AP90="-","-",VLOOKUP($A90,AMABat!$A$10:$AS$1137,CR$9,FALSE)-AP90)</f>
        <v>#N/A</v>
      </c>
      <c r="CS90" s="306" t="e">
        <f>IF(AQ90="-","-",VLOOKUP($A90,AMABat!$A$10:$AS$1137,CS$9,FALSE)-AQ90)</f>
        <v>#N/A</v>
      </c>
      <c r="CT90" s="306" t="e">
        <f t="shared" si="125"/>
        <v>#N/A</v>
      </c>
      <c r="CU90" s="306" t="e">
        <f t="shared" si="126"/>
        <v>#N/A</v>
      </c>
      <c r="CV90" s="306" t="e">
        <f t="shared" si="127"/>
        <v>#N/A</v>
      </c>
      <c r="CW90" s="306" t="e">
        <f t="shared" si="128"/>
        <v>#N/A</v>
      </c>
      <c r="CX90" s="306" t="e">
        <f t="shared" si="129"/>
        <v>#N/A</v>
      </c>
    </row>
    <row r="91" spans="1:102" x14ac:dyDescent="0.25">
      <c r="A91" s="306" t="s">
        <v>682</v>
      </c>
      <c r="B91" s="305" t="s">
        <v>534</v>
      </c>
      <c r="C91" s="305"/>
      <c r="D91" s="305" t="s">
        <v>32</v>
      </c>
      <c r="E91" s="305" t="s">
        <v>32</v>
      </c>
      <c r="F91" s="305" t="s">
        <v>81</v>
      </c>
      <c r="G91" t="s">
        <v>71</v>
      </c>
      <c r="H91" t="s">
        <v>498</v>
      </c>
      <c r="I91" s="305" t="s">
        <v>489</v>
      </c>
      <c r="J91" t="s">
        <v>802</v>
      </c>
      <c r="K91" t="s">
        <v>277</v>
      </c>
      <c r="L91">
        <v>22</v>
      </c>
      <c r="M91" t="s">
        <v>83</v>
      </c>
      <c r="N91" t="s">
        <v>83</v>
      </c>
      <c r="O91" t="s">
        <v>816</v>
      </c>
      <c r="P91" s="3" t="s">
        <v>773</v>
      </c>
      <c r="Q91" t="s">
        <v>199</v>
      </c>
      <c r="R91" s="3" t="s">
        <v>200</v>
      </c>
      <c r="S91">
        <v>2</v>
      </c>
      <c r="T91">
        <v>3</v>
      </c>
      <c r="U91">
        <v>3</v>
      </c>
      <c r="V91">
        <v>4</v>
      </c>
      <c r="W91" s="3">
        <v>2</v>
      </c>
      <c r="X91">
        <v>3</v>
      </c>
      <c r="Y91">
        <v>4</v>
      </c>
      <c r="Z91">
        <v>3</v>
      </c>
      <c r="AA91">
        <v>6</v>
      </c>
      <c r="AB91" s="3">
        <v>4</v>
      </c>
      <c r="AC91">
        <v>3</v>
      </c>
      <c r="AD91">
        <v>2</v>
      </c>
      <c r="AE91">
        <v>5</v>
      </c>
      <c r="AF91" s="305">
        <v>7</v>
      </c>
      <c r="AG91" t="s">
        <v>32</v>
      </c>
      <c r="AH91" t="s">
        <v>32</v>
      </c>
      <c r="AI91" t="s">
        <v>32</v>
      </c>
      <c r="AJ91" t="s">
        <v>32</v>
      </c>
      <c r="AK91" t="s">
        <v>32</v>
      </c>
      <c r="AL91" t="s">
        <v>32</v>
      </c>
      <c r="AM91" t="s">
        <v>32</v>
      </c>
      <c r="AN91" s="3" t="s">
        <v>32</v>
      </c>
      <c r="AO91">
        <v>1</v>
      </c>
      <c r="AP91">
        <v>1</v>
      </c>
      <c r="AQ91" s="3">
        <v>2</v>
      </c>
      <c r="AR91" t="s">
        <v>32</v>
      </c>
      <c r="AS91" s="3" t="s">
        <v>33</v>
      </c>
      <c r="AT91" s="372" t="s">
        <v>199</v>
      </c>
      <c r="AU91" s="22">
        <f t="shared" ref="AU91:AU124" si="130">AVERAGE(S91,U91,V91)+IF(OR(S91&gt;7,AND(S91&gt;5,V91&gt;5)),0.5,0)+IF(U91&gt;7,0.25,0)+IF(S91&lt;6,-0.5*(6-S91),0)</f>
        <v>1</v>
      </c>
      <c r="AV91" s="23" t="str">
        <f t="shared" ref="AV91:AV124" si="131">IF(AU91&gt;9,"SuperStar",IF(AU91&gt;8,"Star",IF(AU91&gt;6.5,"GoodReg",IF(AU91&gt;5,"Reg",IF(AU91&gt;4,"Bench","Minors")))))</f>
        <v>Minors</v>
      </c>
      <c r="AW91" s="22">
        <f t="shared" ref="AW91:AW124" si="132">AVERAGE(X91,Z91,AA91)+IF(OR(X91&gt;7,AND(X91&gt;5,AA91&gt;5)),0.5,0)+IF(Z91&gt;7,0.25,0)+IF(X91&lt;6,-0.5*(6-X91),0)</f>
        <v>2.5</v>
      </c>
      <c r="AX91" s="22" t="str">
        <f t="shared" ref="AX91:AX124" si="133">IF(AW91&gt;9,"SuperStar",IF(AW91&gt;8,"Star",IF(AW91&gt;6.5,"GoodReg",IF(AW91&gt;5,"Reg",IF(AW91&gt;4,"Bench","Minors")))))</f>
        <v>Minors</v>
      </c>
      <c r="AY91" s="23">
        <f t="shared" ref="AY91:AY124" si="134">MIN(AU91+(MAX(0,25-L91))^1.5,AW91)</f>
        <v>2.5</v>
      </c>
      <c r="AZ91" s="23" t="str">
        <f t="shared" ref="AZ91:AZ124" si="135">IF(AY91&gt;9,"SuperStar",IF(AY91&gt;8,"Star",IF(AY91&gt;6.5,"GoodReg",IF(AY91&gt;5,"Reg",IF(AY91&gt;4,"Bench","Minors")))))</f>
        <v>Minors</v>
      </c>
      <c r="BA91" s="64">
        <f t="shared" ref="BA91:BA124" si="136">IF(AND(OR(S91+V91&gt;12,AND(S91&gt;6,V91&gt;6)),AO91&gt;6,OR(AP91&gt;=AO91,AP91&gt;6)),1,0)</f>
        <v>0</v>
      </c>
      <c r="BB91" s="65">
        <f t="shared" ref="BB91:BB124" si="137">IF(OR(AND(S91&gt;6,W91&gt;6),S91+V91&gt;12),1,0)</f>
        <v>0</v>
      </c>
      <c r="BC91" s="65">
        <f t="shared" ref="BC91:BC124" si="138">IF(AND(S91&gt;6,U91&gt;6,V91&gt;6),1,0)</f>
        <v>0</v>
      </c>
      <c r="BD91" s="65">
        <f t="shared" ref="BD91:BD124" si="139">IF(AND(U91&gt;7,OR(S91&gt;6,V91&gt;6)),1,0)</f>
        <v>0</v>
      </c>
      <c r="BE91" s="65">
        <f t="shared" ref="BE91:BE124" si="140">IF(AND(U91&gt;6,OR(S91&gt;6,V91&gt;6)),1,0)</f>
        <v>0</v>
      </c>
      <c r="BF91" s="65">
        <f t="shared" ref="BF91:BF124" si="141">IF(AND(OR(S91&gt;6,U91&gt;6),OR(S91&gt;6,V91&gt;6)),1,0)</f>
        <v>0</v>
      </c>
      <c r="BG91" s="65">
        <f t="shared" ref="BG91:BG124" si="142">IF(AND(S91&gt;4,OR(S91&gt;6,U91&gt;6,V91&gt;6)),1,0)</f>
        <v>0</v>
      </c>
      <c r="BH91" s="65">
        <f t="shared" ref="BH91:BH124" si="143">IF(AND(S91&gt;4,OR(S91&gt;6,T91&gt;6,U91&gt;6,V91&gt;6)),1,0)</f>
        <v>0</v>
      </c>
      <c r="BI91" s="21">
        <f t="shared" ref="BI91:BI124" si="144">IF(AND(S91&gt;4,MAX(S91:W91)&gt;6),1,0)</f>
        <v>0</v>
      </c>
      <c r="BJ91" s="64">
        <f t="shared" ref="BJ91:BJ124" si="145">IF(AND(OR(X91+AA91&gt;12,AND(X91&gt;6,AA91&gt;6)),AO91&gt;6,OR(AP91&gt;=AO91,AP91&gt;6)),1,0)</f>
        <v>0</v>
      </c>
      <c r="BK91" s="65">
        <f t="shared" ref="BK91:BK124" si="146">IF(OR(AND(X91&gt;6,AB91&gt;6),X91+AA91&gt;12),1,0)</f>
        <v>0</v>
      </c>
      <c r="BL91" s="65">
        <f t="shared" ref="BL91:BL124" si="147">IF(AND(X91&gt;6,Z91&gt;6,AA91&gt;6),1,0)</f>
        <v>0</v>
      </c>
      <c r="BM91" s="65">
        <f t="shared" ref="BM91:BM124" si="148">IF(AND(Z91&gt;7,OR(X91&gt;6,AA91&gt;6)),1,0)</f>
        <v>0</v>
      </c>
      <c r="BN91" s="65">
        <f t="shared" ref="BN91:BN124" si="149">IF(AND(Z91&gt;6,OR(X91&gt;6,AA91&gt;6)),1,0)</f>
        <v>0</v>
      </c>
      <c r="BO91" s="65">
        <f t="shared" ref="BO91:BO124" si="150">IF(AND(OR(X91&gt;6,Z91&gt;6),OR(X91&gt;6,AA91&gt;6)),1,0)</f>
        <v>0</v>
      </c>
      <c r="BP91" s="65">
        <f t="shared" ref="BP91:BP124" si="151">IF(AND(X91&gt;4,OR(X91&gt;6,Z91&gt;6,AA91&gt;6)),1,0)</f>
        <v>0</v>
      </c>
      <c r="BQ91" s="65">
        <f t="shared" ref="BQ91:BQ124" si="152">IF(AND(X91&gt;4,OR(X91&gt;6,Y91&gt;6,Z91&gt;6,AA91&gt;6)),1,0)</f>
        <v>0</v>
      </c>
      <c r="BR91" s="21">
        <f t="shared" ref="BR91:BR124" si="153">IF(AND(X91&gt;4,MAX(X91:AB91)&gt;6),1,0)</f>
        <v>0</v>
      </c>
      <c r="BS91" s="21">
        <f t="shared" ref="BS91:BS124" si="154">IF(AVERAGE(AO91:AP91)&gt;9,1,0)+IF(AVERAGE(AO91:AP91)&gt;7,1,0)+IF(AO91&gt;7,1,0)+IF(AP91&gt;7,1,0)+IF(AQ91&gt;8,1,0)+IF(AQ91&gt;6,1,0)</f>
        <v>0</v>
      </c>
      <c r="BT91" s="24">
        <f t="shared" ref="BT91:BT124" si="155">IF(OR(MAX(AG91,AH91,AL91,AN91)&gt;6,MAX(AI91,AJ91,AK91,AM91)&gt;7),2,IF(MAX(AG91:AN91)&gt;4,1,0))</f>
        <v>0</v>
      </c>
      <c r="BU91" s="20" t="str">
        <f t="shared" ref="BU91:BU124" si="156">IF(AS91=1,"Yes","")</f>
        <v/>
      </c>
      <c r="BV91" s="306" t="e">
        <f>IF(S91="-","-",VLOOKUP($A91,AMABat!$A$10:$AS$1137,BV$9,FALSE)-S91)</f>
        <v>#N/A</v>
      </c>
      <c r="BW91" s="306" t="e">
        <f>IF(T91="-","-",VLOOKUP($A91,AMABat!$A$10:$AS$1137,BW$9,FALSE)-T91)</f>
        <v>#N/A</v>
      </c>
      <c r="BX91" s="306" t="e">
        <f>IF(U91="-","-",VLOOKUP($A91,AMABat!$A$10:$AS$1137,BX$9,FALSE)-U91)</f>
        <v>#N/A</v>
      </c>
      <c r="BY91" s="306" t="e">
        <f>IF(V91="-","-",VLOOKUP($A91,AMABat!$A$10:$AS$1137,BY$9,FALSE)-V91)</f>
        <v>#N/A</v>
      </c>
      <c r="BZ91" s="306" t="e">
        <f>IF(W91="-","-",VLOOKUP($A91,AMABat!$A$10:$AS$1137,BZ$9,FALSE)-W91)</f>
        <v>#N/A</v>
      </c>
      <c r="CA91" s="306" t="e">
        <f>IF(X91="-","-",VLOOKUP($A91,AMABat!$A$10:$AS$1137,CA$9,FALSE)-X91)</f>
        <v>#N/A</v>
      </c>
      <c r="CB91" s="306" t="e">
        <f>IF(Y91="-","-",VLOOKUP($A91,AMABat!$A$10:$AS$1137,CB$9,FALSE)-Y91)</f>
        <v>#N/A</v>
      </c>
      <c r="CC91" s="306" t="e">
        <f>IF(Z91="-","-",VLOOKUP($A91,AMABat!$A$10:$AS$1137,CC$9,FALSE)-Z91)</f>
        <v>#N/A</v>
      </c>
      <c r="CD91" s="306" t="e">
        <f>IF(AA91="-","-",VLOOKUP($A91,AMABat!$A$10:$AS$1137,CD$9,FALSE)-AA91)</f>
        <v>#N/A</v>
      </c>
      <c r="CE91" s="306" t="e">
        <f>IF(AB91="-","-",VLOOKUP($A91,AMABat!$A$10:$AS$1137,CE$9,FALSE)-AB91)</f>
        <v>#N/A</v>
      </c>
      <c r="CF91" s="306" t="e">
        <f>IF(AC91="-","-",VLOOKUP($A91,AMABat!$A$10:$AS$1137,CF$9,FALSE)-AC91)</f>
        <v>#N/A</v>
      </c>
      <c r="CG91" s="306" t="e">
        <f>IF(AD91="-","-",VLOOKUP($A91,AMABat!$A$10:$AS$1137,CG$9,FALSE)-AD91)</f>
        <v>#N/A</v>
      </c>
      <c r="CH91" s="306" t="e">
        <f>IF(AE91="-","-",VLOOKUP($A91,AMABat!$A$10:$AS$1137,CH$9,FALSE)-AE91)</f>
        <v>#N/A</v>
      </c>
      <c r="CI91" s="306" t="str">
        <f>IF(AG91="-","-",VLOOKUP($A91,AMABat!$A$10:$AS$1137,CI$9,FALSE)-AG91)</f>
        <v>-</v>
      </c>
      <c r="CJ91" s="306" t="str">
        <f>IF(AH91="-","-",VLOOKUP($A91,AMABat!$A$10:$AS$1137,CJ$9,FALSE)-AH91)</f>
        <v>-</v>
      </c>
      <c r="CK91" s="306" t="str">
        <f>IF(AI91="-","-",VLOOKUP($A91,AMABat!$A$10:$AS$1137,CK$9,FALSE)-AI91)</f>
        <v>-</v>
      </c>
      <c r="CL91" s="306" t="str">
        <f>IF(AJ91="-","-",VLOOKUP($A91,AMABat!$A$10:$AS$1137,CL$9,FALSE)-AJ91)</f>
        <v>-</v>
      </c>
      <c r="CM91" s="306" t="str">
        <f>IF(AK91="-","-",VLOOKUP($A91,AMABat!$A$10:$AS$1137,CM$9,FALSE)-AK91)</f>
        <v>-</v>
      </c>
      <c r="CN91" s="306" t="str">
        <f>IF(AL91="-","-",VLOOKUP($A91,AMABat!$A$10:$AS$1137,CN$9,FALSE)-AL91)</f>
        <v>-</v>
      </c>
      <c r="CO91" s="306" t="str">
        <f>IF(AM91="-","-",VLOOKUP($A91,AMABat!$A$10:$AS$1137,CO$9,FALSE)-AM91)</f>
        <v>-</v>
      </c>
      <c r="CP91" s="306" t="str">
        <f>IF(AN91="-","-",VLOOKUP($A91,AMABat!$A$10:$AS$1137,CP$9,FALSE)-AN91)</f>
        <v>-</v>
      </c>
      <c r="CQ91" s="306" t="e">
        <f>IF(AO91="-","-",VLOOKUP($A91,AMABat!$A$10:$AS$1137,CQ$9,FALSE)-AO91)</f>
        <v>#N/A</v>
      </c>
      <c r="CR91" s="306" t="e">
        <f>IF(AP91="-","-",VLOOKUP($A91,AMABat!$A$10:$AS$1137,CR$9,FALSE)-AP91)</f>
        <v>#N/A</v>
      </c>
      <c r="CS91" s="306" t="e">
        <f>IF(AQ91="-","-",VLOOKUP($A91,AMABat!$A$10:$AS$1137,CS$9,FALSE)-AQ91)</f>
        <v>#N/A</v>
      </c>
      <c r="CT91" s="306" t="e">
        <f t="shared" ref="CT91:CT124" si="157">SUM(BV91:BZ91)</f>
        <v>#N/A</v>
      </c>
      <c r="CU91" s="306" t="e">
        <f t="shared" ref="CU91:CU124" si="158">SUM(CA91:CE91)</f>
        <v>#N/A</v>
      </c>
      <c r="CV91" s="306" t="e">
        <f t="shared" ref="CV91:CV124" si="159">SUM(CF91:CP91)</f>
        <v>#N/A</v>
      </c>
      <c r="CW91" s="306" t="e">
        <f t="shared" ref="CW91:CW124" si="160">SUM(CQ91:CS91)</f>
        <v>#N/A</v>
      </c>
      <c r="CX91" s="306" t="e">
        <f t="shared" ref="CX91:CX124" si="161">SUM(CT91:CW91)</f>
        <v>#N/A</v>
      </c>
    </row>
    <row r="92" spans="1:102" x14ac:dyDescent="0.25">
      <c r="A92" s="306" t="s">
        <v>683</v>
      </c>
      <c r="B92" s="305" t="s">
        <v>534</v>
      </c>
      <c r="C92" s="305"/>
      <c r="D92" s="305" t="s">
        <v>32</v>
      </c>
      <c r="E92" s="305" t="s">
        <v>32</v>
      </c>
      <c r="F92" s="305" t="s">
        <v>72</v>
      </c>
      <c r="G92" t="s">
        <v>74</v>
      </c>
      <c r="H92" t="s">
        <v>872</v>
      </c>
      <c r="I92" s="305" t="s">
        <v>873</v>
      </c>
      <c r="J92" t="s">
        <v>814</v>
      </c>
      <c r="K92" t="s">
        <v>187</v>
      </c>
      <c r="L92">
        <v>24</v>
      </c>
      <c r="M92" t="s">
        <v>83</v>
      </c>
      <c r="N92" t="s">
        <v>83</v>
      </c>
      <c r="O92" t="s">
        <v>816</v>
      </c>
      <c r="P92" s="3" t="s">
        <v>808</v>
      </c>
      <c r="Q92" t="s">
        <v>199</v>
      </c>
      <c r="R92" s="3" t="s">
        <v>200</v>
      </c>
      <c r="S92">
        <v>2</v>
      </c>
      <c r="T92">
        <v>3</v>
      </c>
      <c r="U92">
        <v>3</v>
      </c>
      <c r="V92">
        <v>4</v>
      </c>
      <c r="W92" s="3">
        <v>3</v>
      </c>
      <c r="X92">
        <v>3</v>
      </c>
      <c r="Y92">
        <v>4</v>
      </c>
      <c r="Z92">
        <v>3</v>
      </c>
      <c r="AA92">
        <v>5</v>
      </c>
      <c r="AB92" s="3">
        <v>4</v>
      </c>
      <c r="AC92">
        <v>4</v>
      </c>
      <c r="AD92">
        <v>2</v>
      </c>
      <c r="AE92">
        <v>1</v>
      </c>
      <c r="AF92" s="305">
        <v>1</v>
      </c>
      <c r="AG92" t="s">
        <v>32</v>
      </c>
      <c r="AH92" t="s">
        <v>32</v>
      </c>
      <c r="AI92">
        <v>3</v>
      </c>
      <c r="AJ92" t="s">
        <v>32</v>
      </c>
      <c r="AK92">
        <v>4</v>
      </c>
      <c r="AL92" t="s">
        <v>32</v>
      </c>
      <c r="AM92" t="s">
        <v>32</v>
      </c>
      <c r="AN92" s="3" t="s">
        <v>32</v>
      </c>
      <c r="AO92">
        <v>4</v>
      </c>
      <c r="AP92">
        <v>6</v>
      </c>
      <c r="AQ92" s="3">
        <v>4</v>
      </c>
      <c r="AR92" t="s">
        <v>32</v>
      </c>
      <c r="AS92" s="3">
        <v>0</v>
      </c>
      <c r="AT92" s="372" t="s">
        <v>199</v>
      </c>
      <c r="AU92" s="22">
        <f t="shared" si="130"/>
        <v>1</v>
      </c>
      <c r="AV92" s="23" t="str">
        <f t="shared" si="131"/>
        <v>Minors</v>
      </c>
      <c r="AW92" s="22">
        <f t="shared" si="132"/>
        <v>2.1666666666666665</v>
      </c>
      <c r="AX92" s="22" t="str">
        <f t="shared" si="133"/>
        <v>Minors</v>
      </c>
      <c r="AY92" s="23">
        <f t="shared" si="134"/>
        <v>2</v>
      </c>
      <c r="AZ92" s="23" t="str">
        <f t="shared" si="135"/>
        <v>Minors</v>
      </c>
      <c r="BA92" s="64">
        <f t="shared" si="136"/>
        <v>0</v>
      </c>
      <c r="BB92" s="65">
        <f t="shared" si="137"/>
        <v>0</v>
      </c>
      <c r="BC92" s="65">
        <f t="shared" si="138"/>
        <v>0</v>
      </c>
      <c r="BD92" s="65">
        <f t="shared" si="139"/>
        <v>0</v>
      </c>
      <c r="BE92" s="65">
        <f t="shared" si="140"/>
        <v>0</v>
      </c>
      <c r="BF92" s="65">
        <f t="shared" si="141"/>
        <v>0</v>
      </c>
      <c r="BG92" s="65">
        <f t="shared" si="142"/>
        <v>0</v>
      </c>
      <c r="BH92" s="65">
        <f t="shared" si="143"/>
        <v>0</v>
      </c>
      <c r="BI92" s="21">
        <f t="shared" si="144"/>
        <v>0</v>
      </c>
      <c r="BJ92" s="64">
        <f t="shared" si="145"/>
        <v>0</v>
      </c>
      <c r="BK92" s="65">
        <f t="shared" si="146"/>
        <v>0</v>
      </c>
      <c r="BL92" s="65">
        <f t="shared" si="147"/>
        <v>0</v>
      </c>
      <c r="BM92" s="65">
        <f t="shared" si="148"/>
        <v>0</v>
      </c>
      <c r="BN92" s="65">
        <f t="shared" si="149"/>
        <v>0</v>
      </c>
      <c r="BO92" s="65">
        <f t="shared" si="150"/>
        <v>0</v>
      </c>
      <c r="BP92" s="65">
        <f t="shared" si="151"/>
        <v>0</v>
      </c>
      <c r="BQ92" s="65">
        <f t="shared" si="152"/>
        <v>0</v>
      </c>
      <c r="BR92" s="21">
        <f t="shared" si="153"/>
        <v>0</v>
      </c>
      <c r="BS92" s="21">
        <f t="shared" si="154"/>
        <v>0</v>
      </c>
      <c r="BT92" s="24">
        <f t="shared" si="155"/>
        <v>0</v>
      </c>
      <c r="BU92" s="20" t="str">
        <f t="shared" si="156"/>
        <v/>
      </c>
      <c r="BV92" s="306" t="e">
        <f>IF(S92="-","-",VLOOKUP($A92,AMABat!$A$10:$AS$1137,BV$9,FALSE)-S92)</f>
        <v>#N/A</v>
      </c>
      <c r="BW92" s="306" t="e">
        <f>IF(T92="-","-",VLOOKUP($A92,AMABat!$A$10:$AS$1137,BW$9,FALSE)-T92)</f>
        <v>#N/A</v>
      </c>
      <c r="BX92" s="306" t="e">
        <f>IF(U92="-","-",VLOOKUP($A92,AMABat!$A$10:$AS$1137,BX$9,FALSE)-U92)</f>
        <v>#N/A</v>
      </c>
      <c r="BY92" s="306" t="e">
        <f>IF(V92="-","-",VLOOKUP($A92,AMABat!$A$10:$AS$1137,BY$9,FALSE)-V92)</f>
        <v>#N/A</v>
      </c>
      <c r="BZ92" s="306" t="e">
        <f>IF(W92="-","-",VLOOKUP($A92,AMABat!$A$10:$AS$1137,BZ$9,FALSE)-W92)</f>
        <v>#N/A</v>
      </c>
      <c r="CA92" s="306" t="e">
        <f>IF(X92="-","-",VLOOKUP($A92,AMABat!$A$10:$AS$1137,CA$9,FALSE)-X92)</f>
        <v>#N/A</v>
      </c>
      <c r="CB92" s="306" t="e">
        <f>IF(Y92="-","-",VLOOKUP($A92,AMABat!$A$10:$AS$1137,CB$9,FALSE)-Y92)</f>
        <v>#N/A</v>
      </c>
      <c r="CC92" s="306" t="e">
        <f>IF(Z92="-","-",VLOOKUP($A92,AMABat!$A$10:$AS$1137,CC$9,FALSE)-Z92)</f>
        <v>#N/A</v>
      </c>
      <c r="CD92" s="306" t="e">
        <f>IF(AA92="-","-",VLOOKUP($A92,AMABat!$A$10:$AS$1137,CD$9,FALSE)-AA92)</f>
        <v>#N/A</v>
      </c>
      <c r="CE92" s="306" t="e">
        <f>IF(AB92="-","-",VLOOKUP($A92,AMABat!$A$10:$AS$1137,CE$9,FALSE)-AB92)</f>
        <v>#N/A</v>
      </c>
      <c r="CF92" s="306" t="e">
        <f>IF(AC92="-","-",VLOOKUP($A92,AMABat!$A$10:$AS$1137,CF$9,FALSE)-AC92)</f>
        <v>#N/A</v>
      </c>
      <c r="CG92" s="306" t="e">
        <f>IF(AD92="-","-",VLOOKUP($A92,AMABat!$A$10:$AS$1137,CG$9,FALSE)-AD92)</f>
        <v>#N/A</v>
      </c>
      <c r="CH92" s="306" t="e">
        <f>IF(AE92="-","-",VLOOKUP($A92,AMABat!$A$10:$AS$1137,CH$9,FALSE)-AE92)</f>
        <v>#N/A</v>
      </c>
      <c r="CI92" s="306" t="str">
        <f>IF(AG92="-","-",VLOOKUP($A92,AMABat!$A$10:$AS$1137,CI$9,FALSE)-AG92)</f>
        <v>-</v>
      </c>
      <c r="CJ92" s="306" t="str">
        <f>IF(AH92="-","-",VLOOKUP($A92,AMABat!$A$10:$AS$1137,CJ$9,FALSE)-AH92)</f>
        <v>-</v>
      </c>
      <c r="CK92" s="306" t="e">
        <f>IF(AI92="-","-",VLOOKUP($A92,AMABat!$A$10:$AS$1137,CK$9,FALSE)-AI92)</f>
        <v>#N/A</v>
      </c>
      <c r="CL92" s="306" t="str">
        <f>IF(AJ92="-","-",VLOOKUP($A92,AMABat!$A$10:$AS$1137,CL$9,FALSE)-AJ92)</f>
        <v>-</v>
      </c>
      <c r="CM92" s="306" t="e">
        <f>IF(AK92="-","-",VLOOKUP($A92,AMABat!$A$10:$AS$1137,CM$9,FALSE)-AK92)</f>
        <v>#N/A</v>
      </c>
      <c r="CN92" s="306" t="str">
        <f>IF(AL92="-","-",VLOOKUP($A92,AMABat!$A$10:$AS$1137,CN$9,FALSE)-AL92)</f>
        <v>-</v>
      </c>
      <c r="CO92" s="306" t="str">
        <f>IF(AM92="-","-",VLOOKUP($A92,AMABat!$A$10:$AS$1137,CO$9,FALSE)-AM92)</f>
        <v>-</v>
      </c>
      <c r="CP92" s="306" t="str">
        <f>IF(AN92="-","-",VLOOKUP($A92,AMABat!$A$10:$AS$1137,CP$9,FALSE)-AN92)</f>
        <v>-</v>
      </c>
      <c r="CQ92" s="306" t="e">
        <f>IF(AO92="-","-",VLOOKUP($A92,AMABat!$A$10:$AS$1137,CQ$9,FALSE)-AO92)</f>
        <v>#N/A</v>
      </c>
      <c r="CR92" s="306" t="e">
        <f>IF(AP92="-","-",VLOOKUP($A92,AMABat!$A$10:$AS$1137,CR$9,FALSE)-AP92)</f>
        <v>#N/A</v>
      </c>
      <c r="CS92" s="306" t="e">
        <f>IF(AQ92="-","-",VLOOKUP($A92,AMABat!$A$10:$AS$1137,CS$9,FALSE)-AQ92)</f>
        <v>#N/A</v>
      </c>
      <c r="CT92" s="306" t="e">
        <f t="shared" si="157"/>
        <v>#N/A</v>
      </c>
      <c r="CU92" s="306" t="e">
        <f t="shared" si="158"/>
        <v>#N/A</v>
      </c>
      <c r="CV92" s="306" t="e">
        <f t="shared" si="159"/>
        <v>#N/A</v>
      </c>
      <c r="CW92" s="306" t="e">
        <f t="shared" si="160"/>
        <v>#N/A</v>
      </c>
      <c r="CX92" s="306" t="e">
        <f t="shared" si="161"/>
        <v>#N/A</v>
      </c>
    </row>
    <row r="93" spans="1:102" x14ac:dyDescent="0.25">
      <c r="A93" s="306" t="s">
        <v>684</v>
      </c>
      <c r="B93" s="305" t="s">
        <v>534</v>
      </c>
      <c r="C93" s="305"/>
      <c r="D93" s="305" t="s">
        <v>32</v>
      </c>
      <c r="E93" s="305" t="s">
        <v>32</v>
      </c>
      <c r="F93" s="305" t="s">
        <v>81</v>
      </c>
      <c r="G93" t="s">
        <v>74</v>
      </c>
      <c r="H93" t="s">
        <v>498</v>
      </c>
      <c r="I93" s="305" t="s">
        <v>854</v>
      </c>
      <c r="J93" t="s">
        <v>802</v>
      </c>
      <c r="K93" t="s">
        <v>277</v>
      </c>
      <c r="L93">
        <v>21</v>
      </c>
      <c r="M93" t="s">
        <v>83</v>
      </c>
      <c r="N93" t="s">
        <v>83</v>
      </c>
      <c r="O93" t="s">
        <v>816</v>
      </c>
      <c r="P93" s="3" t="s">
        <v>773</v>
      </c>
      <c r="Q93" t="s">
        <v>200</v>
      </c>
      <c r="R93" s="3" t="s">
        <v>200</v>
      </c>
      <c r="S93">
        <v>3</v>
      </c>
      <c r="T93">
        <v>5</v>
      </c>
      <c r="U93">
        <v>3</v>
      </c>
      <c r="V93">
        <v>1</v>
      </c>
      <c r="W93" s="3">
        <v>5</v>
      </c>
      <c r="X93">
        <v>5</v>
      </c>
      <c r="Y93">
        <v>7</v>
      </c>
      <c r="Z93">
        <v>4</v>
      </c>
      <c r="AA93">
        <v>4</v>
      </c>
      <c r="AB93" s="3">
        <v>6</v>
      </c>
      <c r="AC93">
        <v>4</v>
      </c>
      <c r="AD93">
        <v>2</v>
      </c>
      <c r="AE93">
        <v>1</v>
      </c>
      <c r="AF93" s="305">
        <v>1</v>
      </c>
      <c r="AG93" t="s">
        <v>32</v>
      </c>
      <c r="AH93" t="s">
        <v>32</v>
      </c>
      <c r="AI93">
        <v>3</v>
      </c>
      <c r="AJ93" t="s">
        <v>32</v>
      </c>
      <c r="AK93">
        <v>1</v>
      </c>
      <c r="AL93" t="s">
        <v>32</v>
      </c>
      <c r="AM93" t="s">
        <v>32</v>
      </c>
      <c r="AN93" s="3" t="s">
        <v>32</v>
      </c>
      <c r="AO93">
        <v>10</v>
      </c>
      <c r="AP93">
        <v>10</v>
      </c>
      <c r="AQ93" s="3">
        <v>10</v>
      </c>
      <c r="AR93" t="s">
        <v>32</v>
      </c>
      <c r="AS93" s="3" t="s">
        <v>33</v>
      </c>
      <c r="AT93" s="372" t="s">
        <v>529</v>
      </c>
      <c r="AU93" s="22">
        <f t="shared" si="130"/>
        <v>0.83333333333333348</v>
      </c>
      <c r="AV93" s="23" t="str">
        <f t="shared" si="131"/>
        <v>Minors</v>
      </c>
      <c r="AW93" s="22">
        <f t="shared" si="132"/>
        <v>3.833333333333333</v>
      </c>
      <c r="AX93" s="22" t="str">
        <f t="shared" si="133"/>
        <v>Minors</v>
      </c>
      <c r="AY93" s="23">
        <f t="shared" si="134"/>
        <v>3.833333333333333</v>
      </c>
      <c r="AZ93" s="23" t="str">
        <f t="shared" si="135"/>
        <v>Minors</v>
      </c>
      <c r="BA93" s="64">
        <f t="shared" si="136"/>
        <v>0</v>
      </c>
      <c r="BB93" s="65">
        <f t="shared" si="137"/>
        <v>0</v>
      </c>
      <c r="BC93" s="65">
        <f t="shared" si="138"/>
        <v>0</v>
      </c>
      <c r="BD93" s="65">
        <f t="shared" si="139"/>
        <v>0</v>
      </c>
      <c r="BE93" s="65">
        <f t="shared" si="140"/>
        <v>0</v>
      </c>
      <c r="BF93" s="65">
        <f t="shared" si="141"/>
        <v>0</v>
      </c>
      <c r="BG93" s="65">
        <f t="shared" si="142"/>
        <v>0</v>
      </c>
      <c r="BH93" s="65">
        <f t="shared" si="143"/>
        <v>0</v>
      </c>
      <c r="BI93" s="21">
        <f t="shared" si="144"/>
        <v>0</v>
      </c>
      <c r="BJ93" s="64">
        <f t="shared" si="145"/>
        <v>0</v>
      </c>
      <c r="BK93" s="65">
        <f t="shared" si="146"/>
        <v>0</v>
      </c>
      <c r="BL93" s="65">
        <f t="shared" si="147"/>
        <v>0</v>
      </c>
      <c r="BM93" s="65">
        <f t="shared" si="148"/>
        <v>0</v>
      </c>
      <c r="BN93" s="65">
        <f t="shared" si="149"/>
        <v>0</v>
      </c>
      <c r="BO93" s="65">
        <f t="shared" si="150"/>
        <v>0</v>
      </c>
      <c r="BP93" s="65">
        <f t="shared" si="151"/>
        <v>0</v>
      </c>
      <c r="BQ93" s="65">
        <f t="shared" si="152"/>
        <v>1</v>
      </c>
      <c r="BR93" s="21">
        <f t="shared" si="153"/>
        <v>1</v>
      </c>
      <c r="BS93" s="21">
        <f t="shared" si="154"/>
        <v>6</v>
      </c>
      <c r="BT93" s="24">
        <f t="shared" si="155"/>
        <v>0</v>
      </c>
      <c r="BU93" s="20" t="str">
        <f t="shared" si="156"/>
        <v/>
      </c>
      <c r="BV93" s="306" t="e">
        <f>IF(S93="-","-",VLOOKUP($A93,AMABat!$A$10:$AS$1137,BV$9,FALSE)-S93)</f>
        <v>#N/A</v>
      </c>
      <c r="BW93" s="306" t="e">
        <f>IF(T93="-","-",VLOOKUP($A93,AMABat!$A$10:$AS$1137,BW$9,FALSE)-T93)</f>
        <v>#N/A</v>
      </c>
      <c r="BX93" s="306" t="e">
        <f>IF(U93="-","-",VLOOKUP($A93,AMABat!$A$10:$AS$1137,BX$9,FALSE)-U93)</f>
        <v>#N/A</v>
      </c>
      <c r="BY93" s="306" t="e">
        <f>IF(V93="-","-",VLOOKUP($A93,AMABat!$A$10:$AS$1137,BY$9,FALSE)-V93)</f>
        <v>#N/A</v>
      </c>
      <c r="BZ93" s="306" t="e">
        <f>IF(W93="-","-",VLOOKUP($A93,AMABat!$A$10:$AS$1137,BZ$9,FALSE)-W93)</f>
        <v>#N/A</v>
      </c>
      <c r="CA93" s="306" t="e">
        <f>IF(X93="-","-",VLOOKUP($A93,AMABat!$A$10:$AS$1137,CA$9,FALSE)-X93)</f>
        <v>#N/A</v>
      </c>
      <c r="CB93" s="306" t="e">
        <f>IF(Y93="-","-",VLOOKUP($A93,AMABat!$A$10:$AS$1137,CB$9,FALSE)-Y93)</f>
        <v>#N/A</v>
      </c>
      <c r="CC93" s="306" t="e">
        <f>IF(Z93="-","-",VLOOKUP($A93,AMABat!$A$10:$AS$1137,CC$9,FALSE)-Z93)</f>
        <v>#N/A</v>
      </c>
      <c r="CD93" s="306" t="e">
        <f>IF(AA93="-","-",VLOOKUP($A93,AMABat!$A$10:$AS$1137,CD$9,FALSE)-AA93)</f>
        <v>#N/A</v>
      </c>
      <c r="CE93" s="306" t="e">
        <f>IF(AB93="-","-",VLOOKUP($A93,AMABat!$A$10:$AS$1137,CE$9,FALSE)-AB93)</f>
        <v>#N/A</v>
      </c>
      <c r="CF93" s="306" t="e">
        <f>IF(AC93="-","-",VLOOKUP($A93,AMABat!$A$10:$AS$1137,CF$9,FALSE)-AC93)</f>
        <v>#N/A</v>
      </c>
      <c r="CG93" s="306" t="e">
        <f>IF(AD93="-","-",VLOOKUP($A93,AMABat!$A$10:$AS$1137,CG$9,FALSE)-AD93)</f>
        <v>#N/A</v>
      </c>
      <c r="CH93" s="306" t="e">
        <f>IF(AE93="-","-",VLOOKUP($A93,AMABat!$A$10:$AS$1137,CH$9,FALSE)-AE93)</f>
        <v>#N/A</v>
      </c>
      <c r="CI93" s="306" t="str">
        <f>IF(AG93="-","-",VLOOKUP($A93,AMABat!$A$10:$AS$1137,CI$9,FALSE)-AG93)</f>
        <v>-</v>
      </c>
      <c r="CJ93" s="306" t="str">
        <f>IF(AH93="-","-",VLOOKUP($A93,AMABat!$A$10:$AS$1137,CJ$9,FALSE)-AH93)</f>
        <v>-</v>
      </c>
      <c r="CK93" s="306" t="e">
        <f>IF(AI93="-","-",VLOOKUP($A93,AMABat!$A$10:$AS$1137,CK$9,FALSE)-AI93)</f>
        <v>#N/A</v>
      </c>
      <c r="CL93" s="306" t="str">
        <f>IF(AJ93="-","-",VLOOKUP($A93,AMABat!$A$10:$AS$1137,CL$9,FALSE)-AJ93)</f>
        <v>-</v>
      </c>
      <c r="CM93" s="306" t="e">
        <f>IF(AK93="-","-",VLOOKUP($A93,AMABat!$A$10:$AS$1137,CM$9,FALSE)-AK93)</f>
        <v>#N/A</v>
      </c>
      <c r="CN93" s="306" t="str">
        <f>IF(AL93="-","-",VLOOKUP($A93,AMABat!$A$10:$AS$1137,CN$9,FALSE)-AL93)</f>
        <v>-</v>
      </c>
      <c r="CO93" s="306" t="str">
        <f>IF(AM93="-","-",VLOOKUP($A93,AMABat!$A$10:$AS$1137,CO$9,FALSE)-AM93)</f>
        <v>-</v>
      </c>
      <c r="CP93" s="306" t="str">
        <f>IF(AN93="-","-",VLOOKUP($A93,AMABat!$A$10:$AS$1137,CP$9,FALSE)-AN93)</f>
        <v>-</v>
      </c>
      <c r="CQ93" s="306" t="e">
        <f>IF(AO93="-","-",VLOOKUP($A93,AMABat!$A$10:$AS$1137,CQ$9,FALSE)-AO93)</f>
        <v>#N/A</v>
      </c>
      <c r="CR93" s="306" t="e">
        <f>IF(AP93="-","-",VLOOKUP($A93,AMABat!$A$10:$AS$1137,CR$9,FALSE)-AP93)</f>
        <v>#N/A</v>
      </c>
      <c r="CS93" s="306" t="e">
        <f>IF(AQ93="-","-",VLOOKUP($A93,AMABat!$A$10:$AS$1137,CS$9,FALSE)-AQ93)</f>
        <v>#N/A</v>
      </c>
      <c r="CT93" s="306" t="e">
        <f t="shared" si="157"/>
        <v>#N/A</v>
      </c>
      <c r="CU93" s="306" t="e">
        <f t="shared" si="158"/>
        <v>#N/A</v>
      </c>
      <c r="CV93" s="306" t="e">
        <f t="shared" si="159"/>
        <v>#N/A</v>
      </c>
      <c r="CW93" s="306" t="e">
        <f t="shared" si="160"/>
        <v>#N/A</v>
      </c>
      <c r="CX93" s="306" t="e">
        <f t="shared" si="161"/>
        <v>#N/A</v>
      </c>
    </row>
    <row r="94" spans="1:102" x14ac:dyDescent="0.25">
      <c r="A94" s="306" t="s">
        <v>685</v>
      </c>
      <c r="B94" s="305" t="s">
        <v>534</v>
      </c>
      <c r="C94" s="305"/>
      <c r="D94" s="305" t="s">
        <v>32</v>
      </c>
      <c r="E94" s="305" t="s">
        <v>32</v>
      </c>
      <c r="F94" s="305" t="s">
        <v>81</v>
      </c>
      <c r="G94" t="s">
        <v>78</v>
      </c>
      <c r="H94" t="s">
        <v>852</v>
      </c>
      <c r="I94" s="305" t="s">
        <v>853</v>
      </c>
      <c r="J94" t="s">
        <v>802</v>
      </c>
      <c r="K94" t="s">
        <v>277</v>
      </c>
      <c r="L94">
        <v>21</v>
      </c>
      <c r="M94" t="s">
        <v>83</v>
      </c>
      <c r="N94" t="s">
        <v>83</v>
      </c>
      <c r="O94" t="s">
        <v>808</v>
      </c>
      <c r="P94" s="3" t="s">
        <v>764</v>
      </c>
      <c r="Q94" t="s">
        <v>200</v>
      </c>
      <c r="R94" s="3" t="s">
        <v>200</v>
      </c>
      <c r="S94">
        <v>3</v>
      </c>
      <c r="T94">
        <v>4</v>
      </c>
      <c r="U94">
        <v>2</v>
      </c>
      <c r="V94">
        <v>2</v>
      </c>
      <c r="W94" s="3">
        <v>4</v>
      </c>
      <c r="X94">
        <v>5</v>
      </c>
      <c r="Y94">
        <v>5</v>
      </c>
      <c r="Z94">
        <v>3</v>
      </c>
      <c r="AA94">
        <v>4</v>
      </c>
      <c r="AB94" s="3">
        <v>5</v>
      </c>
      <c r="AC94">
        <v>9</v>
      </c>
      <c r="AD94">
        <v>10</v>
      </c>
      <c r="AE94">
        <v>1</v>
      </c>
      <c r="AF94" s="305">
        <v>1</v>
      </c>
      <c r="AG94" t="s">
        <v>32</v>
      </c>
      <c r="AH94" t="s">
        <v>32</v>
      </c>
      <c r="AI94" t="s">
        <v>32</v>
      </c>
      <c r="AJ94" t="s">
        <v>32</v>
      </c>
      <c r="AK94" t="s">
        <v>32</v>
      </c>
      <c r="AL94">
        <v>3</v>
      </c>
      <c r="AM94">
        <v>7</v>
      </c>
      <c r="AN94" s="3">
        <v>2</v>
      </c>
      <c r="AO94">
        <v>10</v>
      </c>
      <c r="AP94">
        <v>10</v>
      </c>
      <c r="AQ94" s="3">
        <v>8</v>
      </c>
      <c r="AR94" t="s">
        <v>32</v>
      </c>
      <c r="AS94" s="3" t="s">
        <v>33</v>
      </c>
      <c r="AT94" s="372" t="s">
        <v>199</v>
      </c>
      <c r="AU94" s="22">
        <f t="shared" si="130"/>
        <v>0.83333333333333348</v>
      </c>
      <c r="AV94" s="23" t="str">
        <f t="shared" si="131"/>
        <v>Minors</v>
      </c>
      <c r="AW94" s="22">
        <f t="shared" si="132"/>
        <v>3.5</v>
      </c>
      <c r="AX94" s="22" t="str">
        <f t="shared" si="133"/>
        <v>Minors</v>
      </c>
      <c r="AY94" s="23">
        <f t="shared" si="134"/>
        <v>3.5</v>
      </c>
      <c r="AZ94" s="23" t="str">
        <f t="shared" si="135"/>
        <v>Minors</v>
      </c>
      <c r="BA94" s="64">
        <f t="shared" si="136"/>
        <v>0</v>
      </c>
      <c r="BB94" s="65">
        <f t="shared" si="137"/>
        <v>0</v>
      </c>
      <c r="BC94" s="65">
        <f t="shared" si="138"/>
        <v>0</v>
      </c>
      <c r="BD94" s="65">
        <f t="shared" si="139"/>
        <v>0</v>
      </c>
      <c r="BE94" s="65">
        <f t="shared" si="140"/>
        <v>0</v>
      </c>
      <c r="BF94" s="65">
        <f t="shared" si="141"/>
        <v>0</v>
      </c>
      <c r="BG94" s="65">
        <f t="shared" si="142"/>
        <v>0</v>
      </c>
      <c r="BH94" s="65">
        <f t="shared" si="143"/>
        <v>0</v>
      </c>
      <c r="BI94" s="21">
        <f t="shared" si="144"/>
        <v>0</v>
      </c>
      <c r="BJ94" s="64">
        <f t="shared" si="145"/>
        <v>0</v>
      </c>
      <c r="BK94" s="65">
        <f t="shared" si="146"/>
        <v>0</v>
      </c>
      <c r="BL94" s="65">
        <f t="shared" si="147"/>
        <v>0</v>
      </c>
      <c r="BM94" s="65">
        <f t="shared" si="148"/>
        <v>0</v>
      </c>
      <c r="BN94" s="65">
        <f t="shared" si="149"/>
        <v>0</v>
      </c>
      <c r="BO94" s="65">
        <f t="shared" si="150"/>
        <v>0</v>
      </c>
      <c r="BP94" s="65">
        <f t="shared" si="151"/>
        <v>0</v>
      </c>
      <c r="BQ94" s="65">
        <f t="shared" si="152"/>
        <v>0</v>
      </c>
      <c r="BR94" s="21">
        <f t="shared" si="153"/>
        <v>0</v>
      </c>
      <c r="BS94" s="21">
        <f t="shared" si="154"/>
        <v>5</v>
      </c>
      <c r="BT94" s="24">
        <f t="shared" si="155"/>
        <v>1</v>
      </c>
      <c r="BU94" s="20" t="str">
        <f t="shared" si="156"/>
        <v/>
      </c>
      <c r="BV94" s="306" t="e">
        <f>IF(S94="-","-",VLOOKUP($A94,AMABat!$A$10:$AS$1137,BV$9,FALSE)-S94)</f>
        <v>#N/A</v>
      </c>
      <c r="BW94" s="306" t="e">
        <f>IF(T94="-","-",VLOOKUP($A94,AMABat!$A$10:$AS$1137,BW$9,FALSE)-T94)</f>
        <v>#N/A</v>
      </c>
      <c r="BX94" s="306" t="e">
        <f>IF(U94="-","-",VLOOKUP($A94,AMABat!$A$10:$AS$1137,BX$9,FALSE)-U94)</f>
        <v>#N/A</v>
      </c>
      <c r="BY94" s="306" t="e">
        <f>IF(V94="-","-",VLOOKUP($A94,AMABat!$A$10:$AS$1137,BY$9,FALSE)-V94)</f>
        <v>#N/A</v>
      </c>
      <c r="BZ94" s="306" t="e">
        <f>IF(W94="-","-",VLOOKUP($A94,AMABat!$A$10:$AS$1137,BZ$9,FALSE)-W94)</f>
        <v>#N/A</v>
      </c>
      <c r="CA94" s="306" t="e">
        <f>IF(X94="-","-",VLOOKUP($A94,AMABat!$A$10:$AS$1137,CA$9,FALSE)-X94)</f>
        <v>#N/A</v>
      </c>
      <c r="CB94" s="306" t="e">
        <f>IF(Y94="-","-",VLOOKUP($A94,AMABat!$A$10:$AS$1137,CB$9,FALSE)-Y94)</f>
        <v>#N/A</v>
      </c>
      <c r="CC94" s="306" t="e">
        <f>IF(Z94="-","-",VLOOKUP($A94,AMABat!$A$10:$AS$1137,CC$9,FALSE)-Z94)</f>
        <v>#N/A</v>
      </c>
      <c r="CD94" s="306" t="e">
        <f>IF(AA94="-","-",VLOOKUP($A94,AMABat!$A$10:$AS$1137,CD$9,FALSE)-AA94)</f>
        <v>#N/A</v>
      </c>
      <c r="CE94" s="306" t="e">
        <f>IF(AB94="-","-",VLOOKUP($A94,AMABat!$A$10:$AS$1137,CE$9,FALSE)-AB94)</f>
        <v>#N/A</v>
      </c>
      <c r="CF94" s="306" t="e">
        <f>IF(AC94="-","-",VLOOKUP($A94,AMABat!$A$10:$AS$1137,CF$9,FALSE)-AC94)</f>
        <v>#N/A</v>
      </c>
      <c r="CG94" s="306" t="e">
        <f>IF(AD94="-","-",VLOOKUP($A94,AMABat!$A$10:$AS$1137,CG$9,FALSE)-AD94)</f>
        <v>#N/A</v>
      </c>
      <c r="CH94" s="306" t="e">
        <f>IF(AE94="-","-",VLOOKUP($A94,AMABat!$A$10:$AS$1137,CH$9,FALSE)-AE94)</f>
        <v>#N/A</v>
      </c>
      <c r="CI94" s="306" t="str">
        <f>IF(AG94="-","-",VLOOKUP($A94,AMABat!$A$10:$AS$1137,CI$9,FALSE)-AG94)</f>
        <v>-</v>
      </c>
      <c r="CJ94" s="306" t="str">
        <f>IF(AH94="-","-",VLOOKUP($A94,AMABat!$A$10:$AS$1137,CJ$9,FALSE)-AH94)</f>
        <v>-</v>
      </c>
      <c r="CK94" s="306" t="str">
        <f>IF(AI94="-","-",VLOOKUP($A94,AMABat!$A$10:$AS$1137,CK$9,FALSE)-AI94)</f>
        <v>-</v>
      </c>
      <c r="CL94" s="306" t="str">
        <f>IF(AJ94="-","-",VLOOKUP($A94,AMABat!$A$10:$AS$1137,CL$9,FALSE)-AJ94)</f>
        <v>-</v>
      </c>
      <c r="CM94" s="306" t="str">
        <f>IF(AK94="-","-",VLOOKUP($A94,AMABat!$A$10:$AS$1137,CM$9,FALSE)-AK94)</f>
        <v>-</v>
      </c>
      <c r="CN94" s="306" t="e">
        <f>IF(AL94="-","-",VLOOKUP($A94,AMABat!$A$10:$AS$1137,CN$9,FALSE)-AL94)</f>
        <v>#N/A</v>
      </c>
      <c r="CO94" s="306" t="e">
        <f>IF(AM94="-","-",VLOOKUP($A94,AMABat!$A$10:$AS$1137,CO$9,FALSE)-AM94)</f>
        <v>#N/A</v>
      </c>
      <c r="CP94" s="306" t="e">
        <f>IF(AN94="-","-",VLOOKUP($A94,AMABat!$A$10:$AS$1137,CP$9,FALSE)-AN94)</f>
        <v>#N/A</v>
      </c>
      <c r="CQ94" s="306" t="e">
        <f>IF(AO94="-","-",VLOOKUP($A94,AMABat!$A$10:$AS$1137,CQ$9,FALSE)-AO94)</f>
        <v>#N/A</v>
      </c>
      <c r="CR94" s="306" t="e">
        <f>IF(AP94="-","-",VLOOKUP($A94,AMABat!$A$10:$AS$1137,CR$9,FALSE)-AP94)</f>
        <v>#N/A</v>
      </c>
      <c r="CS94" s="306" t="e">
        <f>IF(AQ94="-","-",VLOOKUP($A94,AMABat!$A$10:$AS$1137,CS$9,FALSE)-AQ94)</f>
        <v>#N/A</v>
      </c>
      <c r="CT94" s="306" t="e">
        <f t="shared" si="157"/>
        <v>#N/A</v>
      </c>
      <c r="CU94" s="306" t="e">
        <f t="shared" si="158"/>
        <v>#N/A</v>
      </c>
      <c r="CV94" s="306" t="e">
        <f t="shared" si="159"/>
        <v>#N/A</v>
      </c>
      <c r="CW94" s="306" t="e">
        <f t="shared" si="160"/>
        <v>#N/A</v>
      </c>
      <c r="CX94" s="306" t="e">
        <f t="shared" si="161"/>
        <v>#N/A</v>
      </c>
    </row>
    <row r="95" spans="1:102" x14ac:dyDescent="0.25">
      <c r="A95" s="306" t="s">
        <v>686</v>
      </c>
      <c r="B95" s="305" t="s">
        <v>534</v>
      </c>
      <c r="C95" s="305"/>
      <c r="D95" s="305" t="s">
        <v>32</v>
      </c>
      <c r="E95" s="305" t="s">
        <v>32</v>
      </c>
      <c r="F95" s="305" t="s">
        <v>72</v>
      </c>
      <c r="G95" t="s">
        <v>78</v>
      </c>
      <c r="H95" t="s">
        <v>850</v>
      </c>
      <c r="I95" s="305" t="s">
        <v>851</v>
      </c>
      <c r="J95" t="s">
        <v>802</v>
      </c>
      <c r="K95" t="s">
        <v>277</v>
      </c>
      <c r="L95">
        <v>22</v>
      </c>
      <c r="M95" t="s">
        <v>82</v>
      </c>
      <c r="N95" t="s">
        <v>82</v>
      </c>
      <c r="O95" t="s">
        <v>803</v>
      </c>
      <c r="P95" s="3" t="s">
        <v>773</v>
      </c>
      <c r="Q95" t="s">
        <v>199</v>
      </c>
      <c r="R95" s="3" t="s">
        <v>199</v>
      </c>
      <c r="S95">
        <v>3</v>
      </c>
      <c r="T95">
        <v>4</v>
      </c>
      <c r="U95">
        <v>2</v>
      </c>
      <c r="V95">
        <v>2</v>
      </c>
      <c r="W95" s="3">
        <v>4</v>
      </c>
      <c r="X95">
        <v>4</v>
      </c>
      <c r="Y95">
        <v>4</v>
      </c>
      <c r="Z95">
        <v>2</v>
      </c>
      <c r="AA95">
        <v>4</v>
      </c>
      <c r="AB95" s="3">
        <v>5</v>
      </c>
      <c r="AC95">
        <v>5</v>
      </c>
      <c r="AD95">
        <v>7</v>
      </c>
      <c r="AE95">
        <v>1</v>
      </c>
      <c r="AF95" s="305">
        <v>1</v>
      </c>
      <c r="AG95" t="s">
        <v>32</v>
      </c>
      <c r="AH95" t="s">
        <v>32</v>
      </c>
      <c r="AI95" t="s">
        <v>32</v>
      </c>
      <c r="AJ95" t="s">
        <v>32</v>
      </c>
      <c r="AK95" t="s">
        <v>32</v>
      </c>
      <c r="AL95">
        <v>9</v>
      </c>
      <c r="AM95">
        <v>5</v>
      </c>
      <c r="AN95" s="3" t="s">
        <v>32</v>
      </c>
      <c r="AO95">
        <v>10</v>
      </c>
      <c r="AP95">
        <v>9</v>
      </c>
      <c r="AQ95" s="3">
        <v>10</v>
      </c>
      <c r="AR95" t="s">
        <v>32</v>
      </c>
      <c r="AS95" s="3" t="s">
        <v>33</v>
      </c>
      <c r="AT95" s="372" t="s">
        <v>199</v>
      </c>
      <c r="AU95" s="22">
        <f t="shared" si="130"/>
        <v>0.83333333333333348</v>
      </c>
      <c r="AV95" s="23" t="str">
        <f t="shared" si="131"/>
        <v>Minors</v>
      </c>
      <c r="AW95" s="22">
        <f t="shared" si="132"/>
        <v>2.3333333333333335</v>
      </c>
      <c r="AX95" s="22" t="str">
        <f t="shared" si="133"/>
        <v>Minors</v>
      </c>
      <c r="AY95" s="23">
        <f t="shared" si="134"/>
        <v>2.3333333333333335</v>
      </c>
      <c r="AZ95" s="23" t="str">
        <f t="shared" si="135"/>
        <v>Minors</v>
      </c>
      <c r="BA95" s="64">
        <f t="shared" si="136"/>
        <v>0</v>
      </c>
      <c r="BB95" s="65">
        <f t="shared" si="137"/>
        <v>0</v>
      </c>
      <c r="BC95" s="65">
        <f t="shared" si="138"/>
        <v>0</v>
      </c>
      <c r="BD95" s="65">
        <f t="shared" si="139"/>
        <v>0</v>
      </c>
      <c r="BE95" s="65">
        <f t="shared" si="140"/>
        <v>0</v>
      </c>
      <c r="BF95" s="65">
        <f t="shared" si="141"/>
        <v>0</v>
      </c>
      <c r="BG95" s="65">
        <f t="shared" si="142"/>
        <v>0</v>
      </c>
      <c r="BH95" s="65">
        <f t="shared" si="143"/>
        <v>0</v>
      </c>
      <c r="BI95" s="21">
        <f t="shared" si="144"/>
        <v>0</v>
      </c>
      <c r="BJ95" s="64">
        <f t="shared" si="145"/>
        <v>0</v>
      </c>
      <c r="BK95" s="65">
        <f t="shared" si="146"/>
        <v>0</v>
      </c>
      <c r="BL95" s="65">
        <f t="shared" si="147"/>
        <v>0</v>
      </c>
      <c r="BM95" s="65">
        <f t="shared" si="148"/>
        <v>0</v>
      </c>
      <c r="BN95" s="65">
        <f t="shared" si="149"/>
        <v>0</v>
      </c>
      <c r="BO95" s="65">
        <f t="shared" si="150"/>
        <v>0</v>
      </c>
      <c r="BP95" s="65">
        <f t="shared" si="151"/>
        <v>0</v>
      </c>
      <c r="BQ95" s="65">
        <f t="shared" si="152"/>
        <v>0</v>
      </c>
      <c r="BR95" s="21">
        <f t="shared" si="153"/>
        <v>0</v>
      </c>
      <c r="BS95" s="21">
        <f t="shared" si="154"/>
        <v>6</v>
      </c>
      <c r="BT95" s="24">
        <f t="shared" si="155"/>
        <v>2</v>
      </c>
      <c r="BU95" s="20" t="str">
        <f t="shared" si="156"/>
        <v/>
      </c>
      <c r="BV95" s="306" t="e">
        <f>IF(S95="-","-",VLOOKUP($A95,AMABat!$A$10:$AS$1137,BV$9,FALSE)-S95)</f>
        <v>#N/A</v>
      </c>
      <c r="BW95" s="306" t="e">
        <f>IF(T95="-","-",VLOOKUP($A95,AMABat!$A$10:$AS$1137,BW$9,FALSE)-T95)</f>
        <v>#N/A</v>
      </c>
      <c r="BX95" s="306" t="e">
        <f>IF(U95="-","-",VLOOKUP($A95,AMABat!$A$10:$AS$1137,BX$9,FALSE)-U95)</f>
        <v>#N/A</v>
      </c>
      <c r="BY95" s="306" t="e">
        <f>IF(V95="-","-",VLOOKUP($A95,AMABat!$A$10:$AS$1137,BY$9,FALSE)-V95)</f>
        <v>#N/A</v>
      </c>
      <c r="BZ95" s="306" t="e">
        <f>IF(W95="-","-",VLOOKUP($A95,AMABat!$A$10:$AS$1137,BZ$9,FALSE)-W95)</f>
        <v>#N/A</v>
      </c>
      <c r="CA95" s="306" t="e">
        <f>IF(X95="-","-",VLOOKUP($A95,AMABat!$A$10:$AS$1137,CA$9,FALSE)-X95)</f>
        <v>#N/A</v>
      </c>
      <c r="CB95" s="306" t="e">
        <f>IF(Y95="-","-",VLOOKUP($A95,AMABat!$A$10:$AS$1137,CB$9,FALSE)-Y95)</f>
        <v>#N/A</v>
      </c>
      <c r="CC95" s="306" t="e">
        <f>IF(Z95="-","-",VLOOKUP($A95,AMABat!$A$10:$AS$1137,CC$9,FALSE)-Z95)</f>
        <v>#N/A</v>
      </c>
      <c r="CD95" s="306" t="e">
        <f>IF(AA95="-","-",VLOOKUP($A95,AMABat!$A$10:$AS$1137,CD$9,FALSE)-AA95)</f>
        <v>#N/A</v>
      </c>
      <c r="CE95" s="306" t="e">
        <f>IF(AB95="-","-",VLOOKUP($A95,AMABat!$A$10:$AS$1137,CE$9,FALSE)-AB95)</f>
        <v>#N/A</v>
      </c>
      <c r="CF95" s="306" t="e">
        <f>IF(AC95="-","-",VLOOKUP($A95,AMABat!$A$10:$AS$1137,CF$9,FALSE)-AC95)</f>
        <v>#N/A</v>
      </c>
      <c r="CG95" s="306" t="e">
        <f>IF(AD95="-","-",VLOOKUP($A95,AMABat!$A$10:$AS$1137,CG$9,FALSE)-AD95)</f>
        <v>#N/A</v>
      </c>
      <c r="CH95" s="306" t="e">
        <f>IF(AE95="-","-",VLOOKUP($A95,AMABat!$A$10:$AS$1137,CH$9,FALSE)-AE95)</f>
        <v>#N/A</v>
      </c>
      <c r="CI95" s="306" t="str">
        <f>IF(AG95="-","-",VLOOKUP($A95,AMABat!$A$10:$AS$1137,CI$9,FALSE)-AG95)</f>
        <v>-</v>
      </c>
      <c r="CJ95" s="306" t="str">
        <f>IF(AH95="-","-",VLOOKUP($A95,AMABat!$A$10:$AS$1137,CJ$9,FALSE)-AH95)</f>
        <v>-</v>
      </c>
      <c r="CK95" s="306" t="str">
        <f>IF(AI95="-","-",VLOOKUP($A95,AMABat!$A$10:$AS$1137,CK$9,FALSE)-AI95)</f>
        <v>-</v>
      </c>
      <c r="CL95" s="306" t="str">
        <f>IF(AJ95="-","-",VLOOKUP($A95,AMABat!$A$10:$AS$1137,CL$9,FALSE)-AJ95)</f>
        <v>-</v>
      </c>
      <c r="CM95" s="306" t="str">
        <f>IF(AK95="-","-",VLOOKUP($A95,AMABat!$A$10:$AS$1137,CM$9,FALSE)-AK95)</f>
        <v>-</v>
      </c>
      <c r="CN95" s="306" t="e">
        <f>IF(AL95="-","-",VLOOKUP($A95,AMABat!$A$10:$AS$1137,CN$9,FALSE)-AL95)</f>
        <v>#N/A</v>
      </c>
      <c r="CO95" s="306" t="e">
        <f>IF(AM95="-","-",VLOOKUP($A95,AMABat!$A$10:$AS$1137,CO$9,FALSE)-AM95)</f>
        <v>#N/A</v>
      </c>
      <c r="CP95" s="306" t="str">
        <f>IF(AN95="-","-",VLOOKUP($A95,AMABat!$A$10:$AS$1137,CP$9,FALSE)-AN95)</f>
        <v>-</v>
      </c>
      <c r="CQ95" s="306" t="e">
        <f>IF(AO95="-","-",VLOOKUP($A95,AMABat!$A$10:$AS$1137,CQ$9,FALSE)-AO95)</f>
        <v>#N/A</v>
      </c>
      <c r="CR95" s="306" t="e">
        <f>IF(AP95="-","-",VLOOKUP($A95,AMABat!$A$10:$AS$1137,CR$9,FALSE)-AP95)</f>
        <v>#N/A</v>
      </c>
      <c r="CS95" s="306" t="e">
        <f>IF(AQ95="-","-",VLOOKUP($A95,AMABat!$A$10:$AS$1137,CS$9,FALSE)-AQ95)</f>
        <v>#N/A</v>
      </c>
      <c r="CT95" s="306" t="e">
        <f t="shared" si="157"/>
        <v>#N/A</v>
      </c>
      <c r="CU95" s="306" t="e">
        <f t="shared" si="158"/>
        <v>#N/A</v>
      </c>
      <c r="CV95" s="306" t="e">
        <f t="shared" si="159"/>
        <v>#N/A</v>
      </c>
      <c r="CW95" s="306" t="e">
        <f t="shared" si="160"/>
        <v>#N/A</v>
      </c>
      <c r="CX95" s="306" t="e">
        <f t="shared" si="161"/>
        <v>#N/A</v>
      </c>
    </row>
    <row r="96" spans="1:102" x14ac:dyDescent="0.25">
      <c r="A96" s="306" t="s">
        <v>687</v>
      </c>
      <c r="B96" s="305" t="s">
        <v>534</v>
      </c>
      <c r="C96" s="305"/>
      <c r="D96" s="305" t="s">
        <v>32</v>
      </c>
      <c r="E96" s="305" t="s">
        <v>32</v>
      </c>
      <c r="F96" s="305" t="s">
        <v>81</v>
      </c>
      <c r="G96" t="s">
        <v>71</v>
      </c>
      <c r="H96" t="s">
        <v>1185</v>
      </c>
      <c r="I96" s="305" t="s">
        <v>1186</v>
      </c>
      <c r="J96" t="s">
        <v>802</v>
      </c>
      <c r="K96" t="s">
        <v>277</v>
      </c>
      <c r="L96">
        <v>22</v>
      </c>
      <c r="M96" t="s">
        <v>82</v>
      </c>
      <c r="N96" t="s">
        <v>83</v>
      </c>
      <c r="O96" t="s">
        <v>816</v>
      </c>
      <c r="P96" s="3" t="s">
        <v>773</v>
      </c>
      <c r="Q96" t="s">
        <v>199</v>
      </c>
      <c r="R96" s="3" t="s">
        <v>200</v>
      </c>
      <c r="S96">
        <v>3</v>
      </c>
      <c r="T96">
        <v>5</v>
      </c>
      <c r="U96">
        <v>2</v>
      </c>
      <c r="V96">
        <v>2</v>
      </c>
      <c r="W96" s="3">
        <v>3</v>
      </c>
      <c r="X96">
        <v>4</v>
      </c>
      <c r="Y96">
        <v>5</v>
      </c>
      <c r="Z96">
        <v>3</v>
      </c>
      <c r="AA96">
        <v>3</v>
      </c>
      <c r="AB96" s="3">
        <v>5</v>
      </c>
      <c r="AC96">
        <v>4</v>
      </c>
      <c r="AD96">
        <v>3</v>
      </c>
      <c r="AE96">
        <v>6</v>
      </c>
      <c r="AF96" s="305">
        <v>7</v>
      </c>
      <c r="AG96" t="s">
        <v>32</v>
      </c>
      <c r="AH96" t="s">
        <v>32</v>
      </c>
      <c r="AI96" t="s">
        <v>32</v>
      </c>
      <c r="AJ96" t="s">
        <v>32</v>
      </c>
      <c r="AK96" t="s">
        <v>32</v>
      </c>
      <c r="AL96" t="s">
        <v>32</v>
      </c>
      <c r="AM96" t="s">
        <v>32</v>
      </c>
      <c r="AN96" s="3" t="s">
        <v>32</v>
      </c>
      <c r="AO96">
        <v>3</v>
      </c>
      <c r="AP96">
        <v>5</v>
      </c>
      <c r="AQ96" s="3">
        <v>1</v>
      </c>
      <c r="AR96" t="s">
        <v>32</v>
      </c>
      <c r="AS96" s="3" t="s">
        <v>33</v>
      </c>
      <c r="AT96" s="372" t="s">
        <v>199</v>
      </c>
      <c r="AU96" s="22">
        <f t="shared" si="130"/>
        <v>0.83333333333333348</v>
      </c>
      <c r="AV96" s="23" t="str">
        <f t="shared" si="131"/>
        <v>Minors</v>
      </c>
      <c r="AW96" s="22">
        <f t="shared" si="132"/>
        <v>2.3333333333333335</v>
      </c>
      <c r="AX96" s="22" t="str">
        <f t="shared" si="133"/>
        <v>Minors</v>
      </c>
      <c r="AY96" s="23">
        <f t="shared" si="134"/>
        <v>2.3333333333333335</v>
      </c>
      <c r="AZ96" s="23" t="str">
        <f t="shared" si="135"/>
        <v>Minors</v>
      </c>
      <c r="BA96" s="64">
        <f t="shared" si="136"/>
        <v>0</v>
      </c>
      <c r="BB96" s="65">
        <f t="shared" si="137"/>
        <v>0</v>
      </c>
      <c r="BC96" s="65">
        <f t="shared" si="138"/>
        <v>0</v>
      </c>
      <c r="BD96" s="65">
        <f t="shared" si="139"/>
        <v>0</v>
      </c>
      <c r="BE96" s="65">
        <f t="shared" si="140"/>
        <v>0</v>
      </c>
      <c r="BF96" s="65">
        <f t="shared" si="141"/>
        <v>0</v>
      </c>
      <c r="BG96" s="65">
        <f t="shared" si="142"/>
        <v>0</v>
      </c>
      <c r="BH96" s="65">
        <f t="shared" si="143"/>
        <v>0</v>
      </c>
      <c r="BI96" s="21">
        <f t="shared" si="144"/>
        <v>0</v>
      </c>
      <c r="BJ96" s="64">
        <f t="shared" si="145"/>
        <v>0</v>
      </c>
      <c r="BK96" s="65">
        <f t="shared" si="146"/>
        <v>0</v>
      </c>
      <c r="BL96" s="65">
        <f t="shared" si="147"/>
        <v>0</v>
      </c>
      <c r="BM96" s="65">
        <f t="shared" si="148"/>
        <v>0</v>
      </c>
      <c r="BN96" s="65">
        <f t="shared" si="149"/>
        <v>0</v>
      </c>
      <c r="BO96" s="65">
        <f t="shared" si="150"/>
        <v>0</v>
      </c>
      <c r="BP96" s="65">
        <f t="shared" si="151"/>
        <v>0</v>
      </c>
      <c r="BQ96" s="65">
        <f t="shared" si="152"/>
        <v>0</v>
      </c>
      <c r="BR96" s="21">
        <f t="shared" si="153"/>
        <v>0</v>
      </c>
      <c r="BS96" s="21">
        <f t="shared" si="154"/>
        <v>0</v>
      </c>
      <c r="BT96" s="24">
        <f t="shared" si="155"/>
        <v>0</v>
      </c>
      <c r="BU96" s="20" t="str">
        <f t="shared" si="156"/>
        <v/>
      </c>
      <c r="BV96" s="306" t="e">
        <f>IF(S96="-","-",VLOOKUP($A96,AMABat!$A$10:$AS$1137,BV$9,FALSE)-S96)</f>
        <v>#N/A</v>
      </c>
      <c r="BW96" s="306" t="e">
        <f>IF(T96="-","-",VLOOKUP($A96,AMABat!$A$10:$AS$1137,BW$9,FALSE)-T96)</f>
        <v>#N/A</v>
      </c>
      <c r="BX96" s="306" t="e">
        <f>IF(U96="-","-",VLOOKUP($A96,AMABat!$A$10:$AS$1137,BX$9,FALSE)-U96)</f>
        <v>#N/A</v>
      </c>
      <c r="BY96" s="306" t="e">
        <f>IF(V96="-","-",VLOOKUP($A96,AMABat!$A$10:$AS$1137,BY$9,FALSE)-V96)</f>
        <v>#N/A</v>
      </c>
      <c r="BZ96" s="306" t="e">
        <f>IF(W96="-","-",VLOOKUP($A96,AMABat!$A$10:$AS$1137,BZ$9,FALSE)-W96)</f>
        <v>#N/A</v>
      </c>
      <c r="CA96" s="306" t="e">
        <f>IF(X96="-","-",VLOOKUP($A96,AMABat!$A$10:$AS$1137,CA$9,FALSE)-X96)</f>
        <v>#N/A</v>
      </c>
      <c r="CB96" s="306" t="e">
        <f>IF(Y96="-","-",VLOOKUP($A96,AMABat!$A$10:$AS$1137,CB$9,FALSE)-Y96)</f>
        <v>#N/A</v>
      </c>
      <c r="CC96" s="306" t="e">
        <f>IF(Z96="-","-",VLOOKUP($A96,AMABat!$A$10:$AS$1137,CC$9,FALSE)-Z96)</f>
        <v>#N/A</v>
      </c>
      <c r="CD96" s="306" t="e">
        <f>IF(AA96="-","-",VLOOKUP($A96,AMABat!$A$10:$AS$1137,CD$9,FALSE)-AA96)</f>
        <v>#N/A</v>
      </c>
      <c r="CE96" s="306" t="e">
        <f>IF(AB96="-","-",VLOOKUP($A96,AMABat!$A$10:$AS$1137,CE$9,FALSE)-AB96)</f>
        <v>#N/A</v>
      </c>
      <c r="CF96" s="306" t="e">
        <f>IF(AC96="-","-",VLOOKUP($A96,AMABat!$A$10:$AS$1137,CF$9,FALSE)-AC96)</f>
        <v>#N/A</v>
      </c>
      <c r="CG96" s="306" t="e">
        <f>IF(AD96="-","-",VLOOKUP($A96,AMABat!$A$10:$AS$1137,CG$9,FALSE)-AD96)</f>
        <v>#N/A</v>
      </c>
      <c r="CH96" s="306" t="e">
        <f>IF(AE96="-","-",VLOOKUP($A96,AMABat!$A$10:$AS$1137,CH$9,FALSE)-AE96)</f>
        <v>#N/A</v>
      </c>
      <c r="CI96" s="306" t="str">
        <f>IF(AG96="-","-",VLOOKUP($A96,AMABat!$A$10:$AS$1137,CI$9,FALSE)-AG96)</f>
        <v>-</v>
      </c>
      <c r="CJ96" s="306" t="str">
        <f>IF(AH96="-","-",VLOOKUP($A96,AMABat!$A$10:$AS$1137,CJ$9,FALSE)-AH96)</f>
        <v>-</v>
      </c>
      <c r="CK96" s="306" t="str">
        <f>IF(AI96="-","-",VLOOKUP($A96,AMABat!$A$10:$AS$1137,CK$9,FALSE)-AI96)</f>
        <v>-</v>
      </c>
      <c r="CL96" s="306" t="str">
        <f>IF(AJ96="-","-",VLOOKUP($A96,AMABat!$A$10:$AS$1137,CL$9,FALSE)-AJ96)</f>
        <v>-</v>
      </c>
      <c r="CM96" s="306" t="str">
        <f>IF(AK96="-","-",VLOOKUP($A96,AMABat!$A$10:$AS$1137,CM$9,FALSE)-AK96)</f>
        <v>-</v>
      </c>
      <c r="CN96" s="306" t="str">
        <f>IF(AL96="-","-",VLOOKUP($A96,AMABat!$A$10:$AS$1137,CN$9,FALSE)-AL96)</f>
        <v>-</v>
      </c>
      <c r="CO96" s="306" t="str">
        <f>IF(AM96="-","-",VLOOKUP($A96,AMABat!$A$10:$AS$1137,CO$9,FALSE)-AM96)</f>
        <v>-</v>
      </c>
      <c r="CP96" s="306" t="str">
        <f>IF(AN96="-","-",VLOOKUP($A96,AMABat!$A$10:$AS$1137,CP$9,FALSE)-AN96)</f>
        <v>-</v>
      </c>
      <c r="CQ96" s="306" t="e">
        <f>IF(AO96="-","-",VLOOKUP($A96,AMABat!$A$10:$AS$1137,CQ$9,FALSE)-AO96)</f>
        <v>#N/A</v>
      </c>
      <c r="CR96" s="306" t="e">
        <f>IF(AP96="-","-",VLOOKUP($A96,AMABat!$A$10:$AS$1137,CR$9,FALSE)-AP96)</f>
        <v>#N/A</v>
      </c>
      <c r="CS96" s="306" t="e">
        <f>IF(AQ96="-","-",VLOOKUP($A96,AMABat!$A$10:$AS$1137,CS$9,FALSE)-AQ96)</f>
        <v>#N/A</v>
      </c>
      <c r="CT96" s="306" t="e">
        <f t="shared" si="157"/>
        <v>#N/A</v>
      </c>
      <c r="CU96" s="306" t="e">
        <f t="shared" si="158"/>
        <v>#N/A</v>
      </c>
      <c r="CV96" s="306" t="e">
        <f t="shared" si="159"/>
        <v>#N/A</v>
      </c>
      <c r="CW96" s="306" t="e">
        <f t="shared" si="160"/>
        <v>#N/A</v>
      </c>
      <c r="CX96" s="306" t="e">
        <f t="shared" si="161"/>
        <v>#N/A</v>
      </c>
    </row>
    <row r="97" spans="1:102" x14ac:dyDescent="0.25">
      <c r="A97" s="306" t="s">
        <v>688</v>
      </c>
      <c r="B97" s="305" t="s">
        <v>534</v>
      </c>
      <c r="C97" s="305"/>
      <c r="D97" s="305" t="s">
        <v>32</v>
      </c>
      <c r="E97" s="305" t="s">
        <v>32</v>
      </c>
      <c r="F97" s="305" t="s">
        <v>81</v>
      </c>
      <c r="G97" t="s">
        <v>76</v>
      </c>
      <c r="H97" t="s">
        <v>528</v>
      </c>
      <c r="I97" s="305" t="s">
        <v>724</v>
      </c>
      <c r="J97" t="s">
        <v>763</v>
      </c>
      <c r="K97" t="s">
        <v>402</v>
      </c>
      <c r="L97">
        <v>25</v>
      </c>
      <c r="M97" t="s">
        <v>83</v>
      </c>
      <c r="N97" t="s">
        <v>83</v>
      </c>
      <c r="O97" t="s">
        <v>808</v>
      </c>
      <c r="P97" s="3" t="s">
        <v>773</v>
      </c>
      <c r="Q97" t="s">
        <v>201</v>
      </c>
      <c r="R97" s="3" t="s">
        <v>201</v>
      </c>
      <c r="S97">
        <v>3</v>
      </c>
      <c r="T97">
        <v>4</v>
      </c>
      <c r="U97">
        <v>3</v>
      </c>
      <c r="V97">
        <v>1</v>
      </c>
      <c r="W97" s="3">
        <v>2</v>
      </c>
      <c r="X97">
        <v>3</v>
      </c>
      <c r="Y97">
        <v>4</v>
      </c>
      <c r="Z97">
        <v>3</v>
      </c>
      <c r="AA97">
        <v>2</v>
      </c>
      <c r="AB97" s="3">
        <v>3</v>
      </c>
      <c r="AC97">
        <v>8</v>
      </c>
      <c r="AD97">
        <v>7</v>
      </c>
      <c r="AE97">
        <v>1</v>
      </c>
      <c r="AF97" s="305">
        <v>1</v>
      </c>
      <c r="AG97" t="s">
        <v>32</v>
      </c>
      <c r="AH97" t="s">
        <v>32</v>
      </c>
      <c r="AI97">
        <v>4</v>
      </c>
      <c r="AJ97">
        <v>2</v>
      </c>
      <c r="AK97">
        <v>9</v>
      </c>
      <c r="AL97">
        <v>5</v>
      </c>
      <c r="AM97">
        <v>2</v>
      </c>
      <c r="AN97" s="3" t="s">
        <v>32</v>
      </c>
      <c r="AO97">
        <v>9</v>
      </c>
      <c r="AP97">
        <v>9</v>
      </c>
      <c r="AQ97" s="3">
        <v>6</v>
      </c>
      <c r="AR97" t="s">
        <v>32</v>
      </c>
      <c r="AS97" s="3">
        <v>0</v>
      </c>
      <c r="AT97" s="372" t="s">
        <v>779</v>
      </c>
      <c r="AU97" s="22">
        <f t="shared" si="130"/>
        <v>0.83333333333333348</v>
      </c>
      <c r="AV97" s="23" t="str">
        <f t="shared" si="131"/>
        <v>Minors</v>
      </c>
      <c r="AW97" s="22">
        <f t="shared" si="132"/>
        <v>1.1666666666666665</v>
      </c>
      <c r="AX97" s="22" t="str">
        <f t="shared" si="133"/>
        <v>Minors</v>
      </c>
      <c r="AY97" s="23">
        <f t="shared" si="134"/>
        <v>0.83333333333333348</v>
      </c>
      <c r="AZ97" s="23" t="str">
        <f t="shared" si="135"/>
        <v>Minors</v>
      </c>
      <c r="BA97" s="64">
        <f t="shared" si="136"/>
        <v>0</v>
      </c>
      <c r="BB97" s="65">
        <f t="shared" si="137"/>
        <v>0</v>
      </c>
      <c r="BC97" s="65">
        <f t="shared" si="138"/>
        <v>0</v>
      </c>
      <c r="BD97" s="65">
        <f t="shared" si="139"/>
        <v>0</v>
      </c>
      <c r="BE97" s="65">
        <f t="shared" si="140"/>
        <v>0</v>
      </c>
      <c r="BF97" s="65">
        <f t="shared" si="141"/>
        <v>0</v>
      </c>
      <c r="BG97" s="65">
        <f t="shared" si="142"/>
        <v>0</v>
      </c>
      <c r="BH97" s="65">
        <f t="shared" si="143"/>
        <v>0</v>
      </c>
      <c r="BI97" s="21">
        <f t="shared" si="144"/>
        <v>0</v>
      </c>
      <c r="BJ97" s="64">
        <f t="shared" si="145"/>
        <v>0</v>
      </c>
      <c r="BK97" s="65">
        <f t="shared" si="146"/>
        <v>0</v>
      </c>
      <c r="BL97" s="65">
        <f t="shared" si="147"/>
        <v>0</v>
      </c>
      <c r="BM97" s="65">
        <f t="shared" si="148"/>
        <v>0</v>
      </c>
      <c r="BN97" s="65">
        <f t="shared" si="149"/>
        <v>0</v>
      </c>
      <c r="BO97" s="65">
        <f t="shared" si="150"/>
        <v>0</v>
      </c>
      <c r="BP97" s="65">
        <f t="shared" si="151"/>
        <v>0</v>
      </c>
      <c r="BQ97" s="65">
        <f t="shared" si="152"/>
        <v>0</v>
      </c>
      <c r="BR97" s="21">
        <f t="shared" si="153"/>
        <v>0</v>
      </c>
      <c r="BS97" s="21">
        <f t="shared" si="154"/>
        <v>3</v>
      </c>
      <c r="BT97" s="24">
        <f t="shared" si="155"/>
        <v>2</v>
      </c>
      <c r="BU97" s="20" t="str">
        <f t="shared" si="156"/>
        <v/>
      </c>
      <c r="BV97" s="306" t="e">
        <f>IF(S97="-","-",VLOOKUP($A97,AMABat!$A$10:$AS$1137,BV$9,FALSE)-S97)</f>
        <v>#N/A</v>
      </c>
      <c r="BW97" s="306" t="e">
        <f>IF(T97="-","-",VLOOKUP($A97,AMABat!$A$10:$AS$1137,BW$9,FALSE)-T97)</f>
        <v>#N/A</v>
      </c>
      <c r="BX97" s="306" t="e">
        <f>IF(U97="-","-",VLOOKUP($A97,AMABat!$A$10:$AS$1137,BX$9,FALSE)-U97)</f>
        <v>#N/A</v>
      </c>
      <c r="BY97" s="306" t="e">
        <f>IF(V97="-","-",VLOOKUP($A97,AMABat!$A$10:$AS$1137,BY$9,FALSE)-V97)</f>
        <v>#N/A</v>
      </c>
      <c r="BZ97" s="306" t="e">
        <f>IF(W97="-","-",VLOOKUP($A97,AMABat!$A$10:$AS$1137,BZ$9,FALSE)-W97)</f>
        <v>#N/A</v>
      </c>
      <c r="CA97" s="306" t="e">
        <f>IF(X97="-","-",VLOOKUP($A97,AMABat!$A$10:$AS$1137,CA$9,FALSE)-X97)</f>
        <v>#N/A</v>
      </c>
      <c r="CB97" s="306" t="e">
        <f>IF(Y97="-","-",VLOOKUP($A97,AMABat!$A$10:$AS$1137,CB$9,FALSE)-Y97)</f>
        <v>#N/A</v>
      </c>
      <c r="CC97" s="306" t="e">
        <f>IF(Z97="-","-",VLOOKUP($A97,AMABat!$A$10:$AS$1137,CC$9,FALSE)-Z97)</f>
        <v>#N/A</v>
      </c>
      <c r="CD97" s="306" t="e">
        <f>IF(AA97="-","-",VLOOKUP($A97,AMABat!$A$10:$AS$1137,CD$9,FALSE)-AA97)</f>
        <v>#N/A</v>
      </c>
      <c r="CE97" s="306" t="e">
        <f>IF(AB97="-","-",VLOOKUP($A97,AMABat!$A$10:$AS$1137,CE$9,FALSE)-AB97)</f>
        <v>#N/A</v>
      </c>
      <c r="CF97" s="306" t="e">
        <f>IF(AC97="-","-",VLOOKUP($A97,AMABat!$A$10:$AS$1137,CF$9,FALSE)-AC97)</f>
        <v>#N/A</v>
      </c>
      <c r="CG97" s="306" t="e">
        <f>IF(AD97="-","-",VLOOKUP($A97,AMABat!$A$10:$AS$1137,CG$9,FALSE)-AD97)</f>
        <v>#N/A</v>
      </c>
      <c r="CH97" s="306" t="e">
        <f>IF(AE97="-","-",VLOOKUP($A97,AMABat!$A$10:$AS$1137,CH$9,FALSE)-AE97)</f>
        <v>#N/A</v>
      </c>
      <c r="CI97" s="306" t="str">
        <f>IF(AG97="-","-",VLOOKUP($A97,AMABat!$A$10:$AS$1137,CI$9,FALSE)-AG97)</f>
        <v>-</v>
      </c>
      <c r="CJ97" s="306" t="str">
        <f>IF(AH97="-","-",VLOOKUP($A97,AMABat!$A$10:$AS$1137,CJ$9,FALSE)-AH97)</f>
        <v>-</v>
      </c>
      <c r="CK97" s="306" t="e">
        <f>IF(AI97="-","-",VLOOKUP($A97,AMABat!$A$10:$AS$1137,CK$9,FALSE)-AI97)</f>
        <v>#N/A</v>
      </c>
      <c r="CL97" s="306" t="e">
        <f>IF(AJ97="-","-",VLOOKUP($A97,AMABat!$A$10:$AS$1137,CL$9,FALSE)-AJ97)</f>
        <v>#N/A</v>
      </c>
      <c r="CM97" s="306" t="e">
        <f>IF(AK97="-","-",VLOOKUP($A97,AMABat!$A$10:$AS$1137,CM$9,FALSE)-AK97)</f>
        <v>#N/A</v>
      </c>
      <c r="CN97" s="306" t="e">
        <f>IF(AL97="-","-",VLOOKUP($A97,AMABat!$A$10:$AS$1137,CN$9,FALSE)-AL97)</f>
        <v>#N/A</v>
      </c>
      <c r="CO97" s="306" t="e">
        <f>IF(AM97="-","-",VLOOKUP($A97,AMABat!$A$10:$AS$1137,CO$9,FALSE)-AM97)</f>
        <v>#N/A</v>
      </c>
      <c r="CP97" s="306" t="str">
        <f>IF(AN97="-","-",VLOOKUP($A97,AMABat!$A$10:$AS$1137,CP$9,FALSE)-AN97)</f>
        <v>-</v>
      </c>
      <c r="CQ97" s="306" t="e">
        <f>IF(AO97="-","-",VLOOKUP($A97,AMABat!$A$10:$AS$1137,CQ$9,FALSE)-AO97)</f>
        <v>#N/A</v>
      </c>
      <c r="CR97" s="306" t="e">
        <f>IF(AP97="-","-",VLOOKUP($A97,AMABat!$A$10:$AS$1137,CR$9,FALSE)-AP97)</f>
        <v>#N/A</v>
      </c>
      <c r="CS97" s="306" t="e">
        <f>IF(AQ97="-","-",VLOOKUP($A97,AMABat!$A$10:$AS$1137,CS$9,FALSE)-AQ97)</f>
        <v>#N/A</v>
      </c>
      <c r="CT97" s="306" t="e">
        <f t="shared" si="157"/>
        <v>#N/A</v>
      </c>
      <c r="CU97" s="306" t="e">
        <f t="shared" si="158"/>
        <v>#N/A</v>
      </c>
      <c r="CV97" s="306" t="e">
        <f t="shared" si="159"/>
        <v>#N/A</v>
      </c>
      <c r="CW97" s="306" t="e">
        <f t="shared" si="160"/>
        <v>#N/A</v>
      </c>
      <c r="CX97" s="306" t="e">
        <f t="shared" si="161"/>
        <v>#N/A</v>
      </c>
    </row>
    <row r="98" spans="1:102" x14ac:dyDescent="0.25">
      <c r="A98" s="306" t="s">
        <v>689</v>
      </c>
      <c r="B98" s="305" t="s">
        <v>534</v>
      </c>
      <c r="C98" s="305"/>
      <c r="D98" s="305" t="s">
        <v>32</v>
      </c>
      <c r="E98" s="305" t="s">
        <v>32</v>
      </c>
      <c r="F98" s="305" t="s">
        <v>81</v>
      </c>
      <c r="G98" t="s">
        <v>76</v>
      </c>
      <c r="H98" t="s">
        <v>445</v>
      </c>
      <c r="I98" s="305" t="s">
        <v>469</v>
      </c>
      <c r="J98" t="s">
        <v>802</v>
      </c>
      <c r="K98" t="s">
        <v>277</v>
      </c>
      <c r="L98">
        <v>22</v>
      </c>
      <c r="M98" t="s">
        <v>83</v>
      </c>
      <c r="N98" t="s">
        <v>83</v>
      </c>
      <c r="O98" t="s">
        <v>808</v>
      </c>
      <c r="P98" s="3" t="s">
        <v>773</v>
      </c>
      <c r="Q98" t="s">
        <v>201</v>
      </c>
      <c r="R98" s="3" t="s">
        <v>200</v>
      </c>
      <c r="S98">
        <v>3</v>
      </c>
      <c r="T98">
        <v>4</v>
      </c>
      <c r="U98">
        <v>2</v>
      </c>
      <c r="V98">
        <v>2</v>
      </c>
      <c r="W98" s="3">
        <v>4</v>
      </c>
      <c r="X98">
        <v>3</v>
      </c>
      <c r="Y98">
        <v>4</v>
      </c>
      <c r="Z98">
        <v>2</v>
      </c>
      <c r="AA98">
        <v>3</v>
      </c>
      <c r="AB98" s="3">
        <v>4</v>
      </c>
      <c r="AC98">
        <v>6</v>
      </c>
      <c r="AD98">
        <v>6</v>
      </c>
      <c r="AE98">
        <v>1</v>
      </c>
      <c r="AF98" s="305">
        <v>1</v>
      </c>
      <c r="AG98" t="s">
        <v>32</v>
      </c>
      <c r="AH98" t="s">
        <v>32</v>
      </c>
      <c r="AI98">
        <v>3</v>
      </c>
      <c r="AJ98" t="s">
        <v>32</v>
      </c>
      <c r="AK98">
        <v>8</v>
      </c>
      <c r="AL98" t="s">
        <v>32</v>
      </c>
      <c r="AM98" t="s">
        <v>32</v>
      </c>
      <c r="AN98" s="3" t="s">
        <v>32</v>
      </c>
      <c r="AO98">
        <v>4</v>
      </c>
      <c r="AP98">
        <v>7</v>
      </c>
      <c r="AQ98" s="3">
        <v>6</v>
      </c>
      <c r="AR98" t="s">
        <v>32</v>
      </c>
      <c r="AS98" s="3">
        <v>0</v>
      </c>
      <c r="AT98" s="372" t="s">
        <v>529</v>
      </c>
      <c r="AU98" s="22">
        <f t="shared" si="130"/>
        <v>0.83333333333333348</v>
      </c>
      <c r="AV98" s="23" t="str">
        <f t="shared" si="131"/>
        <v>Minors</v>
      </c>
      <c r="AW98" s="22">
        <f t="shared" si="132"/>
        <v>1.1666666666666665</v>
      </c>
      <c r="AX98" s="22" t="str">
        <f t="shared" si="133"/>
        <v>Minors</v>
      </c>
      <c r="AY98" s="23">
        <f t="shared" si="134"/>
        <v>1.1666666666666665</v>
      </c>
      <c r="AZ98" s="23" t="str">
        <f t="shared" si="135"/>
        <v>Minors</v>
      </c>
      <c r="BA98" s="64">
        <f t="shared" si="136"/>
        <v>0</v>
      </c>
      <c r="BB98" s="65">
        <f t="shared" si="137"/>
        <v>0</v>
      </c>
      <c r="BC98" s="65">
        <f t="shared" si="138"/>
        <v>0</v>
      </c>
      <c r="BD98" s="65">
        <f t="shared" si="139"/>
        <v>0</v>
      </c>
      <c r="BE98" s="65">
        <f t="shared" si="140"/>
        <v>0</v>
      </c>
      <c r="BF98" s="65">
        <f t="shared" si="141"/>
        <v>0</v>
      </c>
      <c r="BG98" s="65">
        <f t="shared" si="142"/>
        <v>0</v>
      </c>
      <c r="BH98" s="65">
        <f t="shared" si="143"/>
        <v>0</v>
      </c>
      <c r="BI98" s="21">
        <f t="shared" si="144"/>
        <v>0</v>
      </c>
      <c r="BJ98" s="64">
        <f t="shared" si="145"/>
        <v>0</v>
      </c>
      <c r="BK98" s="65">
        <f t="shared" si="146"/>
        <v>0</v>
      </c>
      <c r="BL98" s="65">
        <f t="shared" si="147"/>
        <v>0</v>
      </c>
      <c r="BM98" s="65">
        <f t="shared" si="148"/>
        <v>0</v>
      </c>
      <c r="BN98" s="65">
        <f t="shared" si="149"/>
        <v>0</v>
      </c>
      <c r="BO98" s="65">
        <f t="shared" si="150"/>
        <v>0</v>
      </c>
      <c r="BP98" s="65">
        <f t="shared" si="151"/>
        <v>0</v>
      </c>
      <c r="BQ98" s="65">
        <f t="shared" si="152"/>
        <v>0</v>
      </c>
      <c r="BR98" s="21">
        <f t="shared" si="153"/>
        <v>0</v>
      </c>
      <c r="BS98" s="21">
        <f t="shared" si="154"/>
        <v>0</v>
      </c>
      <c r="BT98" s="24">
        <f t="shared" si="155"/>
        <v>2</v>
      </c>
      <c r="BU98" s="20" t="str">
        <f t="shared" si="156"/>
        <v/>
      </c>
      <c r="BV98" s="306" t="e">
        <f>IF(S98="-","-",VLOOKUP($A98,AMABat!$A$10:$AS$1137,BV$9,FALSE)-S98)</f>
        <v>#N/A</v>
      </c>
      <c r="BW98" s="306" t="e">
        <f>IF(T98="-","-",VLOOKUP($A98,AMABat!$A$10:$AS$1137,BW$9,FALSE)-T98)</f>
        <v>#N/A</v>
      </c>
      <c r="BX98" s="306" t="e">
        <f>IF(U98="-","-",VLOOKUP($A98,AMABat!$A$10:$AS$1137,BX$9,FALSE)-U98)</f>
        <v>#N/A</v>
      </c>
      <c r="BY98" s="306" t="e">
        <f>IF(V98="-","-",VLOOKUP($A98,AMABat!$A$10:$AS$1137,BY$9,FALSE)-V98)</f>
        <v>#N/A</v>
      </c>
      <c r="BZ98" s="306" t="e">
        <f>IF(W98="-","-",VLOOKUP($A98,AMABat!$A$10:$AS$1137,BZ$9,FALSE)-W98)</f>
        <v>#N/A</v>
      </c>
      <c r="CA98" s="306" t="e">
        <f>IF(X98="-","-",VLOOKUP($A98,AMABat!$A$10:$AS$1137,CA$9,FALSE)-X98)</f>
        <v>#N/A</v>
      </c>
      <c r="CB98" s="306" t="e">
        <f>IF(Y98="-","-",VLOOKUP($A98,AMABat!$A$10:$AS$1137,CB$9,FALSE)-Y98)</f>
        <v>#N/A</v>
      </c>
      <c r="CC98" s="306" t="e">
        <f>IF(Z98="-","-",VLOOKUP($A98,AMABat!$A$10:$AS$1137,CC$9,FALSE)-Z98)</f>
        <v>#N/A</v>
      </c>
      <c r="CD98" s="306" t="e">
        <f>IF(AA98="-","-",VLOOKUP($A98,AMABat!$A$10:$AS$1137,CD$9,FALSE)-AA98)</f>
        <v>#N/A</v>
      </c>
      <c r="CE98" s="306" t="e">
        <f>IF(AB98="-","-",VLOOKUP($A98,AMABat!$A$10:$AS$1137,CE$9,FALSE)-AB98)</f>
        <v>#N/A</v>
      </c>
      <c r="CF98" s="306" t="e">
        <f>IF(AC98="-","-",VLOOKUP($A98,AMABat!$A$10:$AS$1137,CF$9,FALSE)-AC98)</f>
        <v>#N/A</v>
      </c>
      <c r="CG98" s="306" t="e">
        <f>IF(AD98="-","-",VLOOKUP($A98,AMABat!$A$10:$AS$1137,CG$9,FALSE)-AD98)</f>
        <v>#N/A</v>
      </c>
      <c r="CH98" s="306" t="e">
        <f>IF(AE98="-","-",VLOOKUP($A98,AMABat!$A$10:$AS$1137,CH$9,FALSE)-AE98)</f>
        <v>#N/A</v>
      </c>
      <c r="CI98" s="306" t="str">
        <f>IF(AG98="-","-",VLOOKUP($A98,AMABat!$A$10:$AS$1137,CI$9,FALSE)-AG98)</f>
        <v>-</v>
      </c>
      <c r="CJ98" s="306" t="str">
        <f>IF(AH98="-","-",VLOOKUP($A98,AMABat!$A$10:$AS$1137,CJ$9,FALSE)-AH98)</f>
        <v>-</v>
      </c>
      <c r="CK98" s="306" t="e">
        <f>IF(AI98="-","-",VLOOKUP($A98,AMABat!$A$10:$AS$1137,CK$9,FALSE)-AI98)</f>
        <v>#N/A</v>
      </c>
      <c r="CL98" s="306" t="str">
        <f>IF(AJ98="-","-",VLOOKUP($A98,AMABat!$A$10:$AS$1137,CL$9,FALSE)-AJ98)</f>
        <v>-</v>
      </c>
      <c r="CM98" s="306" t="e">
        <f>IF(AK98="-","-",VLOOKUP($A98,AMABat!$A$10:$AS$1137,CM$9,FALSE)-AK98)</f>
        <v>#N/A</v>
      </c>
      <c r="CN98" s="306" t="str">
        <f>IF(AL98="-","-",VLOOKUP($A98,AMABat!$A$10:$AS$1137,CN$9,FALSE)-AL98)</f>
        <v>-</v>
      </c>
      <c r="CO98" s="306" t="str">
        <f>IF(AM98="-","-",VLOOKUP($A98,AMABat!$A$10:$AS$1137,CO$9,FALSE)-AM98)</f>
        <v>-</v>
      </c>
      <c r="CP98" s="306" t="str">
        <f>IF(AN98="-","-",VLOOKUP($A98,AMABat!$A$10:$AS$1137,CP$9,FALSE)-AN98)</f>
        <v>-</v>
      </c>
      <c r="CQ98" s="306" t="e">
        <f>IF(AO98="-","-",VLOOKUP($A98,AMABat!$A$10:$AS$1137,CQ$9,FALSE)-AO98)</f>
        <v>#N/A</v>
      </c>
      <c r="CR98" s="306" t="e">
        <f>IF(AP98="-","-",VLOOKUP($A98,AMABat!$A$10:$AS$1137,CR$9,FALSE)-AP98)</f>
        <v>#N/A</v>
      </c>
      <c r="CS98" s="306" t="e">
        <f>IF(AQ98="-","-",VLOOKUP($A98,AMABat!$A$10:$AS$1137,CS$9,FALSE)-AQ98)</f>
        <v>#N/A</v>
      </c>
      <c r="CT98" s="306" t="e">
        <f t="shared" si="157"/>
        <v>#N/A</v>
      </c>
      <c r="CU98" s="306" t="e">
        <f t="shared" si="158"/>
        <v>#N/A</v>
      </c>
      <c r="CV98" s="306" t="e">
        <f t="shared" si="159"/>
        <v>#N/A</v>
      </c>
      <c r="CW98" s="306" t="e">
        <f t="shared" si="160"/>
        <v>#N/A</v>
      </c>
      <c r="CX98" s="306" t="e">
        <f t="shared" si="161"/>
        <v>#N/A</v>
      </c>
    </row>
    <row r="99" spans="1:102" x14ac:dyDescent="0.25">
      <c r="A99" s="306" t="s">
        <v>690</v>
      </c>
      <c r="B99" s="305" t="s">
        <v>534</v>
      </c>
      <c r="C99" s="305"/>
      <c r="D99" s="305" t="s">
        <v>32</v>
      </c>
      <c r="E99" s="305" t="s">
        <v>32</v>
      </c>
      <c r="F99" s="305" t="s">
        <v>81</v>
      </c>
      <c r="G99" t="s">
        <v>77</v>
      </c>
      <c r="H99" t="s">
        <v>877</v>
      </c>
      <c r="I99" s="305" t="s">
        <v>878</v>
      </c>
      <c r="J99" t="s">
        <v>810</v>
      </c>
      <c r="K99" t="s">
        <v>83</v>
      </c>
      <c r="L99">
        <v>19</v>
      </c>
      <c r="M99" t="s">
        <v>82</v>
      </c>
      <c r="N99" t="s">
        <v>82</v>
      </c>
      <c r="O99" t="s">
        <v>816</v>
      </c>
      <c r="P99" s="3" t="s">
        <v>773</v>
      </c>
      <c r="Q99" t="s">
        <v>201</v>
      </c>
      <c r="R99" s="3" t="s">
        <v>200</v>
      </c>
      <c r="S99">
        <v>2</v>
      </c>
      <c r="T99">
        <v>2</v>
      </c>
      <c r="U99">
        <v>3</v>
      </c>
      <c r="V99">
        <v>3</v>
      </c>
      <c r="W99" s="3">
        <v>1</v>
      </c>
      <c r="X99">
        <v>4</v>
      </c>
      <c r="Y99">
        <v>4</v>
      </c>
      <c r="Z99">
        <v>5</v>
      </c>
      <c r="AA99">
        <v>5</v>
      </c>
      <c r="AB99" s="3">
        <v>3</v>
      </c>
      <c r="AC99">
        <v>2</v>
      </c>
      <c r="AD99">
        <v>4</v>
      </c>
      <c r="AE99">
        <v>1</v>
      </c>
      <c r="AF99" s="305">
        <v>1</v>
      </c>
      <c r="AG99" t="s">
        <v>32</v>
      </c>
      <c r="AH99" t="s">
        <v>32</v>
      </c>
      <c r="AI99" t="s">
        <v>32</v>
      </c>
      <c r="AJ99" t="s">
        <v>32</v>
      </c>
      <c r="AK99" t="s">
        <v>32</v>
      </c>
      <c r="AL99">
        <v>3</v>
      </c>
      <c r="AM99" t="s">
        <v>32</v>
      </c>
      <c r="AN99" s="3" t="s">
        <v>32</v>
      </c>
      <c r="AO99">
        <v>4</v>
      </c>
      <c r="AP99">
        <v>4</v>
      </c>
      <c r="AQ99" s="3">
        <v>4</v>
      </c>
      <c r="AR99" t="s">
        <v>32</v>
      </c>
      <c r="AS99" s="3" t="s">
        <v>33</v>
      </c>
      <c r="AT99" s="372" t="s">
        <v>199</v>
      </c>
      <c r="AU99" s="22">
        <f t="shared" si="130"/>
        <v>0.66666666666666652</v>
      </c>
      <c r="AV99" s="23" t="str">
        <f t="shared" si="131"/>
        <v>Minors</v>
      </c>
      <c r="AW99" s="22">
        <f t="shared" si="132"/>
        <v>3.666666666666667</v>
      </c>
      <c r="AX99" s="22" t="str">
        <f t="shared" si="133"/>
        <v>Minors</v>
      </c>
      <c r="AY99" s="23">
        <f t="shared" si="134"/>
        <v>3.666666666666667</v>
      </c>
      <c r="AZ99" s="23" t="str">
        <f t="shared" si="135"/>
        <v>Minors</v>
      </c>
      <c r="BA99" s="64">
        <f t="shared" si="136"/>
        <v>0</v>
      </c>
      <c r="BB99" s="65">
        <f t="shared" si="137"/>
        <v>0</v>
      </c>
      <c r="BC99" s="65">
        <f t="shared" si="138"/>
        <v>0</v>
      </c>
      <c r="BD99" s="65">
        <f t="shared" si="139"/>
        <v>0</v>
      </c>
      <c r="BE99" s="65">
        <f t="shared" si="140"/>
        <v>0</v>
      </c>
      <c r="BF99" s="65">
        <f t="shared" si="141"/>
        <v>0</v>
      </c>
      <c r="BG99" s="65">
        <f t="shared" si="142"/>
        <v>0</v>
      </c>
      <c r="BH99" s="65">
        <f t="shared" si="143"/>
        <v>0</v>
      </c>
      <c r="BI99" s="21">
        <f t="shared" si="144"/>
        <v>0</v>
      </c>
      <c r="BJ99" s="64">
        <f t="shared" si="145"/>
        <v>0</v>
      </c>
      <c r="BK99" s="65">
        <f t="shared" si="146"/>
        <v>0</v>
      </c>
      <c r="BL99" s="65">
        <f t="shared" si="147"/>
        <v>0</v>
      </c>
      <c r="BM99" s="65">
        <f t="shared" si="148"/>
        <v>0</v>
      </c>
      <c r="BN99" s="65">
        <f t="shared" si="149"/>
        <v>0</v>
      </c>
      <c r="BO99" s="65">
        <f t="shared" si="150"/>
        <v>0</v>
      </c>
      <c r="BP99" s="65">
        <f t="shared" si="151"/>
        <v>0</v>
      </c>
      <c r="BQ99" s="65">
        <f t="shared" si="152"/>
        <v>0</v>
      </c>
      <c r="BR99" s="21">
        <f t="shared" si="153"/>
        <v>0</v>
      </c>
      <c r="BS99" s="21">
        <f t="shared" si="154"/>
        <v>0</v>
      </c>
      <c r="BT99" s="24">
        <f t="shared" si="155"/>
        <v>0</v>
      </c>
      <c r="BU99" s="20" t="str">
        <f t="shared" si="156"/>
        <v/>
      </c>
      <c r="BV99" s="306" t="e">
        <f>IF(S99="-","-",VLOOKUP($A99,AMABat!$A$10:$AS$1137,BV$9,FALSE)-S99)</f>
        <v>#N/A</v>
      </c>
      <c r="BW99" s="306" t="e">
        <f>IF(T99="-","-",VLOOKUP($A99,AMABat!$A$10:$AS$1137,BW$9,FALSE)-T99)</f>
        <v>#N/A</v>
      </c>
      <c r="BX99" s="306" t="e">
        <f>IF(U99="-","-",VLOOKUP($A99,AMABat!$A$10:$AS$1137,BX$9,FALSE)-U99)</f>
        <v>#N/A</v>
      </c>
      <c r="BY99" s="306" t="e">
        <f>IF(V99="-","-",VLOOKUP($A99,AMABat!$A$10:$AS$1137,BY$9,FALSE)-V99)</f>
        <v>#N/A</v>
      </c>
      <c r="BZ99" s="306" t="e">
        <f>IF(W99="-","-",VLOOKUP($A99,AMABat!$A$10:$AS$1137,BZ$9,FALSE)-W99)</f>
        <v>#N/A</v>
      </c>
      <c r="CA99" s="306" t="e">
        <f>IF(X99="-","-",VLOOKUP($A99,AMABat!$A$10:$AS$1137,CA$9,FALSE)-X99)</f>
        <v>#N/A</v>
      </c>
      <c r="CB99" s="306" t="e">
        <f>IF(Y99="-","-",VLOOKUP($A99,AMABat!$A$10:$AS$1137,CB$9,FALSE)-Y99)</f>
        <v>#N/A</v>
      </c>
      <c r="CC99" s="306" t="e">
        <f>IF(Z99="-","-",VLOOKUP($A99,AMABat!$A$10:$AS$1137,CC$9,FALSE)-Z99)</f>
        <v>#N/A</v>
      </c>
      <c r="CD99" s="306" t="e">
        <f>IF(AA99="-","-",VLOOKUP($A99,AMABat!$A$10:$AS$1137,CD$9,FALSE)-AA99)</f>
        <v>#N/A</v>
      </c>
      <c r="CE99" s="306" t="e">
        <f>IF(AB99="-","-",VLOOKUP($A99,AMABat!$A$10:$AS$1137,CE$9,FALSE)-AB99)</f>
        <v>#N/A</v>
      </c>
      <c r="CF99" s="306" t="e">
        <f>IF(AC99="-","-",VLOOKUP($A99,AMABat!$A$10:$AS$1137,CF$9,FALSE)-AC99)</f>
        <v>#N/A</v>
      </c>
      <c r="CG99" s="306" t="e">
        <f>IF(AD99="-","-",VLOOKUP($A99,AMABat!$A$10:$AS$1137,CG$9,FALSE)-AD99)</f>
        <v>#N/A</v>
      </c>
      <c r="CH99" s="306" t="e">
        <f>IF(AE99="-","-",VLOOKUP($A99,AMABat!$A$10:$AS$1137,CH$9,FALSE)-AE99)</f>
        <v>#N/A</v>
      </c>
      <c r="CI99" s="306" t="str">
        <f>IF(AG99="-","-",VLOOKUP($A99,AMABat!$A$10:$AS$1137,CI$9,FALSE)-AG99)</f>
        <v>-</v>
      </c>
      <c r="CJ99" s="306" t="str">
        <f>IF(AH99="-","-",VLOOKUP($A99,AMABat!$A$10:$AS$1137,CJ$9,FALSE)-AH99)</f>
        <v>-</v>
      </c>
      <c r="CK99" s="306" t="str">
        <f>IF(AI99="-","-",VLOOKUP($A99,AMABat!$A$10:$AS$1137,CK$9,FALSE)-AI99)</f>
        <v>-</v>
      </c>
      <c r="CL99" s="306" t="str">
        <f>IF(AJ99="-","-",VLOOKUP($A99,AMABat!$A$10:$AS$1137,CL$9,FALSE)-AJ99)</f>
        <v>-</v>
      </c>
      <c r="CM99" s="306" t="str">
        <f>IF(AK99="-","-",VLOOKUP($A99,AMABat!$A$10:$AS$1137,CM$9,FALSE)-AK99)</f>
        <v>-</v>
      </c>
      <c r="CN99" s="306" t="e">
        <f>IF(AL99="-","-",VLOOKUP($A99,AMABat!$A$10:$AS$1137,CN$9,FALSE)-AL99)</f>
        <v>#N/A</v>
      </c>
      <c r="CO99" s="306" t="str">
        <f>IF(AM99="-","-",VLOOKUP($A99,AMABat!$A$10:$AS$1137,CO$9,FALSE)-AM99)</f>
        <v>-</v>
      </c>
      <c r="CP99" s="306" t="str">
        <f>IF(AN99="-","-",VLOOKUP($A99,AMABat!$A$10:$AS$1137,CP$9,FALSE)-AN99)</f>
        <v>-</v>
      </c>
      <c r="CQ99" s="306" t="e">
        <f>IF(AO99="-","-",VLOOKUP($A99,AMABat!$A$10:$AS$1137,CQ$9,FALSE)-AO99)</f>
        <v>#N/A</v>
      </c>
      <c r="CR99" s="306" t="e">
        <f>IF(AP99="-","-",VLOOKUP($A99,AMABat!$A$10:$AS$1137,CR$9,FALSE)-AP99)</f>
        <v>#N/A</v>
      </c>
      <c r="CS99" s="306" t="e">
        <f>IF(AQ99="-","-",VLOOKUP($A99,AMABat!$A$10:$AS$1137,CS$9,FALSE)-AQ99)</f>
        <v>#N/A</v>
      </c>
      <c r="CT99" s="306" t="e">
        <f t="shared" si="157"/>
        <v>#N/A</v>
      </c>
      <c r="CU99" s="306" t="e">
        <f t="shared" si="158"/>
        <v>#N/A</v>
      </c>
      <c r="CV99" s="306" t="e">
        <f t="shared" si="159"/>
        <v>#N/A</v>
      </c>
      <c r="CW99" s="306" t="e">
        <f t="shared" si="160"/>
        <v>#N/A</v>
      </c>
      <c r="CX99" s="306" t="e">
        <f t="shared" si="161"/>
        <v>#N/A</v>
      </c>
    </row>
    <row r="100" spans="1:102" x14ac:dyDescent="0.25">
      <c r="A100" s="306" t="s">
        <v>691</v>
      </c>
      <c r="B100" s="305" t="s">
        <v>534</v>
      </c>
      <c r="C100" s="305"/>
      <c r="D100" s="305" t="s">
        <v>32</v>
      </c>
      <c r="E100" s="305" t="s">
        <v>32</v>
      </c>
      <c r="F100" s="305" t="s">
        <v>72</v>
      </c>
      <c r="G100" t="s">
        <v>75</v>
      </c>
      <c r="H100" t="s">
        <v>421</v>
      </c>
      <c r="I100" s="305" t="s">
        <v>868</v>
      </c>
      <c r="J100" t="s">
        <v>802</v>
      </c>
      <c r="K100" t="s">
        <v>277</v>
      </c>
      <c r="L100">
        <v>24</v>
      </c>
      <c r="M100" t="s">
        <v>85</v>
      </c>
      <c r="N100" t="s">
        <v>83</v>
      </c>
      <c r="O100" t="s">
        <v>816</v>
      </c>
      <c r="P100" s="3" t="s">
        <v>808</v>
      </c>
      <c r="Q100" t="s">
        <v>200</v>
      </c>
      <c r="R100" s="3" t="s">
        <v>200</v>
      </c>
      <c r="S100">
        <v>2</v>
      </c>
      <c r="T100">
        <v>2</v>
      </c>
      <c r="U100">
        <v>2</v>
      </c>
      <c r="V100">
        <v>4</v>
      </c>
      <c r="W100" s="3">
        <v>3</v>
      </c>
      <c r="X100">
        <v>3</v>
      </c>
      <c r="Y100">
        <v>3</v>
      </c>
      <c r="Z100">
        <v>2</v>
      </c>
      <c r="AA100">
        <v>5</v>
      </c>
      <c r="AB100" s="3">
        <v>5</v>
      </c>
      <c r="AC100">
        <v>8</v>
      </c>
      <c r="AD100">
        <v>7</v>
      </c>
      <c r="AE100">
        <v>1</v>
      </c>
      <c r="AF100" s="305">
        <v>1</v>
      </c>
      <c r="AG100" t="s">
        <v>32</v>
      </c>
      <c r="AH100" t="s">
        <v>32</v>
      </c>
      <c r="AI100" t="s">
        <v>32</v>
      </c>
      <c r="AJ100">
        <v>7</v>
      </c>
      <c r="AK100" t="s">
        <v>32</v>
      </c>
      <c r="AL100" t="s">
        <v>32</v>
      </c>
      <c r="AM100" t="s">
        <v>32</v>
      </c>
      <c r="AN100" s="3" t="s">
        <v>32</v>
      </c>
      <c r="AO100">
        <v>4</v>
      </c>
      <c r="AP100">
        <v>3</v>
      </c>
      <c r="AQ100" s="3">
        <v>3</v>
      </c>
      <c r="AR100" t="s">
        <v>32</v>
      </c>
      <c r="AS100" s="3" t="s">
        <v>33</v>
      </c>
      <c r="AT100" s="372" t="s">
        <v>199</v>
      </c>
      <c r="AU100" s="22">
        <f t="shared" si="130"/>
        <v>0.66666666666666652</v>
      </c>
      <c r="AV100" s="23" t="str">
        <f t="shared" si="131"/>
        <v>Minors</v>
      </c>
      <c r="AW100" s="22">
        <f t="shared" si="132"/>
        <v>1.8333333333333335</v>
      </c>
      <c r="AX100" s="22" t="str">
        <f t="shared" si="133"/>
        <v>Minors</v>
      </c>
      <c r="AY100" s="23">
        <f t="shared" si="134"/>
        <v>1.6666666666666665</v>
      </c>
      <c r="AZ100" s="23" t="str">
        <f t="shared" si="135"/>
        <v>Minors</v>
      </c>
      <c r="BA100" s="64">
        <f t="shared" si="136"/>
        <v>0</v>
      </c>
      <c r="BB100" s="65">
        <f t="shared" si="137"/>
        <v>0</v>
      </c>
      <c r="BC100" s="65">
        <f t="shared" si="138"/>
        <v>0</v>
      </c>
      <c r="BD100" s="65">
        <f t="shared" si="139"/>
        <v>0</v>
      </c>
      <c r="BE100" s="65">
        <f t="shared" si="140"/>
        <v>0</v>
      </c>
      <c r="BF100" s="65">
        <f t="shared" si="141"/>
        <v>0</v>
      </c>
      <c r="BG100" s="65">
        <f t="shared" si="142"/>
        <v>0</v>
      </c>
      <c r="BH100" s="65">
        <f t="shared" si="143"/>
        <v>0</v>
      </c>
      <c r="BI100" s="21">
        <f t="shared" si="144"/>
        <v>0</v>
      </c>
      <c r="BJ100" s="64">
        <f t="shared" si="145"/>
        <v>0</v>
      </c>
      <c r="BK100" s="65">
        <f t="shared" si="146"/>
        <v>0</v>
      </c>
      <c r="BL100" s="65">
        <f t="shared" si="147"/>
        <v>0</v>
      </c>
      <c r="BM100" s="65">
        <f t="shared" si="148"/>
        <v>0</v>
      </c>
      <c r="BN100" s="65">
        <f t="shared" si="149"/>
        <v>0</v>
      </c>
      <c r="BO100" s="65">
        <f t="shared" si="150"/>
        <v>0</v>
      </c>
      <c r="BP100" s="65">
        <f t="shared" si="151"/>
        <v>0</v>
      </c>
      <c r="BQ100" s="65">
        <f t="shared" si="152"/>
        <v>0</v>
      </c>
      <c r="BR100" s="21">
        <f t="shared" si="153"/>
        <v>0</v>
      </c>
      <c r="BS100" s="21">
        <f t="shared" si="154"/>
        <v>0</v>
      </c>
      <c r="BT100" s="24">
        <f t="shared" si="155"/>
        <v>1</v>
      </c>
      <c r="BU100" s="20" t="str">
        <f t="shared" si="156"/>
        <v/>
      </c>
      <c r="BV100" s="306" t="e">
        <f>IF(S100="-","-",VLOOKUP($A100,AMABat!$A$10:$AS$1137,BV$9,FALSE)-S100)</f>
        <v>#N/A</v>
      </c>
      <c r="BW100" s="306" t="e">
        <f>IF(T100="-","-",VLOOKUP($A100,AMABat!$A$10:$AS$1137,BW$9,FALSE)-T100)</f>
        <v>#N/A</v>
      </c>
      <c r="BX100" s="306" t="e">
        <f>IF(U100="-","-",VLOOKUP($A100,AMABat!$A$10:$AS$1137,BX$9,FALSE)-U100)</f>
        <v>#N/A</v>
      </c>
      <c r="BY100" s="306" t="e">
        <f>IF(V100="-","-",VLOOKUP($A100,AMABat!$A$10:$AS$1137,BY$9,FALSE)-V100)</f>
        <v>#N/A</v>
      </c>
      <c r="BZ100" s="306" t="e">
        <f>IF(W100="-","-",VLOOKUP($A100,AMABat!$A$10:$AS$1137,BZ$9,FALSE)-W100)</f>
        <v>#N/A</v>
      </c>
      <c r="CA100" s="306" t="e">
        <f>IF(X100="-","-",VLOOKUP($A100,AMABat!$A$10:$AS$1137,CA$9,FALSE)-X100)</f>
        <v>#N/A</v>
      </c>
      <c r="CB100" s="306" t="e">
        <f>IF(Y100="-","-",VLOOKUP($A100,AMABat!$A$10:$AS$1137,CB$9,FALSE)-Y100)</f>
        <v>#N/A</v>
      </c>
      <c r="CC100" s="306" t="e">
        <f>IF(Z100="-","-",VLOOKUP($A100,AMABat!$A$10:$AS$1137,CC$9,FALSE)-Z100)</f>
        <v>#N/A</v>
      </c>
      <c r="CD100" s="306" t="e">
        <f>IF(AA100="-","-",VLOOKUP($A100,AMABat!$A$10:$AS$1137,CD$9,FALSE)-AA100)</f>
        <v>#N/A</v>
      </c>
      <c r="CE100" s="306" t="e">
        <f>IF(AB100="-","-",VLOOKUP($A100,AMABat!$A$10:$AS$1137,CE$9,FALSE)-AB100)</f>
        <v>#N/A</v>
      </c>
      <c r="CF100" s="306" t="e">
        <f>IF(AC100="-","-",VLOOKUP($A100,AMABat!$A$10:$AS$1137,CF$9,FALSE)-AC100)</f>
        <v>#N/A</v>
      </c>
      <c r="CG100" s="306" t="e">
        <f>IF(AD100="-","-",VLOOKUP($A100,AMABat!$A$10:$AS$1137,CG$9,FALSE)-AD100)</f>
        <v>#N/A</v>
      </c>
      <c r="CH100" s="306" t="e">
        <f>IF(AE100="-","-",VLOOKUP($A100,AMABat!$A$10:$AS$1137,CH$9,FALSE)-AE100)</f>
        <v>#N/A</v>
      </c>
      <c r="CI100" s="306" t="str">
        <f>IF(AG100="-","-",VLOOKUP($A100,AMABat!$A$10:$AS$1137,CI$9,FALSE)-AG100)</f>
        <v>-</v>
      </c>
      <c r="CJ100" s="306" t="str">
        <f>IF(AH100="-","-",VLOOKUP($A100,AMABat!$A$10:$AS$1137,CJ$9,FALSE)-AH100)</f>
        <v>-</v>
      </c>
      <c r="CK100" s="306" t="str">
        <f>IF(AI100="-","-",VLOOKUP($A100,AMABat!$A$10:$AS$1137,CK$9,FALSE)-AI100)</f>
        <v>-</v>
      </c>
      <c r="CL100" s="306" t="e">
        <f>IF(AJ100="-","-",VLOOKUP($A100,AMABat!$A$10:$AS$1137,CL$9,FALSE)-AJ100)</f>
        <v>#N/A</v>
      </c>
      <c r="CM100" s="306" t="str">
        <f>IF(AK100="-","-",VLOOKUP($A100,AMABat!$A$10:$AS$1137,CM$9,FALSE)-AK100)</f>
        <v>-</v>
      </c>
      <c r="CN100" s="306" t="str">
        <f>IF(AL100="-","-",VLOOKUP($A100,AMABat!$A$10:$AS$1137,CN$9,FALSE)-AL100)</f>
        <v>-</v>
      </c>
      <c r="CO100" s="306" t="str">
        <f>IF(AM100="-","-",VLOOKUP($A100,AMABat!$A$10:$AS$1137,CO$9,FALSE)-AM100)</f>
        <v>-</v>
      </c>
      <c r="CP100" s="306" t="str">
        <f>IF(AN100="-","-",VLOOKUP($A100,AMABat!$A$10:$AS$1137,CP$9,FALSE)-AN100)</f>
        <v>-</v>
      </c>
      <c r="CQ100" s="306" t="e">
        <f>IF(AO100="-","-",VLOOKUP($A100,AMABat!$A$10:$AS$1137,CQ$9,FALSE)-AO100)</f>
        <v>#N/A</v>
      </c>
      <c r="CR100" s="306" t="e">
        <f>IF(AP100="-","-",VLOOKUP($A100,AMABat!$A$10:$AS$1137,CR$9,FALSE)-AP100)</f>
        <v>#N/A</v>
      </c>
      <c r="CS100" s="306" t="e">
        <f>IF(AQ100="-","-",VLOOKUP($A100,AMABat!$A$10:$AS$1137,CS$9,FALSE)-AQ100)</f>
        <v>#N/A</v>
      </c>
      <c r="CT100" s="306" t="e">
        <f t="shared" si="157"/>
        <v>#N/A</v>
      </c>
      <c r="CU100" s="306" t="e">
        <f t="shared" si="158"/>
        <v>#N/A</v>
      </c>
      <c r="CV100" s="306" t="e">
        <f t="shared" si="159"/>
        <v>#N/A</v>
      </c>
      <c r="CW100" s="306" t="e">
        <f t="shared" si="160"/>
        <v>#N/A</v>
      </c>
      <c r="CX100" s="306" t="e">
        <f t="shared" si="161"/>
        <v>#N/A</v>
      </c>
    </row>
    <row r="101" spans="1:102" x14ac:dyDescent="0.25">
      <c r="A101" s="306" t="s">
        <v>692</v>
      </c>
      <c r="B101" s="305" t="s">
        <v>534</v>
      </c>
      <c r="C101" s="305"/>
      <c r="D101" s="305" t="s">
        <v>32</v>
      </c>
      <c r="E101" s="305" t="s">
        <v>32</v>
      </c>
      <c r="F101" s="305" t="s">
        <v>72</v>
      </c>
      <c r="G101" t="s">
        <v>74</v>
      </c>
      <c r="H101" t="s">
        <v>444</v>
      </c>
      <c r="I101" s="305" t="s">
        <v>476</v>
      </c>
      <c r="J101" t="s">
        <v>763</v>
      </c>
      <c r="K101" t="s">
        <v>16</v>
      </c>
      <c r="L101">
        <v>19</v>
      </c>
      <c r="M101" t="s">
        <v>83</v>
      </c>
      <c r="N101" t="s">
        <v>83</v>
      </c>
      <c r="O101" t="s">
        <v>816</v>
      </c>
      <c r="P101" s="3" t="s">
        <v>773</v>
      </c>
      <c r="Q101" t="s">
        <v>199</v>
      </c>
      <c r="R101" s="3" t="s">
        <v>200</v>
      </c>
      <c r="S101">
        <v>3</v>
      </c>
      <c r="T101">
        <v>4</v>
      </c>
      <c r="U101">
        <v>2</v>
      </c>
      <c r="V101">
        <v>1</v>
      </c>
      <c r="W101" s="3">
        <v>2</v>
      </c>
      <c r="X101">
        <v>4</v>
      </c>
      <c r="Y101">
        <v>5</v>
      </c>
      <c r="Z101">
        <v>3</v>
      </c>
      <c r="AA101">
        <v>3</v>
      </c>
      <c r="AB101" s="3">
        <v>4</v>
      </c>
      <c r="AC101">
        <v>3</v>
      </c>
      <c r="AD101">
        <v>1</v>
      </c>
      <c r="AE101">
        <v>1</v>
      </c>
      <c r="AF101" s="305">
        <v>1</v>
      </c>
      <c r="AG101" t="s">
        <v>32</v>
      </c>
      <c r="AH101" t="s">
        <v>32</v>
      </c>
      <c r="AI101">
        <v>4</v>
      </c>
      <c r="AJ101" t="s">
        <v>32</v>
      </c>
      <c r="AK101" t="s">
        <v>32</v>
      </c>
      <c r="AL101" t="s">
        <v>32</v>
      </c>
      <c r="AM101" t="s">
        <v>32</v>
      </c>
      <c r="AN101" s="3" t="s">
        <v>32</v>
      </c>
      <c r="AO101">
        <v>8</v>
      </c>
      <c r="AP101">
        <v>8</v>
      </c>
      <c r="AQ101" s="3">
        <v>10</v>
      </c>
      <c r="AR101" t="s">
        <v>32</v>
      </c>
      <c r="AS101" s="3">
        <v>0</v>
      </c>
      <c r="AT101" s="372" t="s">
        <v>199</v>
      </c>
      <c r="AU101" s="22">
        <f t="shared" si="130"/>
        <v>0.5</v>
      </c>
      <c r="AV101" s="23" t="str">
        <f t="shared" si="131"/>
        <v>Minors</v>
      </c>
      <c r="AW101" s="22">
        <f t="shared" si="132"/>
        <v>2.3333333333333335</v>
      </c>
      <c r="AX101" s="22" t="str">
        <f t="shared" si="133"/>
        <v>Minors</v>
      </c>
      <c r="AY101" s="23">
        <f t="shared" si="134"/>
        <v>2.3333333333333335</v>
      </c>
      <c r="AZ101" s="23" t="str">
        <f t="shared" si="135"/>
        <v>Minors</v>
      </c>
      <c r="BA101" s="64">
        <f t="shared" si="136"/>
        <v>0</v>
      </c>
      <c r="BB101" s="65">
        <f t="shared" si="137"/>
        <v>0</v>
      </c>
      <c r="BC101" s="65">
        <f t="shared" si="138"/>
        <v>0</v>
      </c>
      <c r="BD101" s="65">
        <f t="shared" si="139"/>
        <v>0</v>
      </c>
      <c r="BE101" s="65">
        <f t="shared" si="140"/>
        <v>0</v>
      </c>
      <c r="BF101" s="65">
        <f t="shared" si="141"/>
        <v>0</v>
      </c>
      <c r="BG101" s="65">
        <f t="shared" si="142"/>
        <v>0</v>
      </c>
      <c r="BH101" s="65">
        <f t="shared" si="143"/>
        <v>0</v>
      </c>
      <c r="BI101" s="21">
        <f t="shared" si="144"/>
        <v>0</v>
      </c>
      <c r="BJ101" s="64">
        <f t="shared" si="145"/>
        <v>0</v>
      </c>
      <c r="BK101" s="65">
        <f t="shared" si="146"/>
        <v>0</v>
      </c>
      <c r="BL101" s="65">
        <f t="shared" si="147"/>
        <v>0</v>
      </c>
      <c r="BM101" s="65">
        <f t="shared" si="148"/>
        <v>0</v>
      </c>
      <c r="BN101" s="65">
        <f t="shared" si="149"/>
        <v>0</v>
      </c>
      <c r="BO101" s="65">
        <f t="shared" si="150"/>
        <v>0</v>
      </c>
      <c r="BP101" s="65">
        <f t="shared" si="151"/>
        <v>0</v>
      </c>
      <c r="BQ101" s="65">
        <f t="shared" si="152"/>
        <v>0</v>
      </c>
      <c r="BR101" s="21">
        <f t="shared" si="153"/>
        <v>0</v>
      </c>
      <c r="BS101" s="21">
        <f t="shared" si="154"/>
        <v>5</v>
      </c>
      <c r="BT101" s="24">
        <f t="shared" si="155"/>
        <v>0</v>
      </c>
      <c r="BU101" s="20" t="str">
        <f t="shared" si="156"/>
        <v/>
      </c>
      <c r="BV101" s="306" t="e">
        <f>IF(S101="-","-",VLOOKUP($A101,AMABat!$A$10:$AS$1137,BV$9,FALSE)-S101)</f>
        <v>#N/A</v>
      </c>
      <c r="BW101" s="306" t="e">
        <f>IF(T101="-","-",VLOOKUP($A101,AMABat!$A$10:$AS$1137,BW$9,FALSE)-T101)</f>
        <v>#N/A</v>
      </c>
      <c r="BX101" s="306" t="e">
        <f>IF(U101="-","-",VLOOKUP($A101,AMABat!$A$10:$AS$1137,BX$9,FALSE)-U101)</f>
        <v>#N/A</v>
      </c>
      <c r="BY101" s="306" t="e">
        <f>IF(V101="-","-",VLOOKUP($A101,AMABat!$A$10:$AS$1137,BY$9,FALSE)-V101)</f>
        <v>#N/A</v>
      </c>
      <c r="BZ101" s="306" t="e">
        <f>IF(W101="-","-",VLOOKUP($A101,AMABat!$A$10:$AS$1137,BZ$9,FALSE)-W101)</f>
        <v>#N/A</v>
      </c>
      <c r="CA101" s="306" t="e">
        <f>IF(X101="-","-",VLOOKUP($A101,AMABat!$A$10:$AS$1137,CA$9,FALSE)-X101)</f>
        <v>#N/A</v>
      </c>
      <c r="CB101" s="306" t="e">
        <f>IF(Y101="-","-",VLOOKUP($A101,AMABat!$A$10:$AS$1137,CB$9,FALSE)-Y101)</f>
        <v>#N/A</v>
      </c>
      <c r="CC101" s="306" t="e">
        <f>IF(Z101="-","-",VLOOKUP($A101,AMABat!$A$10:$AS$1137,CC$9,FALSE)-Z101)</f>
        <v>#N/A</v>
      </c>
      <c r="CD101" s="306" t="e">
        <f>IF(AA101="-","-",VLOOKUP($A101,AMABat!$A$10:$AS$1137,CD$9,FALSE)-AA101)</f>
        <v>#N/A</v>
      </c>
      <c r="CE101" s="306" t="e">
        <f>IF(AB101="-","-",VLOOKUP($A101,AMABat!$A$10:$AS$1137,CE$9,FALSE)-AB101)</f>
        <v>#N/A</v>
      </c>
      <c r="CF101" s="306" t="e">
        <f>IF(AC101="-","-",VLOOKUP($A101,AMABat!$A$10:$AS$1137,CF$9,FALSE)-AC101)</f>
        <v>#N/A</v>
      </c>
      <c r="CG101" s="306" t="e">
        <f>IF(AD101="-","-",VLOOKUP($A101,AMABat!$A$10:$AS$1137,CG$9,FALSE)-AD101)</f>
        <v>#N/A</v>
      </c>
      <c r="CH101" s="306" t="e">
        <f>IF(AE101="-","-",VLOOKUP($A101,AMABat!$A$10:$AS$1137,CH$9,FALSE)-AE101)</f>
        <v>#N/A</v>
      </c>
      <c r="CI101" s="306" t="str">
        <f>IF(AG101="-","-",VLOOKUP($A101,AMABat!$A$10:$AS$1137,CI$9,FALSE)-AG101)</f>
        <v>-</v>
      </c>
      <c r="CJ101" s="306" t="str">
        <f>IF(AH101="-","-",VLOOKUP($A101,AMABat!$A$10:$AS$1137,CJ$9,FALSE)-AH101)</f>
        <v>-</v>
      </c>
      <c r="CK101" s="306" t="e">
        <f>IF(AI101="-","-",VLOOKUP($A101,AMABat!$A$10:$AS$1137,CK$9,FALSE)-AI101)</f>
        <v>#N/A</v>
      </c>
      <c r="CL101" s="306" t="str">
        <f>IF(AJ101="-","-",VLOOKUP($A101,AMABat!$A$10:$AS$1137,CL$9,FALSE)-AJ101)</f>
        <v>-</v>
      </c>
      <c r="CM101" s="306" t="str">
        <f>IF(AK101="-","-",VLOOKUP($A101,AMABat!$A$10:$AS$1137,CM$9,FALSE)-AK101)</f>
        <v>-</v>
      </c>
      <c r="CN101" s="306" t="str">
        <f>IF(AL101="-","-",VLOOKUP($A101,AMABat!$A$10:$AS$1137,CN$9,FALSE)-AL101)</f>
        <v>-</v>
      </c>
      <c r="CO101" s="306" t="str">
        <f>IF(AM101="-","-",VLOOKUP($A101,AMABat!$A$10:$AS$1137,CO$9,FALSE)-AM101)</f>
        <v>-</v>
      </c>
      <c r="CP101" s="306" t="str">
        <f>IF(AN101="-","-",VLOOKUP($A101,AMABat!$A$10:$AS$1137,CP$9,FALSE)-AN101)</f>
        <v>-</v>
      </c>
      <c r="CQ101" s="306" t="e">
        <f>IF(AO101="-","-",VLOOKUP($A101,AMABat!$A$10:$AS$1137,CQ$9,FALSE)-AO101)</f>
        <v>#N/A</v>
      </c>
      <c r="CR101" s="306" t="e">
        <f>IF(AP101="-","-",VLOOKUP($A101,AMABat!$A$10:$AS$1137,CR$9,FALSE)-AP101)</f>
        <v>#N/A</v>
      </c>
      <c r="CS101" s="306" t="e">
        <f>IF(AQ101="-","-",VLOOKUP($A101,AMABat!$A$10:$AS$1137,CS$9,FALSE)-AQ101)</f>
        <v>#N/A</v>
      </c>
      <c r="CT101" s="306" t="e">
        <f t="shared" si="157"/>
        <v>#N/A</v>
      </c>
      <c r="CU101" s="306" t="e">
        <f t="shared" si="158"/>
        <v>#N/A</v>
      </c>
      <c r="CV101" s="306" t="e">
        <f t="shared" si="159"/>
        <v>#N/A</v>
      </c>
      <c r="CW101" s="306" t="e">
        <f t="shared" si="160"/>
        <v>#N/A</v>
      </c>
      <c r="CX101" s="306" t="e">
        <f t="shared" si="161"/>
        <v>#N/A</v>
      </c>
    </row>
    <row r="102" spans="1:102" x14ac:dyDescent="0.25">
      <c r="A102" s="306" t="s">
        <v>693</v>
      </c>
      <c r="B102" s="305" t="s">
        <v>534</v>
      </c>
      <c r="C102" s="305"/>
      <c r="D102" s="305" t="s">
        <v>32</v>
      </c>
      <c r="E102" s="305" t="s">
        <v>32</v>
      </c>
      <c r="F102" s="305" t="s">
        <v>72</v>
      </c>
      <c r="G102" t="s">
        <v>79</v>
      </c>
      <c r="H102" t="s">
        <v>895</v>
      </c>
      <c r="I102" s="305" t="s">
        <v>726</v>
      </c>
      <c r="J102" t="s">
        <v>810</v>
      </c>
      <c r="K102" t="s">
        <v>83</v>
      </c>
      <c r="L102">
        <v>19</v>
      </c>
      <c r="M102" t="s">
        <v>83</v>
      </c>
      <c r="N102" t="s">
        <v>83</v>
      </c>
      <c r="O102" t="s">
        <v>816</v>
      </c>
      <c r="P102" s="3" t="s">
        <v>773</v>
      </c>
      <c r="Q102" t="s">
        <v>200</v>
      </c>
      <c r="R102" s="3" t="s">
        <v>200</v>
      </c>
      <c r="S102">
        <v>2</v>
      </c>
      <c r="T102">
        <v>3</v>
      </c>
      <c r="U102">
        <v>2</v>
      </c>
      <c r="V102">
        <v>3</v>
      </c>
      <c r="W102" s="3">
        <v>1</v>
      </c>
      <c r="X102">
        <v>4</v>
      </c>
      <c r="Y102">
        <v>4</v>
      </c>
      <c r="Z102">
        <v>3</v>
      </c>
      <c r="AA102">
        <v>6</v>
      </c>
      <c r="AB102" s="3">
        <v>4</v>
      </c>
      <c r="AC102">
        <v>4</v>
      </c>
      <c r="AD102">
        <v>4</v>
      </c>
      <c r="AE102">
        <v>1</v>
      </c>
      <c r="AF102" s="305">
        <v>1</v>
      </c>
      <c r="AG102" t="s">
        <v>32</v>
      </c>
      <c r="AH102">
        <v>3</v>
      </c>
      <c r="AI102" t="s">
        <v>32</v>
      </c>
      <c r="AJ102" t="s">
        <v>32</v>
      </c>
      <c r="AK102" t="s">
        <v>32</v>
      </c>
      <c r="AL102" t="s">
        <v>32</v>
      </c>
      <c r="AM102">
        <v>1</v>
      </c>
      <c r="AN102" s="3">
        <v>3</v>
      </c>
      <c r="AO102">
        <v>6</v>
      </c>
      <c r="AP102">
        <v>9</v>
      </c>
      <c r="AQ102" s="3">
        <v>8</v>
      </c>
      <c r="AR102" t="s">
        <v>32</v>
      </c>
      <c r="AS102" s="3" t="s">
        <v>33</v>
      </c>
      <c r="AT102" s="372" t="s">
        <v>199</v>
      </c>
      <c r="AU102" s="22">
        <f t="shared" si="130"/>
        <v>0.33333333333333348</v>
      </c>
      <c r="AV102" s="23" t="str">
        <f t="shared" si="131"/>
        <v>Minors</v>
      </c>
      <c r="AW102" s="22">
        <f t="shared" si="132"/>
        <v>3.333333333333333</v>
      </c>
      <c r="AX102" s="22" t="str">
        <f t="shared" si="133"/>
        <v>Minors</v>
      </c>
      <c r="AY102" s="23">
        <f t="shared" si="134"/>
        <v>3.333333333333333</v>
      </c>
      <c r="AZ102" s="23" t="str">
        <f t="shared" si="135"/>
        <v>Minors</v>
      </c>
      <c r="BA102" s="64">
        <f t="shared" si="136"/>
        <v>0</v>
      </c>
      <c r="BB102" s="65">
        <f t="shared" si="137"/>
        <v>0</v>
      </c>
      <c r="BC102" s="65">
        <f t="shared" si="138"/>
        <v>0</v>
      </c>
      <c r="BD102" s="65">
        <f t="shared" si="139"/>
        <v>0</v>
      </c>
      <c r="BE102" s="65">
        <f t="shared" si="140"/>
        <v>0</v>
      </c>
      <c r="BF102" s="65">
        <f t="shared" si="141"/>
        <v>0</v>
      </c>
      <c r="BG102" s="65">
        <f t="shared" si="142"/>
        <v>0</v>
      </c>
      <c r="BH102" s="65">
        <f t="shared" si="143"/>
        <v>0</v>
      </c>
      <c r="BI102" s="21">
        <f t="shared" si="144"/>
        <v>0</v>
      </c>
      <c r="BJ102" s="64">
        <f t="shared" si="145"/>
        <v>0</v>
      </c>
      <c r="BK102" s="65">
        <f t="shared" si="146"/>
        <v>0</v>
      </c>
      <c r="BL102" s="65">
        <f t="shared" si="147"/>
        <v>0</v>
      </c>
      <c r="BM102" s="65">
        <f t="shared" si="148"/>
        <v>0</v>
      </c>
      <c r="BN102" s="65">
        <f t="shared" si="149"/>
        <v>0</v>
      </c>
      <c r="BO102" s="65">
        <f t="shared" si="150"/>
        <v>0</v>
      </c>
      <c r="BP102" s="65">
        <f t="shared" si="151"/>
        <v>0</v>
      </c>
      <c r="BQ102" s="65">
        <f t="shared" si="152"/>
        <v>0</v>
      </c>
      <c r="BR102" s="21">
        <f t="shared" si="153"/>
        <v>0</v>
      </c>
      <c r="BS102" s="21">
        <f t="shared" si="154"/>
        <v>3</v>
      </c>
      <c r="BT102" s="24">
        <f t="shared" si="155"/>
        <v>0</v>
      </c>
      <c r="BU102" s="20" t="str">
        <f t="shared" si="156"/>
        <v/>
      </c>
      <c r="BV102" s="306" t="e">
        <f>IF(S102="-","-",VLOOKUP($A102,AMABat!$A$10:$AS$1137,BV$9,FALSE)-S102)</f>
        <v>#N/A</v>
      </c>
      <c r="BW102" s="306" t="e">
        <f>IF(T102="-","-",VLOOKUP($A102,AMABat!$A$10:$AS$1137,BW$9,FALSE)-T102)</f>
        <v>#N/A</v>
      </c>
      <c r="BX102" s="306" t="e">
        <f>IF(U102="-","-",VLOOKUP($A102,AMABat!$A$10:$AS$1137,BX$9,FALSE)-U102)</f>
        <v>#N/A</v>
      </c>
      <c r="BY102" s="306" t="e">
        <f>IF(V102="-","-",VLOOKUP($A102,AMABat!$A$10:$AS$1137,BY$9,FALSE)-V102)</f>
        <v>#N/A</v>
      </c>
      <c r="BZ102" s="306" t="e">
        <f>IF(W102="-","-",VLOOKUP($A102,AMABat!$A$10:$AS$1137,BZ$9,FALSE)-W102)</f>
        <v>#N/A</v>
      </c>
      <c r="CA102" s="306" t="e">
        <f>IF(X102="-","-",VLOOKUP($A102,AMABat!$A$10:$AS$1137,CA$9,FALSE)-X102)</f>
        <v>#N/A</v>
      </c>
      <c r="CB102" s="306" t="e">
        <f>IF(Y102="-","-",VLOOKUP($A102,AMABat!$A$10:$AS$1137,CB$9,FALSE)-Y102)</f>
        <v>#N/A</v>
      </c>
      <c r="CC102" s="306" t="e">
        <f>IF(Z102="-","-",VLOOKUP($A102,AMABat!$A$10:$AS$1137,CC$9,FALSE)-Z102)</f>
        <v>#N/A</v>
      </c>
      <c r="CD102" s="306" t="e">
        <f>IF(AA102="-","-",VLOOKUP($A102,AMABat!$A$10:$AS$1137,CD$9,FALSE)-AA102)</f>
        <v>#N/A</v>
      </c>
      <c r="CE102" s="306" t="e">
        <f>IF(AB102="-","-",VLOOKUP($A102,AMABat!$A$10:$AS$1137,CE$9,FALSE)-AB102)</f>
        <v>#N/A</v>
      </c>
      <c r="CF102" s="306" t="e">
        <f>IF(AC102="-","-",VLOOKUP($A102,AMABat!$A$10:$AS$1137,CF$9,FALSE)-AC102)</f>
        <v>#N/A</v>
      </c>
      <c r="CG102" s="306" t="e">
        <f>IF(AD102="-","-",VLOOKUP($A102,AMABat!$A$10:$AS$1137,CG$9,FALSE)-AD102)</f>
        <v>#N/A</v>
      </c>
      <c r="CH102" s="306" t="e">
        <f>IF(AE102="-","-",VLOOKUP($A102,AMABat!$A$10:$AS$1137,CH$9,FALSE)-AE102)</f>
        <v>#N/A</v>
      </c>
      <c r="CI102" s="306" t="str">
        <f>IF(AG102="-","-",VLOOKUP($A102,AMABat!$A$10:$AS$1137,CI$9,FALSE)-AG102)</f>
        <v>-</v>
      </c>
      <c r="CJ102" s="306" t="e">
        <f>IF(AH102="-","-",VLOOKUP($A102,AMABat!$A$10:$AS$1137,CJ$9,FALSE)-AH102)</f>
        <v>#N/A</v>
      </c>
      <c r="CK102" s="306" t="str">
        <f>IF(AI102="-","-",VLOOKUP($A102,AMABat!$A$10:$AS$1137,CK$9,FALSE)-AI102)</f>
        <v>-</v>
      </c>
      <c r="CL102" s="306" t="str">
        <f>IF(AJ102="-","-",VLOOKUP($A102,AMABat!$A$10:$AS$1137,CL$9,FALSE)-AJ102)</f>
        <v>-</v>
      </c>
      <c r="CM102" s="306" t="str">
        <f>IF(AK102="-","-",VLOOKUP($A102,AMABat!$A$10:$AS$1137,CM$9,FALSE)-AK102)</f>
        <v>-</v>
      </c>
      <c r="CN102" s="306" t="str">
        <f>IF(AL102="-","-",VLOOKUP($A102,AMABat!$A$10:$AS$1137,CN$9,FALSE)-AL102)</f>
        <v>-</v>
      </c>
      <c r="CO102" s="306" t="e">
        <f>IF(AM102="-","-",VLOOKUP($A102,AMABat!$A$10:$AS$1137,CO$9,FALSE)-AM102)</f>
        <v>#N/A</v>
      </c>
      <c r="CP102" s="306" t="e">
        <f>IF(AN102="-","-",VLOOKUP($A102,AMABat!$A$10:$AS$1137,CP$9,FALSE)-AN102)</f>
        <v>#N/A</v>
      </c>
      <c r="CQ102" s="306" t="e">
        <f>IF(AO102="-","-",VLOOKUP($A102,AMABat!$A$10:$AS$1137,CQ$9,FALSE)-AO102)</f>
        <v>#N/A</v>
      </c>
      <c r="CR102" s="306" t="e">
        <f>IF(AP102="-","-",VLOOKUP($A102,AMABat!$A$10:$AS$1137,CR$9,FALSE)-AP102)</f>
        <v>#N/A</v>
      </c>
      <c r="CS102" s="306" t="e">
        <f>IF(AQ102="-","-",VLOOKUP($A102,AMABat!$A$10:$AS$1137,CS$9,FALSE)-AQ102)</f>
        <v>#N/A</v>
      </c>
      <c r="CT102" s="306" t="e">
        <f t="shared" si="157"/>
        <v>#N/A</v>
      </c>
      <c r="CU102" s="306" t="e">
        <f t="shared" si="158"/>
        <v>#N/A</v>
      </c>
      <c r="CV102" s="306" t="e">
        <f t="shared" si="159"/>
        <v>#N/A</v>
      </c>
      <c r="CW102" s="306" t="e">
        <f t="shared" si="160"/>
        <v>#N/A</v>
      </c>
      <c r="CX102" s="306" t="e">
        <f t="shared" si="161"/>
        <v>#N/A</v>
      </c>
    </row>
    <row r="103" spans="1:102" x14ac:dyDescent="0.25">
      <c r="A103" s="306" t="s">
        <v>694</v>
      </c>
      <c r="B103" s="305" t="s">
        <v>534</v>
      </c>
      <c r="C103" s="305"/>
      <c r="D103" s="305" t="s">
        <v>32</v>
      </c>
      <c r="E103" s="305" t="s">
        <v>32</v>
      </c>
      <c r="F103" s="305" t="s">
        <v>72</v>
      </c>
      <c r="G103" t="s">
        <v>75</v>
      </c>
      <c r="H103" t="s">
        <v>881</v>
      </c>
      <c r="I103" s="305" t="s">
        <v>882</v>
      </c>
      <c r="J103" t="s">
        <v>810</v>
      </c>
      <c r="K103" t="s">
        <v>83</v>
      </c>
      <c r="L103">
        <v>19</v>
      </c>
      <c r="M103" t="s">
        <v>83</v>
      </c>
      <c r="N103" t="s">
        <v>83</v>
      </c>
      <c r="O103" t="s">
        <v>816</v>
      </c>
      <c r="P103" s="3" t="s">
        <v>773</v>
      </c>
      <c r="Q103" t="s">
        <v>200</v>
      </c>
      <c r="R103" s="3" t="s">
        <v>201</v>
      </c>
      <c r="S103">
        <v>2</v>
      </c>
      <c r="T103">
        <v>3</v>
      </c>
      <c r="U103">
        <v>3</v>
      </c>
      <c r="V103">
        <v>2</v>
      </c>
      <c r="W103" s="3">
        <v>1</v>
      </c>
      <c r="X103">
        <v>4</v>
      </c>
      <c r="Y103">
        <v>5</v>
      </c>
      <c r="Z103">
        <v>4</v>
      </c>
      <c r="AA103">
        <v>4</v>
      </c>
      <c r="AB103" s="3">
        <v>4</v>
      </c>
      <c r="AC103">
        <v>7</v>
      </c>
      <c r="AD103">
        <v>5</v>
      </c>
      <c r="AE103">
        <v>1</v>
      </c>
      <c r="AF103" s="305">
        <v>1</v>
      </c>
      <c r="AG103" t="s">
        <v>32</v>
      </c>
      <c r="AH103" t="s">
        <v>32</v>
      </c>
      <c r="AI103" t="s">
        <v>32</v>
      </c>
      <c r="AJ103">
        <v>2</v>
      </c>
      <c r="AK103" t="s">
        <v>32</v>
      </c>
      <c r="AL103" t="s">
        <v>32</v>
      </c>
      <c r="AM103" t="s">
        <v>32</v>
      </c>
      <c r="AN103" s="3" t="s">
        <v>32</v>
      </c>
      <c r="AO103">
        <v>2</v>
      </c>
      <c r="AP103">
        <v>4</v>
      </c>
      <c r="AQ103" s="3">
        <v>1</v>
      </c>
      <c r="AR103" t="s">
        <v>32</v>
      </c>
      <c r="AS103" s="3" t="s">
        <v>33</v>
      </c>
      <c r="AT103" s="372" t="s">
        <v>529</v>
      </c>
      <c r="AU103" s="22">
        <f t="shared" si="130"/>
        <v>0.33333333333333348</v>
      </c>
      <c r="AV103" s="23" t="str">
        <f t="shared" si="131"/>
        <v>Minors</v>
      </c>
      <c r="AW103" s="22">
        <f t="shared" si="132"/>
        <v>3</v>
      </c>
      <c r="AX103" s="22" t="str">
        <f t="shared" si="133"/>
        <v>Minors</v>
      </c>
      <c r="AY103" s="23">
        <f t="shared" si="134"/>
        <v>3</v>
      </c>
      <c r="AZ103" s="23" t="str">
        <f t="shared" si="135"/>
        <v>Minors</v>
      </c>
      <c r="BA103" s="64">
        <f t="shared" si="136"/>
        <v>0</v>
      </c>
      <c r="BB103" s="65">
        <f t="shared" si="137"/>
        <v>0</v>
      </c>
      <c r="BC103" s="65">
        <f t="shared" si="138"/>
        <v>0</v>
      </c>
      <c r="BD103" s="65">
        <f t="shared" si="139"/>
        <v>0</v>
      </c>
      <c r="BE103" s="65">
        <f t="shared" si="140"/>
        <v>0</v>
      </c>
      <c r="BF103" s="65">
        <f t="shared" si="141"/>
        <v>0</v>
      </c>
      <c r="BG103" s="65">
        <f t="shared" si="142"/>
        <v>0</v>
      </c>
      <c r="BH103" s="65">
        <f t="shared" si="143"/>
        <v>0</v>
      </c>
      <c r="BI103" s="21">
        <f t="shared" si="144"/>
        <v>0</v>
      </c>
      <c r="BJ103" s="64">
        <f t="shared" si="145"/>
        <v>0</v>
      </c>
      <c r="BK103" s="65">
        <f t="shared" si="146"/>
        <v>0</v>
      </c>
      <c r="BL103" s="65">
        <f t="shared" si="147"/>
        <v>0</v>
      </c>
      <c r="BM103" s="65">
        <f t="shared" si="148"/>
        <v>0</v>
      </c>
      <c r="BN103" s="65">
        <f t="shared" si="149"/>
        <v>0</v>
      </c>
      <c r="BO103" s="65">
        <f t="shared" si="150"/>
        <v>0</v>
      </c>
      <c r="BP103" s="65">
        <f t="shared" si="151"/>
        <v>0</v>
      </c>
      <c r="BQ103" s="65">
        <f t="shared" si="152"/>
        <v>0</v>
      </c>
      <c r="BR103" s="21">
        <f t="shared" si="153"/>
        <v>0</v>
      </c>
      <c r="BS103" s="21">
        <f t="shared" si="154"/>
        <v>0</v>
      </c>
      <c r="BT103" s="24">
        <f t="shared" si="155"/>
        <v>0</v>
      </c>
      <c r="BU103" s="20" t="str">
        <f t="shared" si="156"/>
        <v/>
      </c>
      <c r="BV103" s="306" t="e">
        <f>IF(S103="-","-",VLOOKUP($A103,AMABat!$A$10:$AS$1137,BV$9,FALSE)-S103)</f>
        <v>#N/A</v>
      </c>
      <c r="BW103" s="306" t="e">
        <f>IF(T103="-","-",VLOOKUP($A103,AMABat!$A$10:$AS$1137,BW$9,FALSE)-T103)</f>
        <v>#N/A</v>
      </c>
      <c r="BX103" s="306" t="e">
        <f>IF(U103="-","-",VLOOKUP($A103,AMABat!$A$10:$AS$1137,BX$9,FALSE)-U103)</f>
        <v>#N/A</v>
      </c>
      <c r="BY103" s="306" t="e">
        <f>IF(V103="-","-",VLOOKUP($A103,AMABat!$A$10:$AS$1137,BY$9,FALSE)-V103)</f>
        <v>#N/A</v>
      </c>
      <c r="BZ103" s="306" t="e">
        <f>IF(W103="-","-",VLOOKUP($A103,AMABat!$A$10:$AS$1137,BZ$9,FALSE)-W103)</f>
        <v>#N/A</v>
      </c>
      <c r="CA103" s="306" t="e">
        <f>IF(X103="-","-",VLOOKUP($A103,AMABat!$A$10:$AS$1137,CA$9,FALSE)-X103)</f>
        <v>#N/A</v>
      </c>
      <c r="CB103" s="306" t="e">
        <f>IF(Y103="-","-",VLOOKUP($A103,AMABat!$A$10:$AS$1137,CB$9,FALSE)-Y103)</f>
        <v>#N/A</v>
      </c>
      <c r="CC103" s="306" t="e">
        <f>IF(Z103="-","-",VLOOKUP($A103,AMABat!$A$10:$AS$1137,CC$9,FALSE)-Z103)</f>
        <v>#N/A</v>
      </c>
      <c r="CD103" s="306" t="e">
        <f>IF(AA103="-","-",VLOOKUP($A103,AMABat!$A$10:$AS$1137,CD$9,FALSE)-AA103)</f>
        <v>#N/A</v>
      </c>
      <c r="CE103" s="306" t="e">
        <f>IF(AB103="-","-",VLOOKUP($A103,AMABat!$A$10:$AS$1137,CE$9,FALSE)-AB103)</f>
        <v>#N/A</v>
      </c>
      <c r="CF103" s="306" t="e">
        <f>IF(AC103="-","-",VLOOKUP($A103,AMABat!$A$10:$AS$1137,CF$9,FALSE)-AC103)</f>
        <v>#N/A</v>
      </c>
      <c r="CG103" s="306" t="e">
        <f>IF(AD103="-","-",VLOOKUP($A103,AMABat!$A$10:$AS$1137,CG$9,FALSE)-AD103)</f>
        <v>#N/A</v>
      </c>
      <c r="CH103" s="306" t="e">
        <f>IF(AE103="-","-",VLOOKUP($A103,AMABat!$A$10:$AS$1137,CH$9,FALSE)-AE103)</f>
        <v>#N/A</v>
      </c>
      <c r="CI103" s="306" t="str">
        <f>IF(AG103="-","-",VLOOKUP($A103,AMABat!$A$10:$AS$1137,CI$9,FALSE)-AG103)</f>
        <v>-</v>
      </c>
      <c r="CJ103" s="306" t="str">
        <f>IF(AH103="-","-",VLOOKUP($A103,AMABat!$A$10:$AS$1137,CJ$9,FALSE)-AH103)</f>
        <v>-</v>
      </c>
      <c r="CK103" s="306" t="str">
        <f>IF(AI103="-","-",VLOOKUP($A103,AMABat!$A$10:$AS$1137,CK$9,FALSE)-AI103)</f>
        <v>-</v>
      </c>
      <c r="CL103" s="306" t="e">
        <f>IF(AJ103="-","-",VLOOKUP($A103,AMABat!$A$10:$AS$1137,CL$9,FALSE)-AJ103)</f>
        <v>#N/A</v>
      </c>
      <c r="CM103" s="306" t="str">
        <f>IF(AK103="-","-",VLOOKUP($A103,AMABat!$A$10:$AS$1137,CM$9,FALSE)-AK103)</f>
        <v>-</v>
      </c>
      <c r="CN103" s="306" t="str">
        <f>IF(AL103="-","-",VLOOKUP($A103,AMABat!$A$10:$AS$1137,CN$9,FALSE)-AL103)</f>
        <v>-</v>
      </c>
      <c r="CO103" s="306" t="str">
        <f>IF(AM103="-","-",VLOOKUP($A103,AMABat!$A$10:$AS$1137,CO$9,FALSE)-AM103)</f>
        <v>-</v>
      </c>
      <c r="CP103" s="306" t="str">
        <f>IF(AN103="-","-",VLOOKUP($A103,AMABat!$A$10:$AS$1137,CP$9,FALSE)-AN103)</f>
        <v>-</v>
      </c>
      <c r="CQ103" s="306" t="e">
        <f>IF(AO103="-","-",VLOOKUP($A103,AMABat!$A$10:$AS$1137,CQ$9,FALSE)-AO103)</f>
        <v>#N/A</v>
      </c>
      <c r="CR103" s="306" t="e">
        <f>IF(AP103="-","-",VLOOKUP($A103,AMABat!$A$10:$AS$1137,CR$9,FALSE)-AP103)</f>
        <v>#N/A</v>
      </c>
      <c r="CS103" s="306" t="e">
        <f>IF(AQ103="-","-",VLOOKUP($A103,AMABat!$A$10:$AS$1137,CS$9,FALSE)-AQ103)</f>
        <v>#N/A</v>
      </c>
      <c r="CT103" s="306" t="e">
        <f t="shared" si="157"/>
        <v>#N/A</v>
      </c>
      <c r="CU103" s="306" t="e">
        <f t="shared" si="158"/>
        <v>#N/A</v>
      </c>
      <c r="CV103" s="306" t="e">
        <f t="shared" si="159"/>
        <v>#N/A</v>
      </c>
      <c r="CW103" s="306" t="e">
        <f t="shared" si="160"/>
        <v>#N/A</v>
      </c>
      <c r="CX103" s="306" t="e">
        <f t="shared" si="161"/>
        <v>#N/A</v>
      </c>
    </row>
    <row r="104" spans="1:102" x14ac:dyDescent="0.25">
      <c r="A104" s="306" t="s">
        <v>695</v>
      </c>
      <c r="B104" s="305" t="s">
        <v>534</v>
      </c>
      <c r="C104" s="305"/>
      <c r="D104" s="305" t="s">
        <v>32</v>
      </c>
      <c r="E104" s="305" t="s">
        <v>32</v>
      </c>
      <c r="F104" s="305" t="s">
        <v>72</v>
      </c>
      <c r="G104" t="s">
        <v>73</v>
      </c>
      <c r="H104" t="s">
        <v>875</v>
      </c>
      <c r="I104" s="305" t="s">
        <v>876</v>
      </c>
      <c r="J104" t="s">
        <v>810</v>
      </c>
      <c r="K104" t="s">
        <v>83</v>
      </c>
      <c r="L104">
        <v>19</v>
      </c>
      <c r="M104" t="s">
        <v>85</v>
      </c>
      <c r="N104" t="s">
        <v>83</v>
      </c>
      <c r="O104" t="s">
        <v>816</v>
      </c>
      <c r="P104" s="3" t="s">
        <v>808</v>
      </c>
      <c r="Q104" t="s">
        <v>199</v>
      </c>
      <c r="R104" s="3" t="s">
        <v>200</v>
      </c>
      <c r="S104">
        <v>2</v>
      </c>
      <c r="T104">
        <v>2</v>
      </c>
      <c r="U104">
        <v>3</v>
      </c>
      <c r="V104">
        <v>2</v>
      </c>
      <c r="W104" s="3">
        <v>2</v>
      </c>
      <c r="X104">
        <v>3</v>
      </c>
      <c r="Y104">
        <v>3</v>
      </c>
      <c r="Z104">
        <v>5</v>
      </c>
      <c r="AA104">
        <v>5</v>
      </c>
      <c r="AB104" s="3">
        <v>4</v>
      </c>
      <c r="AC104">
        <v>3</v>
      </c>
      <c r="AD104">
        <v>4</v>
      </c>
      <c r="AE104">
        <v>1</v>
      </c>
      <c r="AF104" s="305">
        <v>1</v>
      </c>
      <c r="AG104" t="s">
        <v>32</v>
      </c>
      <c r="AH104">
        <v>1</v>
      </c>
      <c r="AI104" t="s">
        <v>32</v>
      </c>
      <c r="AJ104" t="s">
        <v>32</v>
      </c>
      <c r="AK104" t="s">
        <v>32</v>
      </c>
      <c r="AL104" t="s">
        <v>32</v>
      </c>
      <c r="AM104" t="s">
        <v>32</v>
      </c>
      <c r="AN104" s="3" t="s">
        <v>32</v>
      </c>
      <c r="AO104">
        <v>2</v>
      </c>
      <c r="AP104">
        <v>3</v>
      </c>
      <c r="AQ104" s="3">
        <v>1</v>
      </c>
      <c r="AR104" t="s">
        <v>32</v>
      </c>
      <c r="AS104" s="3" t="s">
        <v>33</v>
      </c>
      <c r="AT104" s="372" t="s">
        <v>199</v>
      </c>
      <c r="AU104" s="22">
        <f t="shared" si="130"/>
        <v>0.33333333333333348</v>
      </c>
      <c r="AV104" s="23" t="str">
        <f t="shared" si="131"/>
        <v>Minors</v>
      </c>
      <c r="AW104" s="22">
        <f t="shared" si="132"/>
        <v>2.833333333333333</v>
      </c>
      <c r="AX104" s="22" t="str">
        <f t="shared" si="133"/>
        <v>Minors</v>
      </c>
      <c r="AY104" s="23">
        <f t="shared" si="134"/>
        <v>2.833333333333333</v>
      </c>
      <c r="AZ104" s="23" t="str">
        <f t="shared" si="135"/>
        <v>Minors</v>
      </c>
      <c r="BA104" s="64">
        <f t="shared" si="136"/>
        <v>0</v>
      </c>
      <c r="BB104" s="65">
        <f t="shared" si="137"/>
        <v>0</v>
      </c>
      <c r="BC104" s="65">
        <f t="shared" si="138"/>
        <v>0</v>
      </c>
      <c r="BD104" s="65">
        <f t="shared" si="139"/>
        <v>0</v>
      </c>
      <c r="BE104" s="65">
        <f t="shared" si="140"/>
        <v>0</v>
      </c>
      <c r="BF104" s="65">
        <f t="shared" si="141"/>
        <v>0</v>
      </c>
      <c r="BG104" s="65">
        <f t="shared" si="142"/>
        <v>0</v>
      </c>
      <c r="BH104" s="65">
        <f t="shared" si="143"/>
        <v>0</v>
      </c>
      <c r="BI104" s="21">
        <f t="shared" si="144"/>
        <v>0</v>
      </c>
      <c r="BJ104" s="64">
        <f t="shared" si="145"/>
        <v>0</v>
      </c>
      <c r="BK104" s="65">
        <f t="shared" si="146"/>
        <v>0</v>
      </c>
      <c r="BL104" s="65">
        <f t="shared" si="147"/>
        <v>0</v>
      </c>
      <c r="BM104" s="65">
        <f t="shared" si="148"/>
        <v>0</v>
      </c>
      <c r="BN104" s="65">
        <f t="shared" si="149"/>
        <v>0</v>
      </c>
      <c r="BO104" s="65">
        <f t="shared" si="150"/>
        <v>0</v>
      </c>
      <c r="BP104" s="65">
        <f t="shared" si="151"/>
        <v>0</v>
      </c>
      <c r="BQ104" s="65">
        <f t="shared" si="152"/>
        <v>0</v>
      </c>
      <c r="BR104" s="21">
        <f t="shared" si="153"/>
        <v>0</v>
      </c>
      <c r="BS104" s="21">
        <f t="shared" si="154"/>
        <v>0</v>
      </c>
      <c r="BT104" s="24">
        <f t="shared" si="155"/>
        <v>0</v>
      </c>
      <c r="BU104" s="20" t="str">
        <f t="shared" si="156"/>
        <v/>
      </c>
      <c r="BV104" s="306" t="e">
        <f>IF(S104="-","-",VLOOKUP($A104,AMABat!$A$10:$AS$1137,BV$9,FALSE)-S104)</f>
        <v>#N/A</v>
      </c>
      <c r="BW104" s="306" t="e">
        <f>IF(T104="-","-",VLOOKUP($A104,AMABat!$A$10:$AS$1137,BW$9,FALSE)-T104)</f>
        <v>#N/A</v>
      </c>
      <c r="BX104" s="306" t="e">
        <f>IF(U104="-","-",VLOOKUP($A104,AMABat!$A$10:$AS$1137,BX$9,FALSE)-U104)</f>
        <v>#N/A</v>
      </c>
      <c r="BY104" s="306" t="e">
        <f>IF(V104="-","-",VLOOKUP($A104,AMABat!$A$10:$AS$1137,BY$9,FALSE)-V104)</f>
        <v>#N/A</v>
      </c>
      <c r="BZ104" s="306" t="e">
        <f>IF(W104="-","-",VLOOKUP($A104,AMABat!$A$10:$AS$1137,BZ$9,FALSE)-W104)</f>
        <v>#N/A</v>
      </c>
      <c r="CA104" s="306" t="e">
        <f>IF(X104="-","-",VLOOKUP($A104,AMABat!$A$10:$AS$1137,CA$9,FALSE)-X104)</f>
        <v>#N/A</v>
      </c>
      <c r="CB104" s="306" t="e">
        <f>IF(Y104="-","-",VLOOKUP($A104,AMABat!$A$10:$AS$1137,CB$9,FALSE)-Y104)</f>
        <v>#N/A</v>
      </c>
      <c r="CC104" s="306" t="e">
        <f>IF(Z104="-","-",VLOOKUP($A104,AMABat!$A$10:$AS$1137,CC$9,FALSE)-Z104)</f>
        <v>#N/A</v>
      </c>
      <c r="CD104" s="306" t="e">
        <f>IF(AA104="-","-",VLOOKUP($A104,AMABat!$A$10:$AS$1137,CD$9,FALSE)-AA104)</f>
        <v>#N/A</v>
      </c>
      <c r="CE104" s="306" t="e">
        <f>IF(AB104="-","-",VLOOKUP($A104,AMABat!$A$10:$AS$1137,CE$9,FALSE)-AB104)</f>
        <v>#N/A</v>
      </c>
      <c r="CF104" s="306" t="e">
        <f>IF(AC104="-","-",VLOOKUP($A104,AMABat!$A$10:$AS$1137,CF$9,FALSE)-AC104)</f>
        <v>#N/A</v>
      </c>
      <c r="CG104" s="306" t="e">
        <f>IF(AD104="-","-",VLOOKUP($A104,AMABat!$A$10:$AS$1137,CG$9,FALSE)-AD104)</f>
        <v>#N/A</v>
      </c>
      <c r="CH104" s="306" t="e">
        <f>IF(AE104="-","-",VLOOKUP($A104,AMABat!$A$10:$AS$1137,CH$9,FALSE)-AE104)</f>
        <v>#N/A</v>
      </c>
      <c r="CI104" s="306" t="str">
        <f>IF(AG104="-","-",VLOOKUP($A104,AMABat!$A$10:$AS$1137,CI$9,FALSE)-AG104)</f>
        <v>-</v>
      </c>
      <c r="CJ104" s="306" t="e">
        <f>IF(AH104="-","-",VLOOKUP($A104,AMABat!$A$10:$AS$1137,CJ$9,FALSE)-AH104)</f>
        <v>#N/A</v>
      </c>
      <c r="CK104" s="306" t="str">
        <f>IF(AI104="-","-",VLOOKUP($A104,AMABat!$A$10:$AS$1137,CK$9,FALSE)-AI104)</f>
        <v>-</v>
      </c>
      <c r="CL104" s="306" t="str">
        <f>IF(AJ104="-","-",VLOOKUP($A104,AMABat!$A$10:$AS$1137,CL$9,FALSE)-AJ104)</f>
        <v>-</v>
      </c>
      <c r="CM104" s="306" t="str">
        <f>IF(AK104="-","-",VLOOKUP($A104,AMABat!$A$10:$AS$1137,CM$9,FALSE)-AK104)</f>
        <v>-</v>
      </c>
      <c r="CN104" s="306" t="str">
        <f>IF(AL104="-","-",VLOOKUP($A104,AMABat!$A$10:$AS$1137,CN$9,FALSE)-AL104)</f>
        <v>-</v>
      </c>
      <c r="CO104" s="306" t="str">
        <f>IF(AM104="-","-",VLOOKUP($A104,AMABat!$A$10:$AS$1137,CO$9,FALSE)-AM104)</f>
        <v>-</v>
      </c>
      <c r="CP104" s="306" t="str">
        <f>IF(AN104="-","-",VLOOKUP($A104,AMABat!$A$10:$AS$1137,CP$9,FALSE)-AN104)</f>
        <v>-</v>
      </c>
      <c r="CQ104" s="306" t="e">
        <f>IF(AO104="-","-",VLOOKUP($A104,AMABat!$A$10:$AS$1137,CQ$9,FALSE)-AO104)</f>
        <v>#N/A</v>
      </c>
      <c r="CR104" s="306" t="e">
        <f>IF(AP104="-","-",VLOOKUP($A104,AMABat!$A$10:$AS$1137,CR$9,FALSE)-AP104)</f>
        <v>#N/A</v>
      </c>
      <c r="CS104" s="306" t="e">
        <f>IF(AQ104="-","-",VLOOKUP($A104,AMABat!$A$10:$AS$1137,CS$9,FALSE)-AQ104)</f>
        <v>#N/A</v>
      </c>
      <c r="CT104" s="306" t="e">
        <f t="shared" si="157"/>
        <v>#N/A</v>
      </c>
      <c r="CU104" s="306" t="e">
        <f t="shared" si="158"/>
        <v>#N/A</v>
      </c>
      <c r="CV104" s="306" t="e">
        <f t="shared" si="159"/>
        <v>#N/A</v>
      </c>
      <c r="CW104" s="306" t="e">
        <f t="shared" si="160"/>
        <v>#N/A</v>
      </c>
      <c r="CX104" s="306" t="e">
        <f t="shared" si="161"/>
        <v>#N/A</v>
      </c>
    </row>
    <row r="105" spans="1:102" x14ac:dyDescent="0.25">
      <c r="A105" s="306" t="s">
        <v>696</v>
      </c>
      <c r="B105" s="305" t="s">
        <v>534</v>
      </c>
      <c r="C105" s="305"/>
      <c r="D105" s="305" t="s">
        <v>32</v>
      </c>
      <c r="E105" s="305" t="s">
        <v>32</v>
      </c>
      <c r="F105" s="305" t="s">
        <v>72</v>
      </c>
      <c r="G105" t="s">
        <v>79</v>
      </c>
      <c r="H105" t="s">
        <v>906</v>
      </c>
      <c r="I105" s="305" t="s">
        <v>405</v>
      </c>
      <c r="J105" t="s">
        <v>810</v>
      </c>
      <c r="K105" t="s">
        <v>83</v>
      </c>
      <c r="L105">
        <v>20</v>
      </c>
      <c r="M105" t="s">
        <v>83</v>
      </c>
      <c r="N105" t="s">
        <v>83</v>
      </c>
      <c r="O105" t="s">
        <v>816</v>
      </c>
      <c r="P105" s="3" t="s">
        <v>808</v>
      </c>
      <c r="Q105" t="s">
        <v>200</v>
      </c>
      <c r="R105" s="3" t="s">
        <v>200</v>
      </c>
      <c r="S105">
        <v>2</v>
      </c>
      <c r="T105">
        <v>4</v>
      </c>
      <c r="U105">
        <v>3</v>
      </c>
      <c r="V105">
        <v>2</v>
      </c>
      <c r="W105" s="3">
        <v>1</v>
      </c>
      <c r="X105">
        <v>3</v>
      </c>
      <c r="Y105">
        <v>4</v>
      </c>
      <c r="Z105">
        <v>6</v>
      </c>
      <c r="AA105">
        <v>3</v>
      </c>
      <c r="AB105" s="3">
        <v>3</v>
      </c>
      <c r="AC105">
        <v>6</v>
      </c>
      <c r="AD105">
        <v>7</v>
      </c>
      <c r="AE105">
        <v>1</v>
      </c>
      <c r="AF105" s="305">
        <v>1</v>
      </c>
      <c r="AG105" t="s">
        <v>32</v>
      </c>
      <c r="AH105" t="s">
        <v>32</v>
      </c>
      <c r="AI105" t="s">
        <v>32</v>
      </c>
      <c r="AJ105" t="s">
        <v>32</v>
      </c>
      <c r="AK105" t="s">
        <v>32</v>
      </c>
      <c r="AL105">
        <v>3</v>
      </c>
      <c r="AM105">
        <v>1</v>
      </c>
      <c r="AN105" s="3">
        <v>4</v>
      </c>
      <c r="AO105">
        <v>3</v>
      </c>
      <c r="AP105">
        <v>5</v>
      </c>
      <c r="AQ105" s="3">
        <v>5</v>
      </c>
      <c r="AR105" t="s">
        <v>32</v>
      </c>
      <c r="AS105" s="3">
        <v>0</v>
      </c>
      <c r="AT105" s="372" t="s">
        <v>529</v>
      </c>
      <c r="AU105" s="22">
        <f t="shared" si="130"/>
        <v>0.33333333333333348</v>
      </c>
      <c r="AV105" s="23" t="str">
        <f t="shared" si="131"/>
        <v>Minors</v>
      </c>
      <c r="AW105" s="22">
        <f t="shared" si="132"/>
        <v>2.5</v>
      </c>
      <c r="AX105" s="22" t="str">
        <f t="shared" si="133"/>
        <v>Minors</v>
      </c>
      <c r="AY105" s="23">
        <f t="shared" si="134"/>
        <v>2.5</v>
      </c>
      <c r="AZ105" s="23" t="str">
        <f t="shared" si="135"/>
        <v>Minors</v>
      </c>
      <c r="BA105" s="64">
        <f t="shared" si="136"/>
        <v>0</v>
      </c>
      <c r="BB105" s="65">
        <f t="shared" si="137"/>
        <v>0</v>
      </c>
      <c r="BC105" s="65">
        <f t="shared" si="138"/>
        <v>0</v>
      </c>
      <c r="BD105" s="65">
        <f t="shared" si="139"/>
        <v>0</v>
      </c>
      <c r="BE105" s="65">
        <f t="shared" si="140"/>
        <v>0</v>
      </c>
      <c r="BF105" s="65">
        <f t="shared" si="141"/>
        <v>0</v>
      </c>
      <c r="BG105" s="65">
        <f t="shared" si="142"/>
        <v>0</v>
      </c>
      <c r="BH105" s="65">
        <f t="shared" si="143"/>
        <v>0</v>
      </c>
      <c r="BI105" s="21">
        <f t="shared" si="144"/>
        <v>0</v>
      </c>
      <c r="BJ105" s="64">
        <f t="shared" si="145"/>
        <v>0</v>
      </c>
      <c r="BK105" s="65">
        <f t="shared" si="146"/>
        <v>0</v>
      </c>
      <c r="BL105" s="65">
        <f t="shared" si="147"/>
        <v>0</v>
      </c>
      <c r="BM105" s="65">
        <f t="shared" si="148"/>
        <v>0</v>
      </c>
      <c r="BN105" s="65">
        <f t="shared" si="149"/>
        <v>0</v>
      </c>
      <c r="BO105" s="65">
        <f t="shared" si="150"/>
        <v>0</v>
      </c>
      <c r="BP105" s="65">
        <f t="shared" si="151"/>
        <v>0</v>
      </c>
      <c r="BQ105" s="65">
        <f t="shared" si="152"/>
        <v>0</v>
      </c>
      <c r="BR105" s="21">
        <f t="shared" si="153"/>
        <v>0</v>
      </c>
      <c r="BS105" s="21">
        <f t="shared" si="154"/>
        <v>0</v>
      </c>
      <c r="BT105" s="24">
        <f t="shared" si="155"/>
        <v>0</v>
      </c>
      <c r="BU105" s="20" t="str">
        <f t="shared" si="156"/>
        <v/>
      </c>
      <c r="BV105" s="306" t="e">
        <f>IF(S105="-","-",VLOOKUP($A105,AMABat!$A$10:$AS$1137,BV$9,FALSE)-S105)</f>
        <v>#N/A</v>
      </c>
      <c r="BW105" s="306" t="e">
        <f>IF(T105="-","-",VLOOKUP($A105,AMABat!$A$10:$AS$1137,BW$9,FALSE)-T105)</f>
        <v>#N/A</v>
      </c>
      <c r="BX105" s="306" t="e">
        <f>IF(U105="-","-",VLOOKUP($A105,AMABat!$A$10:$AS$1137,BX$9,FALSE)-U105)</f>
        <v>#N/A</v>
      </c>
      <c r="BY105" s="306" t="e">
        <f>IF(V105="-","-",VLOOKUP($A105,AMABat!$A$10:$AS$1137,BY$9,FALSE)-V105)</f>
        <v>#N/A</v>
      </c>
      <c r="BZ105" s="306" t="e">
        <f>IF(W105="-","-",VLOOKUP($A105,AMABat!$A$10:$AS$1137,BZ$9,FALSE)-W105)</f>
        <v>#N/A</v>
      </c>
      <c r="CA105" s="306" t="e">
        <f>IF(X105="-","-",VLOOKUP($A105,AMABat!$A$10:$AS$1137,CA$9,FALSE)-X105)</f>
        <v>#N/A</v>
      </c>
      <c r="CB105" s="306" t="e">
        <f>IF(Y105="-","-",VLOOKUP($A105,AMABat!$A$10:$AS$1137,CB$9,FALSE)-Y105)</f>
        <v>#N/A</v>
      </c>
      <c r="CC105" s="306" t="e">
        <f>IF(Z105="-","-",VLOOKUP($A105,AMABat!$A$10:$AS$1137,CC$9,FALSE)-Z105)</f>
        <v>#N/A</v>
      </c>
      <c r="CD105" s="306" t="e">
        <f>IF(AA105="-","-",VLOOKUP($A105,AMABat!$A$10:$AS$1137,CD$9,FALSE)-AA105)</f>
        <v>#N/A</v>
      </c>
      <c r="CE105" s="306" t="e">
        <f>IF(AB105="-","-",VLOOKUP($A105,AMABat!$A$10:$AS$1137,CE$9,FALSE)-AB105)</f>
        <v>#N/A</v>
      </c>
      <c r="CF105" s="306" t="e">
        <f>IF(AC105="-","-",VLOOKUP($A105,AMABat!$A$10:$AS$1137,CF$9,FALSE)-AC105)</f>
        <v>#N/A</v>
      </c>
      <c r="CG105" s="306" t="e">
        <f>IF(AD105="-","-",VLOOKUP($A105,AMABat!$A$10:$AS$1137,CG$9,FALSE)-AD105)</f>
        <v>#N/A</v>
      </c>
      <c r="CH105" s="306" t="e">
        <f>IF(AE105="-","-",VLOOKUP($A105,AMABat!$A$10:$AS$1137,CH$9,FALSE)-AE105)</f>
        <v>#N/A</v>
      </c>
      <c r="CI105" s="306" t="str">
        <f>IF(AG105="-","-",VLOOKUP($A105,AMABat!$A$10:$AS$1137,CI$9,FALSE)-AG105)</f>
        <v>-</v>
      </c>
      <c r="CJ105" s="306" t="str">
        <f>IF(AH105="-","-",VLOOKUP($A105,AMABat!$A$10:$AS$1137,CJ$9,FALSE)-AH105)</f>
        <v>-</v>
      </c>
      <c r="CK105" s="306" t="str">
        <f>IF(AI105="-","-",VLOOKUP($A105,AMABat!$A$10:$AS$1137,CK$9,FALSE)-AI105)</f>
        <v>-</v>
      </c>
      <c r="CL105" s="306" t="str">
        <f>IF(AJ105="-","-",VLOOKUP($A105,AMABat!$A$10:$AS$1137,CL$9,FALSE)-AJ105)</f>
        <v>-</v>
      </c>
      <c r="CM105" s="306" t="str">
        <f>IF(AK105="-","-",VLOOKUP($A105,AMABat!$A$10:$AS$1137,CM$9,FALSE)-AK105)</f>
        <v>-</v>
      </c>
      <c r="CN105" s="306" t="e">
        <f>IF(AL105="-","-",VLOOKUP($A105,AMABat!$A$10:$AS$1137,CN$9,FALSE)-AL105)</f>
        <v>#N/A</v>
      </c>
      <c r="CO105" s="306" t="e">
        <f>IF(AM105="-","-",VLOOKUP($A105,AMABat!$A$10:$AS$1137,CO$9,FALSE)-AM105)</f>
        <v>#N/A</v>
      </c>
      <c r="CP105" s="306" t="e">
        <f>IF(AN105="-","-",VLOOKUP($A105,AMABat!$A$10:$AS$1137,CP$9,FALSE)-AN105)</f>
        <v>#N/A</v>
      </c>
      <c r="CQ105" s="306" t="e">
        <f>IF(AO105="-","-",VLOOKUP($A105,AMABat!$A$10:$AS$1137,CQ$9,FALSE)-AO105)</f>
        <v>#N/A</v>
      </c>
      <c r="CR105" s="306" t="e">
        <f>IF(AP105="-","-",VLOOKUP($A105,AMABat!$A$10:$AS$1137,CR$9,FALSE)-AP105)</f>
        <v>#N/A</v>
      </c>
      <c r="CS105" s="306" t="e">
        <f>IF(AQ105="-","-",VLOOKUP($A105,AMABat!$A$10:$AS$1137,CS$9,FALSE)-AQ105)</f>
        <v>#N/A</v>
      </c>
      <c r="CT105" s="306" t="e">
        <f t="shared" si="157"/>
        <v>#N/A</v>
      </c>
      <c r="CU105" s="306" t="e">
        <f t="shared" si="158"/>
        <v>#N/A</v>
      </c>
      <c r="CV105" s="306" t="e">
        <f t="shared" si="159"/>
        <v>#N/A</v>
      </c>
      <c r="CW105" s="306" t="e">
        <f t="shared" si="160"/>
        <v>#N/A</v>
      </c>
      <c r="CX105" s="306" t="e">
        <f t="shared" si="161"/>
        <v>#N/A</v>
      </c>
    </row>
    <row r="106" spans="1:102" x14ac:dyDescent="0.25">
      <c r="A106" s="306" t="s">
        <v>697</v>
      </c>
      <c r="B106" s="305" t="s">
        <v>534</v>
      </c>
      <c r="C106" s="305"/>
      <c r="D106" s="305" t="s">
        <v>32</v>
      </c>
      <c r="E106" s="305" t="s">
        <v>32</v>
      </c>
      <c r="F106" s="305" t="s">
        <v>81</v>
      </c>
      <c r="G106" t="s">
        <v>77</v>
      </c>
      <c r="H106" t="s">
        <v>470</v>
      </c>
      <c r="I106" s="305" t="s">
        <v>721</v>
      </c>
      <c r="J106" t="s">
        <v>763</v>
      </c>
      <c r="K106" t="s">
        <v>16</v>
      </c>
      <c r="L106">
        <v>19</v>
      </c>
      <c r="M106" t="s">
        <v>85</v>
      </c>
      <c r="N106" t="s">
        <v>83</v>
      </c>
      <c r="O106" t="s">
        <v>816</v>
      </c>
      <c r="P106" s="3" t="s">
        <v>808</v>
      </c>
      <c r="Q106" t="s">
        <v>199</v>
      </c>
      <c r="R106" s="3" t="s">
        <v>200</v>
      </c>
      <c r="S106">
        <v>2</v>
      </c>
      <c r="T106">
        <v>4</v>
      </c>
      <c r="U106">
        <v>2</v>
      </c>
      <c r="V106">
        <v>3</v>
      </c>
      <c r="W106" s="3">
        <v>2</v>
      </c>
      <c r="X106">
        <v>3</v>
      </c>
      <c r="Y106">
        <v>4</v>
      </c>
      <c r="Z106">
        <v>4</v>
      </c>
      <c r="AA106">
        <v>4</v>
      </c>
      <c r="AB106" s="3">
        <v>3</v>
      </c>
      <c r="AC106">
        <v>7</v>
      </c>
      <c r="AD106">
        <v>7</v>
      </c>
      <c r="AE106">
        <v>1</v>
      </c>
      <c r="AF106" s="305">
        <v>1</v>
      </c>
      <c r="AG106" t="s">
        <v>32</v>
      </c>
      <c r="AH106" t="s">
        <v>32</v>
      </c>
      <c r="AI106" t="s">
        <v>32</v>
      </c>
      <c r="AJ106" t="s">
        <v>32</v>
      </c>
      <c r="AK106" t="s">
        <v>32</v>
      </c>
      <c r="AL106">
        <v>3</v>
      </c>
      <c r="AM106" t="s">
        <v>32</v>
      </c>
      <c r="AN106" s="3">
        <v>2</v>
      </c>
      <c r="AO106">
        <v>3</v>
      </c>
      <c r="AP106">
        <v>1</v>
      </c>
      <c r="AQ106" s="3">
        <v>1</v>
      </c>
      <c r="AR106" t="s">
        <v>32</v>
      </c>
      <c r="AS106" s="3">
        <v>0</v>
      </c>
      <c r="AT106" s="372" t="s">
        <v>529</v>
      </c>
      <c r="AU106" s="22">
        <f t="shared" si="130"/>
        <v>0.33333333333333348</v>
      </c>
      <c r="AV106" s="23" t="str">
        <f t="shared" si="131"/>
        <v>Minors</v>
      </c>
      <c r="AW106" s="22">
        <f t="shared" si="132"/>
        <v>2.1666666666666665</v>
      </c>
      <c r="AX106" s="22" t="str">
        <f t="shared" si="133"/>
        <v>Minors</v>
      </c>
      <c r="AY106" s="23">
        <f t="shared" si="134"/>
        <v>2.1666666666666665</v>
      </c>
      <c r="AZ106" s="23" t="str">
        <f t="shared" si="135"/>
        <v>Minors</v>
      </c>
      <c r="BA106" s="64">
        <f t="shared" si="136"/>
        <v>0</v>
      </c>
      <c r="BB106" s="65">
        <f t="shared" si="137"/>
        <v>0</v>
      </c>
      <c r="BC106" s="65">
        <f t="shared" si="138"/>
        <v>0</v>
      </c>
      <c r="BD106" s="65">
        <f t="shared" si="139"/>
        <v>0</v>
      </c>
      <c r="BE106" s="65">
        <f t="shared" si="140"/>
        <v>0</v>
      </c>
      <c r="BF106" s="65">
        <f t="shared" si="141"/>
        <v>0</v>
      </c>
      <c r="BG106" s="65">
        <f t="shared" si="142"/>
        <v>0</v>
      </c>
      <c r="BH106" s="65">
        <f t="shared" si="143"/>
        <v>0</v>
      </c>
      <c r="BI106" s="21">
        <f t="shared" si="144"/>
        <v>0</v>
      </c>
      <c r="BJ106" s="64">
        <f t="shared" si="145"/>
        <v>0</v>
      </c>
      <c r="BK106" s="65">
        <f t="shared" si="146"/>
        <v>0</v>
      </c>
      <c r="BL106" s="65">
        <f t="shared" si="147"/>
        <v>0</v>
      </c>
      <c r="BM106" s="65">
        <f t="shared" si="148"/>
        <v>0</v>
      </c>
      <c r="BN106" s="65">
        <f t="shared" si="149"/>
        <v>0</v>
      </c>
      <c r="BO106" s="65">
        <f t="shared" si="150"/>
        <v>0</v>
      </c>
      <c r="BP106" s="65">
        <f t="shared" si="151"/>
        <v>0</v>
      </c>
      <c r="BQ106" s="65">
        <f t="shared" si="152"/>
        <v>0</v>
      </c>
      <c r="BR106" s="21">
        <f t="shared" si="153"/>
        <v>0</v>
      </c>
      <c r="BS106" s="21">
        <f t="shared" si="154"/>
        <v>0</v>
      </c>
      <c r="BT106" s="24">
        <f t="shared" si="155"/>
        <v>0</v>
      </c>
      <c r="BU106" s="20" t="str">
        <f t="shared" si="156"/>
        <v/>
      </c>
      <c r="BV106" s="306" t="e">
        <f>IF(S106="-","-",VLOOKUP($A106,AMABat!$A$10:$AS$1137,BV$9,FALSE)-S106)</f>
        <v>#N/A</v>
      </c>
      <c r="BW106" s="306" t="e">
        <f>IF(T106="-","-",VLOOKUP($A106,AMABat!$A$10:$AS$1137,BW$9,FALSE)-T106)</f>
        <v>#N/A</v>
      </c>
      <c r="BX106" s="306" t="e">
        <f>IF(U106="-","-",VLOOKUP($A106,AMABat!$A$10:$AS$1137,BX$9,FALSE)-U106)</f>
        <v>#N/A</v>
      </c>
      <c r="BY106" s="306" t="e">
        <f>IF(V106="-","-",VLOOKUP($A106,AMABat!$A$10:$AS$1137,BY$9,FALSE)-V106)</f>
        <v>#N/A</v>
      </c>
      <c r="BZ106" s="306" t="e">
        <f>IF(W106="-","-",VLOOKUP($A106,AMABat!$A$10:$AS$1137,BZ$9,FALSE)-W106)</f>
        <v>#N/A</v>
      </c>
      <c r="CA106" s="306" t="e">
        <f>IF(X106="-","-",VLOOKUP($A106,AMABat!$A$10:$AS$1137,CA$9,FALSE)-X106)</f>
        <v>#N/A</v>
      </c>
      <c r="CB106" s="306" t="e">
        <f>IF(Y106="-","-",VLOOKUP($A106,AMABat!$A$10:$AS$1137,CB$9,FALSE)-Y106)</f>
        <v>#N/A</v>
      </c>
      <c r="CC106" s="306" t="e">
        <f>IF(Z106="-","-",VLOOKUP($A106,AMABat!$A$10:$AS$1137,CC$9,FALSE)-Z106)</f>
        <v>#N/A</v>
      </c>
      <c r="CD106" s="306" t="e">
        <f>IF(AA106="-","-",VLOOKUP($A106,AMABat!$A$10:$AS$1137,CD$9,FALSE)-AA106)</f>
        <v>#N/A</v>
      </c>
      <c r="CE106" s="306" t="e">
        <f>IF(AB106="-","-",VLOOKUP($A106,AMABat!$A$10:$AS$1137,CE$9,FALSE)-AB106)</f>
        <v>#N/A</v>
      </c>
      <c r="CF106" s="306" t="e">
        <f>IF(AC106="-","-",VLOOKUP($A106,AMABat!$A$10:$AS$1137,CF$9,FALSE)-AC106)</f>
        <v>#N/A</v>
      </c>
      <c r="CG106" s="306" t="e">
        <f>IF(AD106="-","-",VLOOKUP($A106,AMABat!$A$10:$AS$1137,CG$9,FALSE)-AD106)</f>
        <v>#N/A</v>
      </c>
      <c r="CH106" s="306" t="e">
        <f>IF(AE106="-","-",VLOOKUP($A106,AMABat!$A$10:$AS$1137,CH$9,FALSE)-AE106)</f>
        <v>#N/A</v>
      </c>
      <c r="CI106" s="306" t="str">
        <f>IF(AG106="-","-",VLOOKUP($A106,AMABat!$A$10:$AS$1137,CI$9,FALSE)-AG106)</f>
        <v>-</v>
      </c>
      <c r="CJ106" s="306" t="str">
        <f>IF(AH106="-","-",VLOOKUP($A106,AMABat!$A$10:$AS$1137,CJ$9,FALSE)-AH106)</f>
        <v>-</v>
      </c>
      <c r="CK106" s="306" t="str">
        <f>IF(AI106="-","-",VLOOKUP($A106,AMABat!$A$10:$AS$1137,CK$9,FALSE)-AI106)</f>
        <v>-</v>
      </c>
      <c r="CL106" s="306" t="str">
        <f>IF(AJ106="-","-",VLOOKUP($A106,AMABat!$A$10:$AS$1137,CL$9,FALSE)-AJ106)</f>
        <v>-</v>
      </c>
      <c r="CM106" s="306" t="str">
        <f>IF(AK106="-","-",VLOOKUP($A106,AMABat!$A$10:$AS$1137,CM$9,FALSE)-AK106)</f>
        <v>-</v>
      </c>
      <c r="CN106" s="306" t="e">
        <f>IF(AL106="-","-",VLOOKUP($A106,AMABat!$A$10:$AS$1137,CN$9,FALSE)-AL106)</f>
        <v>#N/A</v>
      </c>
      <c r="CO106" s="306" t="str">
        <f>IF(AM106="-","-",VLOOKUP($A106,AMABat!$A$10:$AS$1137,CO$9,FALSE)-AM106)</f>
        <v>-</v>
      </c>
      <c r="CP106" s="306" t="e">
        <f>IF(AN106="-","-",VLOOKUP($A106,AMABat!$A$10:$AS$1137,CP$9,FALSE)-AN106)</f>
        <v>#N/A</v>
      </c>
      <c r="CQ106" s="306" t="e">
        <f>IF(AO106="-","-",VLOOKUP($A106,AMABat!$A$10:$AS$1137,CQ$9,FALSE)-AO106)</f>
        <v>#N/A</v>
      </c>
      <c r="CR106" s="306" t="e">
        <f>IF(AP106="-","-",VLOOKUP($A106,AMABat!$A$10:$AS$1137,CR$9,FALSE)-AP106)</f>
        <v>#N/A</v>
      </c>
      <c r="CS106" s="306" t="e">
        <f>IF(AQ106="-","-",VLOOKUP($A106,AMABat!$A$10:$AS$1137,CS$9,FALSE)-AQ106)</f>
        <v>#N/A</v>
      </c>
      <c r="CT106" s="306" t="e">
        <f t="shared" si="157"/>
        <v>#N/A</v>
      </c>
      <c r="CU106" s="306" t="e">
        <f t="shared" si="158"/>
        <v>#N/A</v>
      </c>
      <c r="CV106" s="306" t="e">
        <f t="shared" si="159"/>
        <v>#N/A</v>
      </c>
      <c r="CW106" s="306" t="e">
        <f t="shared" si="160"/>
        <v>#N/A</v>
      </c>
      <c r="CX106" s="306" t="e">
        <f t="shared" si="161"/>
        <v>#N/A</v>
      </c>
    </row>
    <row r="107" spans="1:102" x14ac:dyDescent="0.25">
      <c r="A107" s="306" t="s">
        <v>698</v>
      </c>
      <c r="B107" s="305" t="s">
        <v>534</v>
      </c>
      <c r="C107" s="305"/>
      <c r="D107" s="305" t="s">
        <v>32</v>
      </c>
      <c r="E107" s="305" t="s">
        <v>32</v>
      </c>
      <c r="F107" s="305" t="s">
        <v>81</v>
      </c>
      <c r="G107" t="s">
        <v>71</v>
      </c>
      <c r="H107" t="s">
        <v>1190</v>
      </c>
      <c r="I107" s="305" t="s">
        <v>1191</v>
      </c>
      <c r="J107" t="s">
        <v>802</v>
      </c>
      <c r="K107" t="s">
        <v>277</v>
      </c>
      <c r="L107">
        <v>21</v>
      </c>
      <c r="M107" t="s">
        <v>83</v>
      </c>
      <c r="N107" t="s">
        <v>83</v>
      </c>
      <c r="O107" t="s">
        <v>816</v>
      </c>
      <c r="P107" s="3" t="s">
        <v>808</v>
      </c>
      <c r="Q107" t="s">
        <v>201</v>
      </c>
      <c r="R107" s="3" t="s">
        <v>200</v>
      </c>
      <c r="S107">
        <v>2</v>
      </c>
      <c r="T107">
        <v>3</v>
      </c>
      <c r="U107">
        <v>3</v>
      </c>
      <c r="V107">
        <v>2</v>
      </c>
      <c r="W107" s="3">
        <v>1</v>
      </c>
      <c r="X107">
        <v>3</v>
      </c>
      <c r="Y107">
        <v>4</v>
      </c>
      <c r="Z107">
        <v>4</v>
      </c>
      <c r="AA107">
        <v>4</v>
      </c>
      <c r="AB107" s="3">
        <v>4</v>
      </c>
      <c r="AC107">
        <v>4</v>
      </c>
      <c r="AD107">
        <v>5</v>
      </c>
      <c r="AE107">
        <v>7</v>
      </c>
      <c r="AF107" s="305">
        <v>5</v>
      </c>
      <c r="AG107">
        <v>2</v>
      </c>
      <c r="AH107" t="s">
        <v>32</v>
      </c>
      <c r="AI107" t="s">
        <v>32</v>
      </c>
      <c r="AJ107" t="s">
        <v>32</v>
      </c>
      <c r="AK107" t="s">
        <v>32</v>
      </c>
      <c r="AL107" t="s">
        <v>32</v>
      </c>
      <c r="AM107" t="s">
        <v>32</v>
      </c>
      <c r="AN107" s="3" t="s">
        <v>32</v>
      </c>
      <c r="AO107">
        <v>1</v>
      </c>
      <c r="AP107">
        <v>2</v>
      </c>
      <c r="AQ107" s="3">
        <v>5</v>
      </c>
      <c r="AR107" t="s">
        <v>32</v>
      </c>
      <c r="AS107" s="3" t="s">
        <v>33</v>
      </c>
      <c r="AT107" s="372" t="s">
        <v>199</v>
      </c>
      <c r="AU107" s="22">
        <f t="shared" si="130"/>
        <v>0.33333333333333348</v>
      </c>
      <c r="AV107" s="23" t="str">
        <f t="shared" si="131"/>
        <v>Minors</v>
      </c>
      <c r="AW107" s="22">
        <f t="shared" si="132"/>
        <v>2.1666666666666665</v>
      </c>
      <c r="AX107" s="22" t="str">
        <f t="shared" si="133"/>
        <v>Minors</v>
      </c>
      <c r="AY107" s="23">
        <f t="shared" si="134"/>
        <v>2.1666666666666665</v>
      </c>
      <c r="AZ107" s="23" t="str">
        <f t="shared" si="135"/>
        <v>Minors</v>
      </c>
      <c r="BA107" s="64">
        <f t="shared" si="136"/>
        <v>0</v>
      </c>
      <c r="BB107" s="65">
        <f t="shared" si="137"/>
        <v>0</v>
      </c>
      <c r="BC107" s="65">
        <f t="shared" si="138"/>
        <v>0</v>
      </c>
      <c r="BD107" s="65">
        <f t="shared" si="139"/>
        <v>0</v>
      </c>
      <c r="BE107" s="65">
        <f t="shared" si="140"/>
        <v>0</v>
      </c>
      <c r="BF107" s="65">
        <f t="shared" si="141"/>
        <v>0</v>
      </c>
      <c r="BG107" s="65">
        <f t="shared" si="142"/>
        <v>0</v>
      </c>
      <c r="BH107" s="65">
        <f t="shared" si="143"/>
        <v>0</v>
      </c>
      <c r="BI107" s="21">
        <f t="shared" si="144"/>
        <v>0</v>
      </c>
      <c r="BJ107" s="64">
        <f t="shared" si="145"/>
        <v>0</v>
      </c>
      <c r="BK107" s="65">
        <f t="shared" si="146"/>
        <v>0</v>
      </c>
      <c r="BL107" s="65">
        <f t="shared" si="147"/>
        <v>0</v>
      </c>
      <c r="BM107" s="65">
        <f t="shared" si="148"/>
        <v>0</v>
      </c>
      <c r="BN107" s="65">
        <f t="shared" si="149"/>
        <v>0</v>
      </c>
      <c r="BO107" s="65">
        <f t="shared" si="150"/>
        <v>0</v>
      </c>
      <c r="BP107" s="65">
        <f t="shared" si="151"/>
        <v>0</v>
      </c>
      <c r="BQ107" s="65">
        <f t="shared" si="152"/>
        <v>0</v>
      </c>
      <c r="BR107" s="21">
        <f t="shared" si="153"/>
        <v>0</v>
      </c>
      <c r="BS107" s="21">
        <f t="shared" si="154"/>
        <v>0</v>
      </c>
      <c r="BT107" s="24">
        <f t="shared" si="155"/>
        <v>0</v>
      </c>
      <c r="BU107" s="20" t="str">
        <f t="shared" si="156"/>
        <v/>
      </c>
      <c r="BV107" s="306" t="e">
        <f>IF(S107="-","-",VLOOKUP($A107,AMABat!$A$10:$AS$1137,BV$9,FALSE)-S107)</f>
        <v>#N/A</v>
      </c>
      <c r="BW107" s="306" t="e">
        <f>IF(T107="-","-",VLOOKUP($A107,AMABat!$A$10:$AS$1137,BW$9,FALSE)-T107)</f>
        <v>#N/A</v>
      </c>
      <c r="BX107" s="306" t="e">
        <f>IF(U107="-","-",VLOOKUP($A107,AMABat!$A$10:$AS$1137,BX$9,FALSE)-U107)</f>
        <v>#N/A</v>
      </c>
      <c r="BY107" s="306" t="e">
        <f>IF(V107="-","-",VLOOKUP($A107,AMABat!$A$10:$AS$1137,BY$9,FALSE)-V107)</f>
        <v>#N/A</v>
      </c>
      <c r="BZ107" s="306" t="e">
        <f>IF(W107="-","-",VLOOKUP($A107,AMABat!$A$10:$AS$1137,BZ$9,FALSE)-W107)</f>
        <v>#N/A</v>
      </c>
      <c r="CA107" s="306" t="e">
        <f>IF(X107="-","-",VLOOKUP($A107,AMABat!$A$10:$AS$1137,CA$9,FALSE)-X107)</f>
        <v>#N/A</v>
      </c>
      <c r="CB107" s="306" t="e">
        <f>IF(Y107="-","-",VLOOKUP($A107,AMABat!$A$10:$AS$1137,CB$9,FALSE)-Y107)</f>
        <v>#N/A</v>
      </c>
      <c r="CC107" s="306" t="e">
        <f>IF(Z107="-","-",VLOOKUP($A107,AMABat!$A$10:$AS$1137,CC$9,FALSE)-Z107)</f>
        <v>#N/A</v>
      </c>
      <c r="CD107" s="306" t="e">
        <f>IF(AA107="-","-",VLOOKUP($A107,AMABat!$A$10:$AS$1137,CD$9,FALSE)-AA107)</f>
        <v>#N/A</v>
      </c>
      <c r="CE107" s="306" t="e">
        <f>IF(AB107="-","-",VLOOKUP($A107,AMABat!$A$10:$AS$1137,CE$9,FALSE)-AB107)</f>
        <v>#N/A</v>
      </c>
      <c r="CF107" s="306" t="e">
        <f>IF(AC107="-","-",VLOOKUP($A107,AMABat!$A$10:$AS$1137,CF$9,FALSE)-AC107)</f>
        <v>#N/A</v>
      </c>
      <c r="CG107" s="306" t="e">
        <f>IF(AD107="-","-",VLOOKUP($A107,AMABat!$A$10:$AS$1137,CG$9,FALSE)-AD107)</f>
        <v>#N/A</v>
      </c>
      <c r="CH107" s="306" t="e">
        <f>IF(AE107="-","-",VLOOKUP($A107,AMABat!$A$10:$AS$1137,CH$9,FALSE)-AE107)</f>
        <v>#N/A</v>
      </c>
      <c r="CI107" s="306" t="e">
        <f>IF(AG107="-","-",VLOOKUP($A107,AMABat!$A$10:$AS$1137,CI$9,FALSE)-AG107)</f>
        <v>#N/A</v>
      </c>
      <c r="CJ107" s="306" t="str">
        <f>IF(AH107="-","-",VLOOKUP($A107,AMABat!$A$10:$AS$1137,CJ$9,FALSE)-AH107)</f>
        <v>-</v>
      </c>
      <c r="CK107" s="306" t="str">
        <f>IF(AI107="-","-",VLOOKUP($A107,AMABat!$A$10:$AS$1137,CK$9,FALSE)-AI107)</f>
        <v>-</v>
      </c>
      <c r="CL107" s="306" t="str">
        <f>IF(AJ107="-","-",VLOOKUP($A107,AMABat!$A$10:$AS$1137,CL$9,FALSE)-AJ107)</f>
        <v>-</v>
      </c>
      <c r="CM107" s="306" t="str">
        <f>IF(AK107="-","-",VLOOKUP($A107,AMABat!$A$10:$AS$1137,CM$9,FALSE)-AK107)</f>
        <v>-</v>
      </c>
      <c r="CN107" s="306" t="str">
        <f>IF(AL107="-","-",VLOOKUP($A107,AMABat!$A$10:$AS$1137,CN$9,FALSE)-AL107)</f>
        <v>-</v>
      </c>
      <c r="CO107" s="306" t="str">
        <f>IF(AM107="-","-",VLOOKUP($A107,AMABat!$A$10:$AS$1137,CO$9,FALSE)-AM107)</f>
        <v>-</v>
      </c>
      <c r="CP107" s="306" t="str">
        <f>IF(AN107="-","-",VLOOKUP($A107,AMABat!$A$10:$AS$1137,CP$9,FALSE)-AN107)</f>
        <v>-</v>
      </c>
      <c r="CQ107" s="306" t="e">
        <f>IF(AO107="-","-",VLOOKUP($A107,AMABat!$A$10:$AS$1137,CQ$9,FALSE)-AO107)</f>
        <v>#N/A</v>
      </c>
      <c r="CR107" s="306" t="e">
        <f>IF(AP107="-","-",VLOOKUP($A107,AMABat!$A$10:$AS$1137,CR$9,FALSE)-AP107)</f>
        <v>#N/A</v>
      </c>
      <c r="CS107" s="306" t="e">
        <f>IF(AQ107="-","-",VLOOKUP($A107,AMABat!$A$10:$AS$1137,CS$9,FALSE)-AQ107)</f>
        <v>#N/A</v>
      </c>
      <c r="CT107" s="306" t="e">
        <f t="shared" si="157"/>
        <v>#N/A</v>
      </c>
      <c r="CU107" s="306" t="e">
        <f t="shared" si="158"/>
        <v>#N/A</v>
      </c>
      <c r="CV107" s="306" t="e">
        <f t="shared" si="159"/>
        <v>#N/A</v>
      </c>
      <c r="CW107" s="306" t="e">
        <f t="shared" si="160"/>
        <v>#N/A</v>
      </c>
      <c r="CX107" s="306" t="e">
        <f t="shared" si="161"/>
        <v>#N/A</v>
      </c>
    </row>
    <row r="108" spans="1:102" x14ac:dyDescent="0.25">
      <c r="A108" s="306" t="s">
        <v>699</v>
      </c>
      <c r="B108" s="305" t="s">
        <v>534</v>
      </c>
      <c r="C108" s="305"/>
      <c r="D108" s="305" t="s">
        <v>32</v>
      </c>
      <c r="E108" s="305" t="s">
        <v>32</v>
      </c>
      <c r="F108" s="305" t="s">
        <v>81</v>
      </c>
      <c r="G108" t="s">
        <v>76</v>
      </c>
      <c r="H108" t="s">
        <v>935</v>
      </c>
      <c r="I108" s="305" t="s">
        <v>1192</v>
      </c>
      <c r="J108" t="s">
        <v>802</v>
      </c>
      <c r="K108" t="s">
        <v>277</v>
      </c>
      <c r="L108">
        <v>22</v>
      </c>
      <c r="M108" t="s">
        <v>82</v>
      </c>
      <c r="N108" t="s">
        <v>83</v>
      </c>
      <c r="O108" t="s">
        <v>803</v>
      </c>
      <c r="P108" s="3" t="s">
        <v>773</v>
      </c>
      <c r="Q108" t="s">
        <v>200</v>
      </c>
      <c r="R108" s="3" t="s">
        <v>200</v>
      </c>
      <c r="S108">
        <v>2</v>
      </c>
      <c r="T108">
        <v>4</v>
      </c>
      <c r="U108">
        <v>2</v>
      </c>
      <c r="V108">
        <v>3</v>
      </c>
      <c r="W108" s="3">
        <v>1</v>
      </c>
      <c r="X108">
        <v>3</v>
      </c>
      <c r="Y108">
        <v>4</v>
      </c>
      <c r="Z108">
        <v>3</v>
      </c>
      <c r="AA108">
        <v>5</v>
      </c>
      <c r="AB108" s="3">
        <v>3</v>
      </c>
      <c r="AC108">
        <v>7</v>
      </c>
      <c r="AD108">
        <v>7</v>
      </c>
      <c r="AE108">
        <v>1</v>
      </c>
      <c r="AF108" s="305">
        <v>1</v>
      </c>
      <c r="AG108" t="s">
        <v>32</v>
      </c>
      <c r="AH108" t="s">
        <v>32</v>
      </c>
      <c r="AI108">
        <v>4</v>
      </c>
      <c r="AJ108" t="s">
        <v>32</v>
      </c>
      <c r="AK108">
        <v>6</v>
      </c>
      <c r="AL108" t="s">
        <v>32</v>
      </c>
      <c r="AM108" t="s">
        <v>32</v>
      </c>
      <c r="AN108" s="3">
        <v>1</v>
      </c>
      <c r="AO108">
        <v>8</v>
      </c>
      <c r="AP108">
        <v>10</v>
      </c>
      <c r="AQ108" s="3">
        <v>10</v>
      </c>
      <c r="AR108" t="s">
        <v>32</v>
      </c>
      <c r="AS108" s="3" t="s">
        <v>33</v>
      </c>
      <c r="AT108" s="372" t="s">
        <v>529</v>
      </c>
      <c r="AU108" s="22">
        <f t="shared" si="130"/>
        <v>0.33333333333333348</v>
      </c>
      <c r="AV108" s="23" t="str">
        <f t="shared" si="131"/>
        <v>Minors</v>
      </c>
      <c r="AW108" s="22">
        <f t="shared" si="132"/>
        <v>2.1666666666666665</v>
      </c>
      <c r="AX108" s="22" t="str">
        <f t="shared" si="133"/>
        <v>Minors</v>
      </c>
      <c r="AY108" s="23">
        <f t="shared" si="134"/>
        <v>2.1666666666666665</v>
      </c>
      <c r="AZ108" s="23" t="str">
        <f t="shared" si="135"/>
        <v>Minors</v>
      </c>
      <c r="BA108" s="64">
        <f t="shared" si="136"/>
        <v>0</v>
      </c>
      <c r="BB108" s="65">
        <f t="shared" si="137"/>
        <v>0</v>
      </c>
      <c r="BC108" s="65">
        <f t="shared" si="138"/>
        <v>0</v>
      </c>
      <c r="BD108" s="65">
        <f t="shared" si="139"/>
        <v>0</v>
      </c>
      <c r="BE108" s="65">
        <f t="shared" si="140"/>
        <v>0</v>
      </c>
      <c r="BF108" s="65">
        <f t="shared" si="141"/>
        <v>0</v>
      </c>
      <c r="BG108" s="65">
        <f t="shared" si="142"/>
        <v>0</v>
      </c>
      <c r="BH108" s="65">
        <f t="shared" si="143"/>
        <v>0</v>
      </c>
      <c r="BI108" s="21">
        <f t="shared" si="144"/>
        <v>0</v>
      </c>
      <c r="BJ108" s="64">
        <f t="shared" si="145"/>
        <v>0</v>
      </c>
      <c r="BK108" s="65">
        <f t="shared" si="146"/>
        <v>0</v>
      </c>
      <c r="BL108" s="65">
        <f t="shared" si="147"/>
        <v>0</v>
      </c>
      <c r="BM108" s="65">
        <f t="shared" si="148"/>
        <v>0</v>
      </c>
      <c r="BN108" s="65">
        <f t="shared" si="149"/>
        <v>0</v>
      </c>
      <c r="BO108" s="65">
        <f t="shared" si="150"/>
        <v>0</v>
      </c>
      <c r="BP108" s="65">
        <f t="shared" si="151"/>
        <v>0</v>
      </c>
      <c r="BQ108" s="65">
        <f t="shared" si="152"/>
        <v>0</v>
      </c>
      <c r="BR108" s="21">
        <f t="shared" si="153"/>
        <v>0</v>
      </c>
      <c r="BS108" s="21">
        <f t="shared" si="154"/>
        <v>5</v>
      </c>
      <c r="BT108" s="24">
        <f t="shared" si="155"/>
        <v>1</v>
      </c>
      <c r="BU108" s="20" t="str">
        <f t="shared" si="156"/>
        <v/>
      </c>
      <c r="BV108" s="306" t="e">
        <f>IF(S108="-","-",VLOOKUP($A108,AMABat!$A$10:$AS$1137,BV$9,FALSE)-S108)</f>
        <v>#N/A</v>
      </c>
      <c r="BW108" s="306" t="e">
        <f>IF(T108="-","-",VLOOKUP($A108,AMABat!$A$10:$AS$1137,BW$9,FALSE)-T108)</f>
        <v>#N/A</v>
      </c>
      <c r="BX108" s="306" t="e">
        <f>IF(U108="-","-",VLOOKUP($A108,AMABat!$A$10:$AS$1137,BX$9,FALSE)-U108)</f>
        <v>#N/A</v>
      </c>
      <c r="BY108" s="306" t="e">
        <f>IF(V108="-","-",VLOOKUP($A108,AMABat!$A$10:$AS$1137,BY$9,FALSE)-V108)</f>
        <v>#N/A</v>
      </c>
      <c r="BZ108" s="306" t="e">
        <f>IF(W108="-","-",VLOOKUP($A108,AMABat!$A$10:$AS$1137,BZ$9,FALSE)-W108)</f>
        <v>#N/A</v>
      </c>
      <c r="CA108" s="306" t="e">
        <f>IF(X108="-","-",VLOOKUP($A108,AMABat!$A$10:$AS$1137,CA$9,FALSE)-X108)</f>
        <v>#N/A</v>
      </c>
      <c r="CB108" s="306" t="e">
        <f>IF(Y108="-","-",VLOOKUP($A108,AMABat!$A$10:$AS$1137,CB$9,FALSE)-Y108)</f>
        <v>#N/A</v>
      </c>
      <c r="CC108" s="306" t="e">
        <f>IF(Z108="-","-",VLOOKUP($A108,AMABat!$A$10:$AS$1137,CC$9,FALSE)-Z108)</f>
        <v>#N/A</v>
      </c>
      <c r="CD108" s="306" t="e">
        <f>IF(AA108="-","-",VLOOKUP($A108,AMABat!$A$10:$AS$1137,CD$9,FALSE)-AA108)</f>
        <v>#N/A</v>
      </c>
      <c r="CE108" s="306" t="e">
        <f>IF(AB108="-","-",VLOOKUP($A108,AMABat!$A$10:$AS$1137,CE$9,FALSE)-AB108)</f>
        <v>#N/A</v>
      </c>
      <c r="CF108" s="306" t="e">
        <f>IF(AC108="-","-",VLOOKUP($A108,AMABat!$A$10:$AS$1137,CF$9,FALSE)-AC108)</f>
        <v>#N/A</v>
      </c>
      <c r="CG108" s="306" t="e">
        <f>IF(AD108="-","-",VLOOKUP($A108,AMABat!$A$10:$AS$1137,CG$9,FALSE)-AD108)</f>
        <v>#N/A</v>
      </c>
      <c r="CH108" s="306" t="e">
        <f>IF(AE108="-","-",VLOOKUP($A108,AMABat!$A$10:$AS$1137,CH$9,FALSE)-AE108)</f>
        <v>#N/A</v>
      </c>
      <c r="CI108" s="306" t="str">
        <f>IF(AG108="-","-",VLOOKUP($A108,AMABat!$A$10:$AS$1137,CI$9,FALSE)-AG108)</f>
        <v>-</v>
      </c>
      <c r="CJ108" s="306" t="str">
        <f>IF(AH108="-","-",VLOOKUP($A108,AMABat!$A$10:$AS$1137,CJ$9,FALSE)-AH108)</f>
        <v>-</v>
      </c>
      <c r="CK108" s="306" t="e">
        <f>IF(AI108="-","-",VLOOKUP($A108,AMABat!$A$10:$AS$1137,CK$9,FALSE)-AI108)</f>
        <v>#N/A</v>
      </c>
      <c r="CL108" s="306" t="str">
        <f>IF(AJ108="-","-",VLOOKUP($A108,AMABat!$A$10:$AS$1137,CL$9,FALSE)-AJ108)</f>
        <v>-</v>
      </c>
      <c r="CM108" s="306" t="e">
        <f>IF(AK108="-","-",VLOOKUP($A108,AMABat!$A$10:$AS$1137,CM$9,FALSE)-AK108)</f>
        <v>#N/A</v>
      </c>
      <c r="CN108" s="306" t="str">
        <f>IF(AL108="-","-",VLOOKUP($A108,AMABat!$A$10:$AS$1137,CN$9,FALSE)-AL108)</f>
        <v>-</v>
      </c>
      <c r="CO108" s="306" t="str">
        <f>IF(AM108="-","-",VLOOKUP($A108,AMABat!$A$10:$AS$1137,CO$9,FALSE)-AM108)</f>
        <v>-</v>
      </c>
      <c r="CP108" s="306" t="e">
        <f>IF(AN108="-","-",VLOOKUP($A108,AMABat!$A$10:$AS$1137,CP$9,FALSE)-AN108)</f>
        <v>#N/A</v>
      </c>
      <c r="CQ108" s="306" t="e">
        <f>IF(AO108="-","-",VLOOKUP($A108,AMABat!$A$10:$AS$1137,CQ$9,FALSE)-AO108)</f>
        <v>#N/A</v>
      </c>
      <c r="CR108" s="306" t="e">
        <f>IF(AP108="-","-",VLOOKUP($A108,AMABat!$A$10:$AS$1137,CR$9,FALSE)-AP108)</f>
        <v>#N/A</v>
      </c>
      <c r="CS108" s="306" t="e">
        <f>IF(AQ108="-","-",VLOOKUP($A108,AMABat!$A$10:$AS$1137,CS$9,FALSE)-AQ108)</f>
        <v>#N/A</v>
      </c>
      <c r="CT108" s="306" t="e">
        <f t="shared" si="157"/>
        <v>#N/A</v>
      </c>
      <c r="CU108" s="306" t="e">
        <f t="shared" si="158"/>
        <v>#N/A</v>
      </c>
      <c r="CV108" s="306" t="e">
        <f t="shared" si="159"/>
        <v>#N/A</v>
      </c>
      <c r="CW108" s="306" t="e">
        <f t="shared" si="160"/>
        <v>#N/A</v>
      </c>
      <c r="CX108" s="306" t="e">
        <f t="shared" si="161"/>
        <v>#N/A</v>
      </c>
    </row>
    <row r="109" spans="1:102" x14ac:dyDescent="0.25">
      <c r="A109" s="306" t="s">
        <v>700</v>
      </c>
      <c r="B109" s="305" t="s">
        <v>534</v>
      </c>
      <c r="C109" s="305"/>
      <c r="D109" s="305" t="s">
        <v>32</v>
      </c>
      <c r="E109" s="305" t="s">
        <v>32</v>
      </c>
      <c r="F109" s="305" t="s">
        <v>81</v>
      </c>
      <c r="G109" t="s">
        <v>71</v>
      </c>
      <c r="H109" t="s">
        <v>1188</v>
      </c>
      <c r="I109" s="305" t="s">
        <v>1189</v>
      </c>
      <c r="J109" t="s">
        <v>802</v>
      </c>
      <c r="K109" t="s">
        <v>277</v>
      </c>
      <c r="L109">
        <v>23</v>
      </c>
      <c r="M109" t="s">
        <v>83</v>
      </c>
      <c r="N109" t="s">
        <v>83</v>
      </c>
      <c r="O109" t="s">
        <v>816</v>
      </c>
      <c r="P109" s="3" t="s">
        <v>803</v>
      </c>
      <c r="Q109" t="s">
        <v>201</v>
      </c>
      <c r="R109" s="3" t="s">
        <v>200</v>
      </c>
      <c r="S109">
        <v>2</v>
      </c>
      <c r="T109">
        <v>3</v>
      </c>
      <c r="U109">
        <v>2</v>
      </c>
      <c r="V109">
        <v>3</v>
      </c>
      <c r="W109" s="3">
        <v>2</v>
      </c>
      <c r="X109">
        <v>2</v>
      </c>
      <c r="Y109">
        <v>3</v>
      </c>
      <c r="Z109">
        <v>2</v>
      </c>
      <c r="AA109">
        <v>4</v>
      </c>
      <c r="AB109" s="3">
        <v>2</v>
      </c>
      <c r="AC109">
        <v>6</v>
      </c>
      <c r="AD109">
        <v>7</v>
      </c>
      <c r="AE109">
        <v>8</v>
      </c>
      <c r="AF109" s="305">
        <v>7</v>
      </c>
      <c r="AG109">
        <v>7</v>
      </c>
      <c r="AH109" t="s">
        <v>32</v>
      </c>
      <c r="AI109" t="s">
        <v>32</v>
      </c>
      <c r="AJ109" t="s">
        <v>32</v>
      </c>
      <c r="AK109" t="s">
        <v>32</v>
      </c>
      <c r="AL109" t="s">
        <v>32</v>
      </c>
      <c r="AM109" t="s">
        <v>32</v>
      </c>
      <c r="AN109" s="3" t="s">
        <v>32</v>
      </c>
      <c r="AO109">
        <v>1</v>
      </c>
      <c r="AP109">
        <v>1</v>
      </c>
      <c r="AQ109" s="3">
        <v>1</v>
      </c>
      <c r="AR109" t="s">
        <v>32</v>
      </c>
      <c r="AS109" s="3" t="s">
        <v>33</v>
      </c>
      <c r="AT109" s="372" t="s">
        <v>779</v>
      </c>
      <c r="AU109" s="22">
        <f t="shared" si="130"/>
        <v>0.33333333333333348</v>
      </c>
      <c r="AV109" s="23" t="str">
        <f t="shared" si="131"/>
        <v>Minors</v>
      </c>
      <c r="AW109" s="22">
        <f t="shared" si="132"/>
        <v>0.66666666666666652</v>
      </c>
      <c r="AX109" s="22" t="str">
        <f t="shared" si="133"/>
        <v>Minors</v>
      </c>
      <c r="AY109" s="23">
        <f t="shared" si="134"/>
        <v>0.66666666666666652</v>
      </c>
      <c r="AZ109" s="23" t="str">
        <f t="shared" si="135"/>
        <v>Minors</v>
      </c>
      <c r="BA109" s="64">
        <f t="shared" si="136"/>
        <v>0</v>
      </c>
      <c r="BB109" s="65">
        <f t="shared" si="137"/>
        <v>0</v>
      </c>
      <c r="BC109" s="65">
        <f t="shared" si="138"/>
        <v>0</v>
      </c>
      <c r="BD109" s="65">
        <f t="shared" si="139"/>
        <v>0</v>
      </c>
      <c r="BE109" s="65">
        <f t="shared" si="140"/>
        <v>0</v>
      </c>
      <c r="BF109" s="65">
        <f t="shared" si="141"/>
        <v>0</v>
      </c>
      <c r="BG109" s="65">
        <f t="shared" si="142"/>
        <v>0</v>
      </c>
      <c r="BH109" s="65">
        <f t="shared" si="143"/>
        <v>0</v>
      </c>
      <c r="BI109" s="21">
        <f t="shared" si="144"/>
        <v>0</v>
      </c>
      <c r="BJ109" s="64">
        <f t="shared" si="145"/>
        <v>0</v>
      </c>
      <c r="BK109" s="65">
        <f t="shared" si="146"/>
        <v>0</v>
      </c>
      <c r="BL109" s="65">
        <f t="shared" si="147"/>
        <v>0</v>
      </c>
      <c r="BM109" s="65">
        <f t="shared" si="148"/>
        <v>0</v>
      </c>
      <c r="BN109" s="65">
        <f t="shared" si="149"/>
        <v>0</v>
      </c>
      <c r="BO109" s="65">
        <f t="shared" si="150"/>
        <v>0</v>
      </c>
      <c r="BP109" s="65">
        <f t="shared" si="151"/>
        <v>0</v>
      </c>
      <c r="BQ109" s="65">
        <f t="shared" si="152"/>
        <v>0</v>
      </c>
      <c r="BR109" s="21">
        <f t="shared" si="153"/>
        <v>0</v>
      </c>
      <c r="BS109" s="21">
        <f t="shared" si="154"/>
        <v>0</v>
      </c>
      <c r="BT109" s="24">
        <f t="shared" si="155"/>
        <v>2</v>
      </c>
      <c r="BU109" s="20" t="str">
        <f t="shared" si="156"/>
        <v/>
      </c>
      <c r="BV109" s="306" t="e">
        <f>IF(S109="-","-",VLOOKUP($A109,AMABat!$A$10:$AS$1137,BV$9,FALSE)-S109)</f>
        <v>#N/A</v>
      </c>
      <c r="BW109" s="306" t="e">
        <f>IF(T109="-","-",VLOOKUP($A109,AMABat!$A$10:$AS$1137,BW$9,FALSE)-T109)</f>
        <v>#N/A</v>
      </c>
      <c r="BX109" s="306" t="e">
        <f>IF(U109="-","-",VLOOKUP($A109,AMABat!$A$10:$AS$1137,BX$9,FALSE)-U109)</f>
        <v>#N/A</v>
      </c>
      <c r="BY109" s="306" t="e">
        <f>IF(V109="-","-",VLOOKUP($A109,AMABat!$A$10:$AS$1137,BY$9,FALSE)-V109)</f>
        <v>#N/A</v>
      </c>
      <c r="BZ109" s="306" t="e">
        <f>IF(W109="-","-",VLOOKUP($A109,AMABat!$A$10:$AS$1137,BZ$9,FALSE)-W109)</f>
        <v>#N/A</v>
      </c>
      <c r="CA109" s="306" t="e">
        <f>IF(X109="-","-",VLOOKUP($A109,AMABat!$A$10:$AS$1137,CA$9,FALSE)-X109)</f>
        <v>#N/A</v>
      </c>
      <c r="CB109" s="306" t="e">
        <f>IF(Y109="-","-",VLOOKUP($A109,AMABat!$A$10:$AS$1137,CB$9,FALSE)-Y109)</f>
        <v>#N/A</v>
      </c>
      <c r="CC109" s="306" t="e">
        <f>IF(Z109="-","-",VLOOKUP($A109,AMABat!$A$10:$AS$1137,CC$9,FALSE)-Z109)</f>
        <v>#N/A</v>
      </c>
      <c r="CD109" s="306" t="e">
        <f>IF(AA109="-","-",VLOOKUP($A109,AMABat!$A$10:$AS$1137,CD$9,FALSE)-AA109)</f>
        <v>#N/A</v>
      </c>
      <c r="CE109" s="306" t="e">
        <f>IF(AB109="-","-",VLOOKUP($A109,AMABat!$A$10:$AS$1137,CE$9,FALSE)-AB109)</f>
        <v>#N/A</v>
      </c>
      <c r="CF109" s="306" t="e">
        <f>IF(AC109="-","-",VLOOKUP($A109,AMABat!$A$10:$AS$1137,CF$9,FALSE)-AC109)</f>
        <v>#N/A</v>
      </c>
      <c r="CG109" s="306" t="e">
        <f>IF(AD109="-","-",VLOOKUP($A109,AMABat!$A$10:$AS$1137,CG$9,FALSE)-AD109)</f>
        <v>#N/A</v>
      </c>
      <c r="CH109" s="306" t="e">
        <f>IF(AE109="-","-",VLOOKUP($A109,AMABat!$A$10:$AS$1137,CH$9,FALSE)-AE109)</f>
        <v>#N/A</v>
      </c>
      <c r="CI109" s="306" t="e">
        <f>IF(AG109="-","-",VLOOKUP($A109,AMABat!$A$10:$AS$1137,CI$9,FALSE)-AG109)</f>
        <v>#N/A</v>
      </c>
      <c r="CJ109" s="306" t="str">
        <f>IF(AH109="-","-",VLOOKUP($A109,AMABat!$A$10:$AS$1137,CJ$9,FALSE)-AH109)</f>
        <v>-</v>
      </c>
      <c r="CK109" s="306" t="str">
        <f>IF(AI109="-","-",VLOOKUP($A109,AMABat!$A$10:$AS$1137,CK$9,FALSE)-AI109)</f>
        <v>-</v>
      </c>
      <c r="CL109" s="306" t="str">
        <f>IF(AJ109="-","-",VLOOKUP($A109,AMABat!$A$10:$AS$1137,CL$9,FALSE)-AJ109)</f>
        <v>-</v>
      </c>
      <c r="CM109" s="306" t="str">
        <f>IF(AK109="-","-",VLOOKUP($A109,AMABat!$A$10:$AS$1137,CM$9,FALSE)-AK109)</f>
        <v>-</v>
      </c>
      <c r="CN109" s="306" t="str">
        <f>IF(AL109="-","-",VLOOKUP($A109,AMABat!$A$10:$AS$1137,CN$9,FALSE)-AL109)</f>
        <v>-</v>
      </c>
      <c r="CO109" s="306" t="str">
        <f>IF(AM109="-","-",VLOOKUP($A109,AMABat!$A$10:$AS$1137,CO$9,FALSE)-AM109)</f>
        <v>-</v>
      </c>
      <c r="CP109" s="306" t="str">
        <f>IF(AN109="-","-",VLOOKUP($A109,AMABat!$A$10:$AS$1137,CP$9,FALSE)-AN109)</f>
        <v>-</v>
      </c>
      <c r="CQ109" s="306" t="e">
        <f>IF(AO109="-","-",VLOOKUP($A109,AMABat!$A$10:$AS$1137,CQ$9,FALSE)-AO109)</f>
        <v>#N/A</v>
      </c>
      <c r="CR109" s="306" t="e">
        <f>IF(AP109="-","-",VLOOKUP($A109,AMABat!$A$10:$AS$1137,CR$9,FALSE)-AP109)</f>
        <v>#N/A</v>
      </c>
      <c r="CS109" s="306" t="e">
        <f>IF(AQ109="-","-",VLOOKUP($A109,AMABat!$A$10:$AS$1137,CS$9,FALSE)-AQ109)</f>
        <v>#N/A</v>
      </c>
      <c r="CT109" s="306" t="e">
        <f t="shared" si="157"/>
        <v>#N/A</v>
      </c>
      <c r="CU109" s="306" t="e">
        <f t="shared" si="158"/>
        <v>#N/A</v>
      </c>
      <c r="CV109" s="306" t="e">
        <f t="shared" si="159"/>
        <v>#N/A</v>
      </c>
      <c r="CW109" s="306" t="e">
        <f t="shared" si="160"/>
        <v>#N/A</v>
      </c>
      <c r="CX109" s="306" t="e">
        <f t="shared" si="161"/>
        <v>#N/A</v>
      </c>
    </row>
    <row r="110" spans="1:102" x14ac:dyDescent="0.25">
      <c r="A110" s="306" t="s">
        <v>701</v>
      </c>
      <c r="B110" s="305" t="s">
        <v>534</v>
      </c>
      <c r="C110" s="305"/>
      <c r="D110" s="305" t="s">
        <v>32</v>
      </c>
      <c r="E110" s="305" t="s">
        <v>32</v>
      </c>
      <c r="F110" s="305" t="s">
        <v>81</v>
      </c>
      <c r="G110" t="s">
        <v>73</v>
      </c>
      <c r="H110" t="s">
        <v>874</v>
      </c>
      <c r="I110" s="305" t="s">
        <v>420</v>
      </c>
      <c r="J110" t="s">
        <v>763</v>
      </c>
      <c r="K110" t="s">
        <v>16</v>
      </c>
      <c r="L110">
        <v>18</v>
      </c>
      <c r="M110" t="s">
        <v>83</v>
      </c>
      <c r="N110" t="s">
        <v>83</v>
      </c>
      <c r="O110" t="s">
        <v>816</v>
      </c>
      <c r="P110" s="3" t="s">
        <v>773</v>
      </c>
      <c r="Q110" t="s">
        <v>200</v>
      </c>
      <c r="R110" s="3" t="s">
        <v>200</v>
      </c>
      <c r="S110">
        <v>2</v>
      </c>
      <c r="T110">
        <v>3</v>
      </c>
      <c r="U110">
        <v>2</v>
      </c>
      <c r="V110">
        <v>2</v>
      </c>
      <c r="W110" s="3">
        <v>3</v>
      </c>
      <c r="X110">
        <v>4</v>
      </c>
      <c r="Y110">
        <v>4</v>
      </c>
      <c r="Z110">
        <v>5</v>
      </c>
      <c r="AA110">
        <v>4</v>
      </c>
      <c r="AB110" s="3">
        <v>6</v>
      </c>
      <c r="AC110">
        <v>3</v>
      </c>
      <c r="AD110">
        <v>1</v>
      </c>
      <c r="AE110">
        <v>1</v>
      </c>
      <c r="AF110" s="305">
        <v>1</v>
      </c>
      <c r="AG110" t="s">
        <v>32</v>
      </c>
      <c r="AH110">
        <v>3</v>
      </c>
      <c r="AI110" t="s">
        <v>32</v>
      </c>
      <c r="AJ110" t="s">
        <v>32</v>
      </c>
      <c r="AK110" t="s">
        <v>32</v>
      </c>
      <c r="AL110" t="s">
        <v>32</v>
      </c>
      <c r="AM110" t="s">
        <v>32</v>
      </c>
      <c r="AN110" s="3" t="s">
        <v>32</v>
      </c>
      <c r="AO110">
        <v>2</v>
      </c>
      <c r="AP110">
        <v>1</v>
      </c>
      <c r="AQ110" s="3">
        <v>3</v>
      </c>
      <c r="AR110" t="s">
        <v>32</v>
      </c>
      <c r="AS110" s="3" t="s">
        <v>33</v>
      </c>
      <c r="AT110" s="372" t="s">
        <v>199</v>
      </c>
      <c r="AU110" s="22">
        <f t="shared" si="130"/>
        <v>0</v>
      </c>
      <c r="AV110" s="23" t="str">
        <f t="shared" si="131"/>
        <v>Minors</v>
      </c>
      <c r="AW110" s="22">
        <f t="shared" si="132"/>
        <v>3.333333333333333</v>
      </c>
      <c r="AX110" s="22" t="str">
        <f t="shared" si="133"/>
        <v>Minors</v>
      </c>
      <c r="AY110" s="23">
        <f t="shared" si="134"/>
        <v>3.333333333333333</v>
      </c>
      <c r="AZ110" s="23" t="str">
        <f t="shared" si="135"/>
        <v>Minors</v>
      </c>
      <c r="BA110" s="64">
        <f t="shared" si="136"/>
        <v>0</v>
      </c>
      <c r="BB110" s="65">
        <f t="shared" si="137"/>
        <v>0</v>
      </c>
      <c r="BC110" s="65">
        <f t="shared" si="138"/>
        <v>0</v>
      </c>
      <c r="BD110" s="65">
        <f t="shared" si="139"/>
        <v>0</v>
      </c>
      <c r="BE110" s="65">
        <f t="shared" si="140"/>
        <v>0</v>
      </c>
      <c r="BF110" s="65">
        <f t="shared" si="141"/>
        <v>0</v>
      </c>
      <c r="BG110" s="65">
        <f t="shared" si="142"/>
        <v>0</v>
      </c>
      <c r="BH110" s="65">
        <f t="shared" si="143"/>
        <v>0</v>
      </c>
      <c r="BI110" s="21">
        <f t="shared" si="144"/>
        <v>0</v>
      </c>
      <c r="BJ110" s="64">
        <f t="shared" si="145"/>
        <v>0</v>
      </c>
      <c r="BK110" s="65">
        <f t="shared" si="146"/>
        <v>0</v>
      </c>
      <c r="BL110" s="65">
        <f t="shared" si="147"/>
        <v>0</v>
      </c>
      <c r="BM110" s="65">
        <f t="shared" si="148"/>
        <v>0</v>
      </c>
      <c r="BN110" s="65">
        <f t="shared" si="149"/>
        <v>0</v>
      </c>
      <c r="BO110" s="65">
        <f t="shared" si="150"/>
        <v>0</v>
      </c>
      <c r="BP110" s="65">
        <f t="shared" si="151"/>
        <v>0</v>
      </c>
      <c r="BQ110" s="65">
        <f t="shared" si="152"/>
        <v>0</v>
      </c>
      <c r="BR110" s="21">
        <f t="shared" si="153"/>
        <v>0</v>
      </c>
      <c r="BS110" s="21">
        <f t="shared" si="154"/>
        <v>0</v>
      </c>
      <c r="BT110" s="24">
        <f t="shared" si="155"/>
        <v>0</v>
      </c>
      <c r="BU110" s="20" t="str">
        <f t="shared" si="156"/>
        <v/>
      </c>
      <c r="BV110" s="306" t="e">
        <f>IF(S110="-","-",VLOOKUP($A110,AMABat!$A$10:$AS$1137,BV$9,FALSE)-S110)</f>
        <v>#N/A</v>
      </c>
      <c r="BW110" s="306" t="e">
        <f>IF(T110="-","-",VLOOKUP($A110,AMABat!$A$10:$AS$1137,BW$9,FALSE)-T110)</f>
        <v>#N/A</v>
      </c>
      <c r="BX110" s="306" t="e">
        <f>IF(U110="-","-",VLOOKUP($A110,AMABat!$A$10:$AS$1137,BX$9,FALSE)-U110)</f>
        <v>#N/A</v>
      </c>
      <c r="BY110" s="306" t="e">
        <f>IF(V110="-","-",VLOOKUP($A110,AMABat!$A$10:$AS$1137,BY$9,FALSE)-V110)</f>
        <v>#N/A</v>
      </c>
      <c r="BZ110" s="306" t="e">
        <f>IF(W110="-","-",VLOOKUP($A110,AMABat!$A$10:$AS$1137,BZ$9,FALSE)-W110)</f>
        <v>#N/A</v>
      </c>
      <c r="CA110" s="306" t="e">
        <f>IF(X110="-","-",VLOOKUP($A110,AMABat!$A$10:$AS$1137,CA$9,FALSE)-X110)</f>
        <v>#N/A</v>
      </c>
      <c r="CB110" s="306" t="e">
        <f>IF(Y110="-","-",VLOOKUP($A110,AMABat!$A$10:$AS$1137,CB$9,FALSE)-Y110)</f>
        <v>#N/A</v>
      </c>
      <c r="CC110" s="306" t="e">
        <f>IF(Z110="-","-",VLOOKUP($A110,AMABat!$A$10:$AS$1137,CC$9,FALSE)-Z110)</f>
        <v>#N/A</v>
      </c>
      <c r="CD110" s="306" t="e">
        <f>IF(AA110="-","-",VLOOKUP($A110,AMABat!$A$10:$AS$1137,CD$9,FALSE)-AA110)</f>
        <v>#N/A</v>
      </c>
      <c r="CE110" s="306" t="e">
        <f>IF(AB110="-","-",VLOOKUP($A110,AMABat!$A$10:$AS$1137,CE$9,FALSE)-AB110)</f>
        <v>#N/A</v>
      </c>
      <c r="CF110" s="306" t="e">
        <f>IF(AC110="-","-",VLOOKUP($A110,AMABat!$A$10:$AS$1137,CF$9,FALSE)-AC110)</f>
        <v>#N/A</v>
      </c>
      <c r="CG110" s="306" t="e">
        <f>IF(AD110="-","-",VLOOKUP($A110,AMABat!$A$10:$AS$1137,CG$9,FALSE)-AD110)</f>
        <v>#N/A</v>
      </c>
      <c r="CH110" s="306" t="e">
        <f>IF(AE110="-","-",VLOOKUP($A110,AMABat!$A$10:$AS$1137,CH$9,FALSE)-AE110)</f>
        <v>#N/A</v>
      </c>
      <c r="CI110" s="306" t="str">
        <f>IF(AG110="-","-",VLOOKUP($A110,AMABat!$A$10:$AS$1137,CI$9,FALSE)-AG110)</f>
        <v>-</v>
      </c>
      <c r="CJ110" s="306" t="e">
        <f>IF(AH110="-","-",VLOOKUP($A110,AMABat!$A$10:$AS$1137,CJ$9,FALSE)-AH110)</f>
        <v>#N/A</v>
      </c>
      <c r="CK110" s="306" t="str">
        <f>IF(AI110="-","-",VLOOKUP($A110,AMABat!$A$10:$AS$1137,CK$9,FALSE)-AI110)</f>
        <v>-</v>
      </c>
      <c r="CL110" s="306" t="str">
        <f>IF(AJ110="-","-",VLOOKUP($A110,AMABat!$A$10:$AS$1137,CL$9,FALSE)-AJ110)</f>
        <v>-</v>
      </c>
      <c r="CM110" s="306" t="str">
        <f>IF(AK110="-","-",VLOOKUP($A110,AMABat!$A$10:$AS$1137,CM$9,FALSE)-AK110)</f>
        <v>-</v>
      </c>
      <c r="CN110" s="306" t="str">
        <f>IF(AL110="-","-",VLOOKUP($A110,AMABat!$A$10:$AS$1137,CN$9,FALSE)-AL110)</f>
        <v>-</v>
      </c>
      <c r="CO110" s="306" t="str">
        <f>IF(AM110="-","-",VLOOKUP($A110,AMABat!$A$10:$AS$1137,CO$9,FALSE)-AM110)</f>
        <v>-</v>
      </c>
      <c r="CP110" s="306" t="str">
        <f>IF(AN110="-","-",VLOOKUP($A110,AMABat!$A$10:$AS$1137,CP$9,FALSE)-AN110)</f>
        <v>-</v>
      </c>
      <c r="CQ110" s="306" t="e">
        <f>IF(AO110="-","-",VLOOKUP($A110,AMABat!$A$10:$AS$1137,CQ$9,FALSE)-AO110)</f>
        <v>#N/A</v>
      </c>
      <c r="CR110" s="306" t="e">
        <f>IF(AP110="-","-",VLOOKUP($A110,AMABat!$A$10:$AS$1137,CR$9,FALSE)-AP110)</f>
        <v>#N/A</v>
      </c>
      <c r="CS110" s="306" t="e">
        <f>IF(AQ110="-","-",VLOOKUP($A110,AMABat!$A$10:$AS$1137,CS$9,FALSE)-AQ110)</f>
        <v>#N/A</v>
      </c>
      <c r="CT110" s="306" t="e">
        <f t="shared" si="157"/>
        <v>#N/A</v>
      </c>
      <c r="CU110" s="306" t="e">
        <f t="shared" si="158"/>
        <v>#N/A</v>
      </c>
      <c r="CV110" s="306" t="e">
        <f t="shared" si="159"/>
        <v>#N/A</v>
      </c>
      <c r="CW110" s="306" t="e">
        <f t="shared" si="160"/>
        <v>#N/A</v>
      </c>
      <c r="CX110" s="306" t="e">
        <f t="shared" si="161"/>
        <v>#N/A</v>
      </c>
    </row>
    <row r="111" spans="1:102" x14ac:dyDescent="0.25">
      <c r="A111" s="306" t="s">
        <v>702</v>
      </c>
      <c r="B111" s="305" t="s">
        <v>534</v>
      </c>
      <c r="C111" s="305"/>
      <c r="D111" s="305" t="s">
        <v>32</v>
      </c>
      <c r="E111" s="305" t="s">
        <v>32</v>
      </c>
      <c r="F111" s="305" t="s">
        <v>81</v>
      </c>
      <c r="G111" t="s">
        <v>78</v>
      </c>
      <c r="H111" t="s">
        <v>400</v>
      </c>
      <c r="I111" s="305" t="s">
        <v>879</v>
      </c>
      <c r="J111" t="s">
        <v>810</v>
      </c>
      <c r="K111" t="s">
        <v>83</v>
      </c>
      <c r="L111">
        <v>19</v>
      </c>
      <c r="M111" t="s">
        <v>83</v>
      </c>
      <c r="N111" t="s">
        <v>83</v>
      </c>
      <c r="O111" t="s">
        <v>816</v>
      </c>
      <c r="P111" s="3" t="s">
        <v>808</v>
      </c>
      <c r="Q111" t="s">
        <v>200</v>
      </c>
      <c r="R111" s="3" t="s">
        <v>200</v>
      </c>
      <c r="S111">
        <v>2</v>
      </c>
      <c r="T111">
        <v>4</v>
      </c>
      <c r="U111">
        <v>2</v>
      </c>
      <c r="V111">
        <v>2</v>
      </c>
      <c r="W111" s="3">
        <v>2</v>
      </c>
      <c r="X111">
        <v>4</v>
      </c>
      <c r="Y111">
        <v>4</v>
      </c>
      <c r="Z111">
        <v>3</v>
      </c>
      <c r="AA111">
        <v>3</v>
      </c>
      <c r="AB111" s="3">
        <v>5</v>
      </c>
      <c r="AC111">
        <v>3</v>
      </c>
      <c r="AD111">
        <v>6</v>
      </c>
      <c r="AE111">
        <v>1</v>
      </c>
      <c r="AF111" s="305">
        <v>1</v>
      </c>
      <c r="AG111" t="s">
        <v>32</v>
      </c>
      <c r="AH111" t="s">
        <v>32</v>
      </c>
      <c r="AI111" t="s">
        <v>32</v>
      </c>
      <c r="AJ111" t="s">
        <v>32</v>
      </c>
      <c r="AK111" t="s">
        <v>32</v>
      </c>
      <c r="AL111">
        <v>3</v>
      </c>
      <c r="AM111">
        <v>3</v>
      </c>
      <c r="AN111" s="3">
        <v>3</v>
      </c>
      <c r="AO111">
        <v>4</v>
      </c>
      <c r="AP111">
        <v>6</v>
      </c>
      <c r="AQ111" s="3">
        <v>4</v>
      </c>
      <c r="AR111" t="s">
        <v>32</v>
      </c>
      <c r="AS111" s="3">
        <v>0</v>
      </c>
      <c r="AT111" s="372" t="s">
        <v>199</v>
      </c>
      <c r="AU111" s="22">
        <f t="shared" si="130"/>
        <v>0</v>
      </c>
      <c r="AV111" s="23" t="str">
        <f t="shared" si="131"/>
        <v>Minors</v>
      </c>
      <c r="AW111" s="22">
        <f t="shared" si="132"/>
        <v>2.3333333333333335</v>
      </c>
      <c r="AX111" s="22" t="str">
        <f t="shared" si="133"/>
        <v>Minors</v>
      </c>
      <c r="AY111" s="23">
        <f t="shared" si="134"/>
        <v>2.3333333333333335</v>
      </c>
      <c r="AZ111" s="23" t="str">
        <f t="shared" si="135"/>
        <v>Minors</v>
      </c>
      <c r="BA111" s="64">
        <f t="shared" si="136"/>
        <v>0</v>
      </c>
      <c r="BB111" s="65">
        <f t="shared" si="137"/>
        <v>0</v>
      </c>
      <c r="BC111" s="65">
        <f t="shared" si="138"/>
        <v>0</v>
      </c>
      <c r="BD111" s="65">
        <f t="shared" si="139"/>
        <v>0</v>
      </c>
      <c r="BE111" s="65">
        <f t="shared" si="140"/>
        <v>0</v>
      </c>
      <c r="BF111" s="65">
        <f t="shared" si="141"/>
        <v>0</v>
      </c>
      <c r="BG111" s="65">
        <f t="shared" si="142"/>
        <v>0</v>
      </c>
      <c r="BH111" s="65">
        <f t="shared" si="143"/>
        <v>0</v>
      </c>
      <c r="BI111" s="21">
        <f t="shared" si="144"/>
        <v>0</v>
      </c>
      <c r="BJ111" s="64">
        <f t="shared" si="145"/>
        <v>0</v>
      </c>
      <c r="BK111" s="65">
        <f t="shared" si="146"/>
        <v>0</v>
      </c>
      <c r="BL111" s="65">
        <f t="shared" si="147"/>
        <v>0</v>
      </c>
      <c r="BM111" s="65">
        <f t="shared" si="148"/>
        <v>0</v>
      </c>
      <c r="BN111" s="65">
        <f t="shared" si="149"/>
        <v>0</v>
      </c>
      <c r="BO111" s="65">
        <f t="shared" si="150"/>
        <v>0</v>
      </c>
      <c r="BP111" s="65">
        <f t="shared" si="151"/>
        <v>0</v>
      </c>
      <c r="BQ111" s="65">
        <f t="shared" si="152"/>
        <v>0</v>
      </c>
      <c r="BR111" s="21">
        <f t="shared" si="153"/>
        <v>0</v>
      </c>
      <c r="BS111" s="21">
        <f t="shared" si="154"/>
        <v>0</v>
      </c>
      <c r="BT111" s="24">
        <f t="shared" si="155"/>
        <v>0</v>
      </c>
      <c r="BU111" s="20" t="str">
        <f t="shared" si="156"/>
        <v/>
      </c>
      <c r="BV111" s="306" t="e">
        <f>IF(S111="-","-",VLOOKUP($A111,AMABat!$A$10:$AS$1137,BV$9,FALSE)-S111)</f>
        <v>#N/A</v>
      </c>
      <c r="BW111" s="306" t="e">
        <f>IF(T111="-","-",VLOOKUP($A111,AMABat!$A$10:$AS$1137,BW$9,FALSE)-T111)</f>
        <v>#N/A</v>
      </c>
      <c r="BX111" s="306" t="e">
        <f>IF(U111="-","-",VLOOKUP($A111,AMABat!$A$10:$AS$1137,BX$9,FALSE)-U111)</f>
        <v>#N/A</v>
      </c>
      <c r="BY111" s="306" t="e">
        <f>IF(V111="-","-",VLOOKUP($A111,AMABat!$A$10:$AS$1137,BY$9,FALSE)-V111)</f>
        <v>#N/A</v>
      </c>
      <c r="BZ111" s="306" t="e">
        <f>IF(W111="-","-",VLOOKUP($A111,AMABat!$A$10:$AS$1137,BZ$9,FALSE)-W111)</f>
        <v>#N/A</v>
      </c>
      <c r="CA111" s="306" t="e">
        <f>IF(X111="-","-",VLOOKUP($A111,AMABat!$A$10:$AS$1137,CA$9,FALSE)-X111)</f>
        <v>#N/A</v>
      </c>
      <c r="CB111" s="306" t="e">
        <f>IF(Y111="-","-",VLOOKUP($A111,AMABat!$A$10:$AS$1137,CB$9,FALSE)-Y111)</f>
        <v>#N/A</v>
      </c>
      <c r="CC111" s="306" t="e">
        <f>IF(Z111="-","-",VLOOKUP($A111,AMABat!$A$10:$AS$1137,CC$9,FALSE)-Z111)</f>
        <v>#N/A</v>
      </c>
      <c r="CD111" s="306" t="e">
        <f>IF(AA111="-","-",VLOOKUP($A111,AMABat!$A$10:$AS$1137,CD$9,FALSE)-AA111)</f>
        <v>#N/A</v>
      </c>
      <c r="CE111" s="306" t="e">
        <f>IF(AB111="-","-",VLOOKUP($A111,AMABat!$A$10:$AS$1137,CE$9,FALSE)-AB111)</f>
        <v>#N/A</v>
      </c>
      <c r="CF111" s="306" t="e">
        <f>IF(AC111="-","-",VLOOKUP($A111,AMABat!$A$10:$AS$1137,CF$9,FALSE)-AC111)</f>
        <v>#N/A</v>
      </c>
      <c r="CG111" s="306" t="e">
        <f>IF(AD111="-","-",VLOOKUP($A111,AMABat!$A$10:$AS$1137,CG$9,FALSE)-AD111)</f>
        <v>#N/A</v>
      </c>
      <c r="CH111" s="306" t="e">
        <f>IF(AE111="-","-",VLOOKUP($A111,AMABat!$A$10:$AS$1137,CH$9,FALSE)-AE111)</f>
        <v>#N/A</v>
      </c>
      <c r="CI111" s="306" t="str">
        <f>IF(AG111="-","-",VLOOKUP($A111,AMABat!$A$10:$AS$1137,CI$9,FALSE)-AG111)</f>
        <v>-</v>
      </c>
      <c r="CJ111" s="306" t="str">
        <f>IF(AH111="-","-",VLOOKUP($A111,AMABat!$A$10:$AS$1137,CJ$9,FALSE)-AH111)</f>
        <v>-</v>
      </c>
      <c r="CK111" s="306" t="str">
        <f>IF(AI111="-","-",VLOOKUP($A111,AMABat!$A$10:$AS$1137,CK$9,FALSE)-AI111)</f>
        <v>-</v>
      </c>
      <c r="CL111" s="306" t="str">
        <f>IF(AJ111="-","-",VLOOKUP($A111,AMABat!$A$10:$AS$1137,CL$9,FALSE)-AJ111)</f>
        <v>-</v>
      </c>
      <c r="CM111" s="306" t="str">
        <f>IF(AK111="-","-",VLOOKUP($A111,AMABat!$A$10:$AS$1137,CM$9,FALSE)-AK111)</f>
        <v>-</v>
      </c>
      <c r="CN111" s="306" t="e">
        <f>IF(AL111="-","-",VLOOKUP($A111,AMABat!$A$10:$AS$1137,CN$9,FALSE)-AL111)</f>
        <v>#N/A</v>
      </c>
      <c r="CO111" s="306" t="e">
        <f>IF(AM111="-","-",VLOOKUP($A111,AMABat!$A$10:$AS$1137,CO$9,FALSE)-AM111)</f>
        <v>#N/A</v>
      </c>
      <c r="CP111" s="306" t="e">
        <f>IF(AN111="-","-",VLOOKUP($A111,AMABat!$A$10:$AS$1137,CP$9,FALSE)-AN111)</f>
        <v>#N/A</v>
      </c>
      <c r="CQ111" s="306" t="e">
        <f>IF(AO111="-","-",VLOOKUP($A111,AMABat!$A$10:$AS$1137,CQ$9,FALSE)-AO111)</f>
        <v>#N/A</v>
      </c>
      <c r="CR111" s="306" t="e">
        <f>IF(AP111="-","-",VLOOKUP($A111,AMABat!$A$10:$AS$1137,CR$9,FALSE)-AP111)</f>
        <v>#N/A</v>
      </c>
      <c r="CS111" s="306" t="e">
        <f>IF(AQ111="-","-",VLOOKUP($A111,AMABat!$A$10:$AS$1137,CS$9,FALSE)-AQ111)</f>
        <v>#N/A</v>
      </c>
      <c r="CT111" s="306" t="e">
        <f t="shared" si="157"/>
        <v>#N/A</v>
      </c>
      <c r="CU111" s="306" t="e">
        <f t="shared" si="158"/>
        <v>#N/A</v>
      </c>
      <c r="CV111" s="306" t="e">
        <f t="shared" si="159"/>
        <v>#N/A</v>
      </c>
      <c r="CW111" s="306" t="e">
        <f t="shared" si="160"/>
        <v>#N/A</v>
      </c>
      <c r="CX111" s="306" t="e">
        <f t="shared" si="161"/>
        <v>#N/A</v>
      </c>
    </row>
    <row r="112" spans="1:102" x14ac:dyDescent="0.25">
      <c r="A112" s="306" t="s">
        <v>703</v>
      </c>
      <c r="B112" s="305" t="s">
        <v>534</v>
      </c>
      <c r="C112" s="305"/>
      <c r="D112" s="305" t="s">
        <v>32</v>
      </c>
      <c r="E112" s="305" t="s">
        <v>32</v>
      </c>
      <c r="F112" s="305" t="s">
        <v>81</v>
      </c>
      <c r="G112" t="s">
        <v>77</v>
      </c>
      <c r="H112" t="s">
        <v>902</v>
      </c>
      <c r="I112" s="305" t="s">
        <v>903</v>
      </c>
      <c r="J112" t="s">
        <v>810</v>
      </c>
      <c r="K112" t="s">
        <v>83</v>
      </c>
      <c r="L112">
        <v>18</v>
      </c>
      <c r="M112" t="s">
        <v>82</v>
      </c>
      <c r="N112" t="s">
        <v>82</v>
      </c>
      <c r="O112" t="s">
        <v>816</v>
      </c>
      <c r="P112" s="3" t="s">
        <v>808</v>
      </c>
      <c r="Q112" t="s">
        <v>199</v>
      </c>
      <c r="R112" s="3" t="s">
        <v>200</v>
      </c>
      <c r="S112">
        <v>2</v>
      </c>
      <c r="T112">
        <v>1</v>
      </c>
      <c r="U112">
        <v>2</v>
      </c>
      <c r="V112">
        <v>2</v>
      </c>
      <c r="W112" s="3">
        <v>1</v>
      </c>
      <c r="X112">
        <v>4</v>
      </c>
      <c r="Y112">
        <v>3</v>
      </c>
      <c r="Z112">
        <v>2</v>
      </c>
      <c r="AA112">
        <v>4</v>
      </c>
      <c r="AB112" s="3">
        <v>3</v>
      </c>
      <c r="AC112">
        <v>5</v>
      </c>
      <c r="AD112">
        <v>7</v>
      </c>
      <c r="AE112">
        <v>1</v>
      </c>
      <c r="AF112" s="305">
        <v>1</v>
      </c>
      <c r="AG112" t="s">
        <v>32</v>
      </c>
      <c r="AH112">
        <v>3</v>
      </c>
      <c r="AI112" t="s">
        <v>32</v>
      </c>
      <c r="AJ112" t="s">
        <v>32</v>
      </c>
      <c r="AK112" t="s">
        <v>32</v>
      </c>
      <c r="AL112">
        <v>4</v>
      </c>
      <c r="AM112" t="s">
        <v>32</v>
      </c>
      <c r="AN112" s="3" t="s">
        <v>32</v>
      </c>
      <c r="AO112">
        <v>10</v>
      </c>
      <c r="AP112">
        <v>6</v>
      </c>
      <c r="AQ112" s="3">
        <v>6</v>
      </c>
      <c r="AR112" t="s">
        <v>32</v>
      </c>
      <c r="AS112" s="3" t="s">
        <v>33</v>
      </c>
      <c r="AT112" s="372" t="s">
        <v>529</v>
      </c>
      <c r="AU112" s="22">
        <f t="shared" si="130"/>
        <v>0</v>
      </c>
      <c r="AV112" s="23" t="str">
        <f t="shared" si="131"/>
        <v>Minors</v>
      </c>
      <c r="AW112" s="22">
        <f t="shared" si="132"/>
        <v>2.3333333333333335</v>
      </c>
      <c r="AX112" s="22" t="str">
        <f t="shared" si="133"/>
        <v>Minors</v>
      </c>
      <c r="AY112" s="23">
        <f t="shared" si="134"/>
        <v>2.3333333333333335</v>
      </c>
      <c r="AZ112" s="23" t="str">
        <f t="shared" si="135"/>
        <v>Minors</v>
      </c>
      <c r="BA112" s="64">
        <f t="shared" si="136"/>
        <v>0</v>
      </c>
      <c r="BB112" s="65">
        <f t="shared" si="137"/>
        <v>0</v>
      </c>
      <c r="BC112" s="65">
        <f t="shared" si="138"/>
        <v>0</v>
      </c>
      <c r="BD112" s="65">
        <f t="shared" si="139"/>
        <v>0</v>
      </c>
      <c r="BE112" s="65">
        <f t="shared" si="140"/>
        <v>0</v>
      </c>
      <c r="BF112" s="65">
        <f t="shared" si="141"/>
        <v>0</v>
      </c>
      <c r="BG112" s="65">
        <f t="shared" si="142"/>
        <v>0</v>
      </c>
      <c r="BH112" s="65">
        <f t="shared" si="143"/>
        <v>0</v>
      </c>
      <c r="BI112" s="21">
        <f t="shared" si="144"/>
        <v>0</v>
      </c>
      <c r="BJ112" s="64">
        <f t="shared" si="145"/>
        <v>0</v>
      </c>
      <c r="BK112" s="65">
        <f t="shared" si="146"/>
        <v>0</v>
      </c>
      <c r="BL112" s="65">
        <f t="shared" si="147"/>
        <v>0</v>
      </c>
      <c r="BM112" s="65">
        <f t="shared" si="148"/>
        <v>0</v>
      </c>
      <c r="BN112" s="65">
        <f t="shared" si="149"/>
        <v>0</v>
      </c>
      <c r="BO112" s="65">
        <f t="shared" si="150"/>
        <v>0</v>
      </c>
      <c r="BP112" s="65">
        <f t="shared" si="151"/>
        <v>0</v>
      </c>
      <c r="BQ112" s="65">
        <f t="shared" si="152"/>
        <v>0</v>
      </c>
      <c r="BR112" s="21">
        <f t="shared" si="153"/>
        <v>0</v>
      </c>
      <c r="BS112" s="21">
        <f t="shared" si="154"/>
        <v>2</v>
      </c>
      <c r="BT112" s="24">
        <f t="shared" si="155"/>
        <v>0</v>
      </c>
      <c r="BU112" s="20" t="str">
        <f t="shared" si="156"/>
        <v/>
      </c>
      <c r="BV112" s="306" t="e">
        <f>IF(S112="-","-",VLOOKUP($A112,AMABat!$A$10:$AS$1137,BV$9,FALSE)-S112)</f>
        <v>#N/A</v>
      </c>
      <c r="BW112" s="306" t="e">
        <f>IF(T112="-","-",VLOOKUP($A112,AMABat!$A$10:$AS$1137,BW$9,FALSE)-T112)</f>
        <v>#N/A</v>
      </c>
      <c r="BX112" s="306" t="e">
        <f>IF(U112="-","-",VLOOKUP($A112,AMABat!$A$10:$AS$1137,BX$9,FALSE)-U112)</f>
        <v>#N/A</v>
      </c>
      <c r="BY112" s="306" t="e">
        <f>IF(V112="-","-",VLOOKUP($A112,AMABat!$A$10:$AS$1137,BY$9,FALSE)-V112)</f>
        <v>#N/A</v>
      </c>
      <c r="BZ112" s="306" t="e">
        <f>IF(W112="-","-",VLOOKUP($A112,AMABat!$A$10:$AS$1137,BZ$9,FALSE)-W112)</f>
        <v>#N/A</v>
      </c>
      <c r="CA112" s="306" t="e">
        <f>IF(X112="-","-",VLOOKUP($A112,AMABat!$A$10:$AS$1137,CA$9,FALSE)-X112)</f>
        <v>#N/A</v>
      </c>
      <c r="CB112" s="306" t="e">
        <f>IF(Y112="-","-",VLOOKUP($A112,AMABat!$A$10:$AS$1137,CB$9,FALSE)-Y112)</f>
        <v>#N/A</v>
      </c>
      <c r="CC112" s="306" t="e">
        <f>IF(Z112="-","-",VLOOKUP($A112,AMABat!$A$10:$AS$1137,CC$9,FALSE)-Z112)</f>
        <v>#N/A</v>
      </c>
      <c r="CD112" s="306" t="e">
        <f>IF(AA112="-","-",VLOOKUP($A112,AMABat!$A$10:$AS$1137,CD$9,FALSE)-AA112)</f>
        <v>#N/A</v>
      </c>
      <c r="CE112" s="306" t="e">
        <f>IF(AB112="-","-",VLOOKUP($A112,AMABat!$A$10:$AS$1137,CE$9,FALSE)-AB112)</f>
        <v>#N/A</v>
      </c>
      <c r="CF112" s="306" t="e">
        <f>IF(AC112="-","-",VLOOKUP($A112,AMABat!$A$10:$AS$1137,CF$9,FALSE)-AC112)</f>
        <v>#N/A</v>
      </c>
      <c r="CG112" s="306" t="e">
        <f>IF(AD112="-","-",VLOOKUP($A112,AMABat!$A$10:$AS$1137,CG$9,FALSE)-AD112)</f>
        <v>#N/A</v>
      </c>
      <c r="CH112" s="306" t="e">
        <f>IF(AE112="-","-",VLOOKUP($A112,AMABat!$A$10:$AS$1137,CH$9,FALSE)-AE112)</f>
        <v>#N/A</v>
      </c>
      <c r="CI112" s="306" t="str">
        <f>IF(AG112="-","-",VLOOKUP($A112,AMABat!$A$10:$AS$1137,CI$9,FALSE)-AG112)</f>
        <v>-</v>
      </c>
      <c r="CJ112" s="306" t="e">
        <f>IF(AH112="-","-",VLOOKUP($A112,AMABat!$A$10:$AS$1137,CJ$9,FALSE)-AH112)</f>
        <v>#N/A</v>
      </c>
      <c r="CK112" s="306" t="str">
        <f>IF(AI112="-","-",VLOOKUP($A112,AMABat!$A$10:$AS$1137,CK$9,FALSE)-AI112)</f>
        <v>-</v>
      </c>
      <c r="CL112" s="306" t="str">
        <f>IF(AJ112="-","-",VLOOKUP($A112,AMABat!$A$10:$AS$1137,CL$9,FALSE)-AJ112)</f>
        <v>-</v>
      </c>
      <c r="CM112" s="306" t="str">
        <f>IF(AK112="-","-",VLOOKUP($A112,AMABat!$A$10:$AS$1137,CM$9,FALSE)-AK112)</f>
        <v>-</v>
      </c>
      <c r="CN112" s="306" t="e">
        <f>IF(AL112="-","-",VLOOKUP($A112,AMABat!$A$10:$AS$1137,CN$9,FALSE)-AL112)</f>
        <v>#N/A</v>
      </c>
      <c r="CO112" s="306" t="str">
        <f>IF(AM112="-","-",VLOOKUP($A112,AMABat!$A$10:$AS$1137,CO$9,FALSE)-AM112)</f>
        <v>-</v>
      </c>
      <c r="CP112" s="306" t="str">
        <f>IF(AN112="-","-",VLOOKUP($A112,AMABat!$A$10:$AS$1137,CP$9,FALSE)-AN112)</f>
        <v>-</v>
      </c>
      <c r="CQ112" s="306" t="e">
        <f>IF(AO112="-","-",VLOOKUP($A112,AMABat!$A$10:$AS$1137,CQ$9,FALSE)-AO112)</f>
        <v>#N/A</v>
      </c>
      <c r="CR112" s="306" t="e">
        <f>IF(AP112="-","-",VLOOKUP($A112,AMABat!$A$10:$AS$1137,CR$9,FALSE)-AP112)</f>
        <v>#N/A</v>
      </c>
      <c r="CS112" s="306" t="e">
        <f>IF(AQ112="-","-",VLOOKUP($A112,AMABat!$A$10:$AS$1137,CS$9,FALSE)-AQ112)</f>
        <v>#N/A</v>
      </c>
      <c r="CT112" s="306" t="e">
        <f t="shared" si="157"/>
        <v>#N/A</v>
      </c>
      <c r="CU112" s="306" t="e">
        <f t="shared" si="158"/>
        <v>#N/A</v>
      </c>
      <c r="CV112" s="306" t="e">
        <f t="shared" si="159"/>
        <v>#N/A</v>
      </c>
      <c r="CW112" s="306" t="e">
        <f t="shared" si="160"/>
        <v>#N/A</v>
      </c>
      <c r="CX112" s="306" t="e">
        <f t="shared" si="161"/>
        <v>#N/A</v>
      </c>
    </row>
    <row r="113" spans="1:102" x14ac:dyDescent="0.25">
      <c r="A113" s="306" t="s">
        <v>704</v>
      </c>
      <c r="B113" s="305" t="s">
        <v>534</v>
      </c>
      <c r="C113" s="305"/>
      <c r="D113" s="305" t="s">
        <v>32</v>
      </c>
      <c r="E113" s="305" t="s">
        <v>32</v>
      </c>
      <c r="F113" s="305" t="s">
        <v>81</v>
      </c>
      <c r="G113" t="s">
        <v>79</v>
      </c>
      <c r="H113" t="s">
        <v>869</v>
      </c>
      <c r="I113" s="305" t="s">
        <v>870</v>
      </c>
      <c r="J113" t="s">
        <v>763</v>
      </c>
      <c r="K113" t="s">
        <v>16</v>
      </c>
      <c r="L113">
        <v>18</v>
      </c>
      <c r="M113" t="s">
        <v>82</v>
      </c>
      <c r="N113" t="s">
        <v>82</v>
      </c>
      <c r="O113" t="s">
        <v>816</v>
      </c>
      <c r="P113" s="3" t="s">
        <v>816</v>
      </c>
      <c r="Q113" t="s">
        <v>201</v>
      </c>
      <c r="R113" s="3" t="s">
        <v>200</v>
      </c>
      <c r="S113">
        <v>2</v>
      </c>
      <c r="T113">
        <v>2</v>
      </c>
      <c r="U113">
        <v>3</v>
      </c>
      <c r="V113">
        <v>1</v>
      </c>
      <c r="W113" s="3">
        <v>1</v>
      </c>
      <c r="X113">
        <v>2</v>
      </c>
      <c r="Y113">
        <v>3</v>
      </c>
      <c r="Z113">
        <v>4</v>
      </c>
      <c r="AA113">
        <v>2</v>
      </c>
      <c r="AB113" s="3">
        <v>2</v>
      </c>
      <c r="AC113">
        <v>5</v>
      </c>
      <c r="AD113">
        <v>8</v>
      </c>
      <c r="AE113">
        <v>1</v>
      </c>
      <c r="AF113" s="305">
        <v>1</v>
      </c>
      <c r="AG113" t="s">
        <v>32</v>
      </c>
      <c r="AH113">
        <v>2</v>
      </c>
      <c r="AI113" t="s">
        <v>32</v>
      </c>
      <c r="AJ113" t="s">
        <v>32</v>
      </c>
      <c r="AK113" t="s">
        <v>32</v>
      </c>
      <c r="AL113">
        <v>2</v>
      </c>
      <c r="AM113" t="s">
        <v>32</v>
      </c>
      <c r="AN113" s="3">
        <v>3</v>
      </c>
      <c r="AO113">
        <v>9</v>
      </c>
      <c r="AP113">
        <v>3</v>
      </c>
      <c r="AQ113" s="3">
        <v>4</v>
      </c>
      <c r="AR113" t="s">
        <v>32</v>
      </c>
      <c r="AS113" s="3">
        <v>0</v>
      </c>
      <c r="AT113" s="372" t="s">
        <v>529</v>
      </c>
      <c r="AU113" s="22">
        <f t="shared" si="130"/>
        <v>0</v>
      </c>
      <c r="AV113" s="23" t="str">
        <f t="shared" si="131"/>
        <v>Minors</v>
      </c>
      <c r="AW113" s="22">
        <f t="shared" si="132"/>
        <v>0.66666666666666652</v>
      </c>
      <c r="AX113" s="22" t="str">
        <f t="shared" si="133"/>
        <v>Minors</v>
      </c>
      <c r="AY113" s="23">
        <f t="shared" si="134"/>
        <v>0.66666666666666652</v>
      </c>
      <c r="AZ113" s="23" t="str">
        <f t="shared" si="135"/>
        <v>Minors</v>
      </c>
      <c r="BA113" s="64">
        <f t="shared" si="136"/>
        <v>0</v>
      </c>
      <c r="BB113" s="65">
        <f t="shared" si="137"/>
        <v>0</v>
      </c>
      <c r="BC113" s="65">
        <f t="shared" si="138"/>
        <v>0</v>
      </c>
      <c r="BD113" s="65">
        <f t="shared" si="139"/>
        <v>0</v>
      </c>
      <c r="BE113" s="65">
        <f t="shared" si="140"/>
        <v>0</v>
      </c>
      <c r="BF113" s="65">
        <f t="shared" si="141"/>
        <v>0</v>
      </c>
      <c r="BG113" s="65">
        <f t="shared" si="142"/>
        <v>0</v>
      </c>
      <c r="BH113" s="65">
        <f t="shared" si="143"/>
        <v>0</v>
      </c>
      <c r="BI113" s="21">
        <f t="shared" si="144"/>
        <v>0</v>
      </c>
      <c r="BJ113" s="64">
        <f t="shared" si="145"/>
        <v>0</v>
      </c>
      <c r="BK113" s="65">
        <f t="shared" si="146"/>
        <v>0</v>
      </c>
      <c r="BL113" s="65">
        <f t="shared" si="147"/>
        <v>0</v>
      </c>
      <c r="BM113" s="65">
        <f t="shared" si="148"/>
        <v>0</v>
      </c>
      <c r="BN113" s="65">
        <f t="shared" si="149"/>
        <v>0</v>
      </c>
      <c r="BO113" s="65">
        <f t="shared" si="150"/>
        <v>0</v>
      </c>
      <c r="BP113" s="65">
        <f t="shared" si="151"/>
        <v>0</v>
      </c>
      <c r="BQ113" s="65">
        <f t="shared" si="152"/>
        <v>0</v>
      </c>
      <c r="BR113" s="21">
        <f t="shared" si="153"/>
        <v>0</v>
      </c>
      <c r="BS113" s="21">
        <f t="shared" si="154"/>
        <v>1</v>
      </c>
      <c r="BT113" s="24">
        <f t="shared" si="155"/>
        <v>0</v>
      </c>
      <c r="BU113" s="20" t="str">
        <f t="shared" si="156"/>
        <v/>
      </c>
      <c r="BV113" s="306" t="e">
        <f>IF(S113="-","-",VLOOKUP($A113,AMABat!$A$10:$AS$1137,BV$9,FALSE)-S113)</f>
        <v>#N/A</v>
      </c>
      <c r="BW113" s="306" t="e">
        <f>IF(T113="-","-",VLOOKUP($A113,AMABat!$A$10:$AS$1137,BW$9,FALSE)-T113)</f>
        <v>#N/A</v>
      </c>
      <c r="BX113" s="306" t="e">
        <f>IF(U113="-","-",VLOOKUP($A113,AMABat!$A$10:$AS$1137,BX$9,FALSE)-U113)</f>
        <v>#N/A</v>
      </c>
      <c r="BY113" s="306" t="e">
        <f>IF(V113="-","-",VLOOKUP($A113,AMABat!$A$10:$AS$1137,BY$9,FALSE)-V113)</f>
        <v>#N/A</v>
      </c>
      <c r="BZ113" s="306" t="e">
        <f>IF(W113="-","-",VLOOKUP($A113,AMABat!$A$10:$AS$1137,BZ$9,FALSE)-W113)</f>
        <v>#N/A</v>
      </c>
      <c r="CA113" s="306" t="e">
        <f>IF(X113="-","-",VLOOKUP($A113,AMABat!$A$10:$AS$1137,CA$9,FALSE)-X113)</f>
        <v>#N/A</v>
      </c>
      <c r="CB113" s="306" t="e">
        <f>IF(Y113="-","-",VLOOKUP($A113,AMABat!$A$10:$AS$1137,CB$9,FALSE)-Y113)</f>
        <v>#N/A</v>
      </c>
      <c r="CC113" s="306" t="e">
        <f>IF(Z113="-","-",VLOOKUP($A113,AMABat!$A$10:$AS$1137,CC$9,FALSE)-Z113)</f>
        <v>#N/A</v>
      </c>
      <c r="CD113" s="306" t="e">
        <f>IF(AA113="-","-",VLOOKUP($A113,AMABat!$A$10:$AS$1137,CD$9,FALSE)-AA113)</f>
        <v>#N/A</v>
      </c>
      <c r="CE113" s="306" t="e">
        <f>IF(AB113="-","-",VLOOKUP($A113,AMABat!$A$10:$AS$1137,CE$9,FALSE)-AB113)</f>
        <v>#N/A</v>
      </c>
      <c r="CF113" s="306" t="e">
        <f>IF(AC113="-","-",VLOOKUP($A113,AMABat!$A$10:$AS$1137,CF$9,FALSE)-AC113)</f>
        <v>#N/A</v>
      </c>
      <c r="CG113" s="306" t="e">
        <f>IF(AD113="-","-",VLOOKUP($A113,AMABat!$A$10:$AS$1137,CG$9,FALSE)-AD113)</f>
        <v>#N/A</v>
      </c>
      <c r="CH113" s="306" t="e">
        <f>IF(AE113="-","-",VLOOKUP($A113,AMABat!$A$10:$AS$1137,CH$9,FALSE)-AE113)</f>
        <v>#N/A</v>
      </c>
      <c r="CI113" s="306" t="str">
        <f>IF(AG113="-","-",VLOOKUP($A113,AMABat!$A$10:$AS$1137,CI$9,FALSE)-AG113)</f>
        <v>-</v>
      </c>
      <c r="CJ113" s="306" t="e">
        <f>IF(AH113="-","-",VLOOKUP($A113,AMABat!$A$10:$AS$1137,CJ$9,FALSE)-AH113)</f>
        <v>#N/A</v>
      </c>
      <c r="CK113" s="306" t="str">
        <f>IF(AI113="-","-",VLOOKUP($A113,AMABat!$A$10:$AS$1137,CK$9,FALSE)-AI113)</f>
        <v>-</v>
      </c>
      <c r="CL113" s="306" t="str">
        <f>IF(AJ113="-","-",VLOOKUP($A113,AMABat!$A$10:$AS$1137,CL$9,FALSE)-AJ113)</f>
        <v>-</v>
      </c>
      <c r="CM113" s="306" t="str">
        <f>IF(AK113="-","-",VLOOKUP($A113,AMABat!$A$10:$AS$1137,CM$9,FALSE)-AK113)</f>
        <v>-</v>
      </c>
      <c r="CN113" s="306" t="e">
        <f>IF(AL113="-","-",VLOOKUP($A113,AMABat!$A$10:$AS$1137,CN$9,FALSE)-AL113)</f>
        <v>#N/A</v>
      </c>
      <c r="CO113" s="306" t="str">
        <f>IF(AM113="-","-",VLOOKUP($A113,AMABat!$A$10:$AS$1137,CO$9,FALSE)-AM113)</f>
        <v>-</v>
      </c>
      <c r="CP113" s="306" t="e">
        <f>IF(AN113="-","-",VLOOKUP($A113,AMABat!$A$10:$AS$1137,CP$9,FALSE)-AN113)</f>
        <v>#N/A</v>
      </c>
      <c r="CQ113" s="306" t="e">
        <f>IF(AO113="-","-",VLOOKUP($A113,AMABat!$A$10:$AS$1137,CQ$9,FALSE)-AO113)</f>
        <v>#N/A</v>
      </c>
      <c r="CR113" s="306" t="e">
        <f>IF(AP113="-","-",VLOOKUP($A113,AMABat!$A$10:$AS$1137,CR$9,FALSE)-AP113)</f>
        <v>#N/A</v>
      </c>
      <c r="CS113" s="306" t="e">
        <f>IF(AQ113="-","-",VLOOKUP($A113,AMABat!$A$10:$AS$1137,CS$9,FALSE)-AQ113)</f>
        <v>#N/A</v>
      </c>
      <c r="CT113" s="306" t="e">
        <f t="shared" si="157"/>
        <v>#N/A</v>
      </c>
      <c r="CU113" s="306" t="e">
        <f t="shared" si="158"/>
        <v>#N/A</v>
      </c>
      <c r="CV113" s="306" t="e">
        <f t="shared" si="159"/>
        <v>#N/A</v>
      </c>
      <c r="CW113" s="306" t="e">
        <f t="shared" si="160"/>
        <v>#N/A</v>
      </c>
      <c r="CX113" s="306" t="e">
        <f t="shared" si="161"/>
        <v>#N/A</v>
      </c>
    </row>
    <row r="114" spans="1:102" x14ac:dyDescent="0.25">
      <c r="A114" s="306" t="s">
        <v>705</v>
      </c>
      <c r="B114" s="305" t="s">
        <v>534</v>
      </c>
      <c r="C114" s="305"/>
      <c r="D114" s="305" t="s">
        <v>32</v>
      </c>
      <c r="E114" s="305" t="s">
        <v>32</v>
      </c>
      <c r="F114" s="305" t="s">
        <v>81</v>
      </c>
      <c r="G114" t="s">
        <v>71</v>
      </c>
      <c r="H114" t="s">
        <v>497</v>
      </c>
      <c r="I114" s="305" t="s">
        <v>871</v>
      </c>
      <c r="J114" t="s">
        <v>802</v>
      </c>
      <c r="K114" t="s">
        <v>277</v>
      </c>
      <c r="L114">
        <v>22</v>
      </c>
      <c r="M114" t="s">
        <v>82</v>
      </c>
      <c r="N114" t="s">
        <v>83</v>
      </c>
      <c r="O114" t="s">
        <v>816</v>
      </c>
      <c r="P114" s="3" t="s">
        <v>816</v>
      </c>
      <c r="Q114" t="s">
        <v>200</v>
      </c>
      <c r="R114" s="3" t="s">
        <v>199</v>
      </c>
      <c r="S114">
        <v>2</v>
      </c>
      <c r="T114">
        <v>3</v>
      </c>
      <c r="U114">
        <v>2</v>
      </c>
      <c r="V114">
        <v>2</v>
      </c>
      <c r="W114" s="3">
        <v>5</v>
      </c>
      <c r="X114">
        <v>2</v>
      </c>
      <c r="Y114">
        <v>3</v>
      </c>
      <c r="Z114">
        <v>2</v>
      </c>
      <c r="AA114">
        <v>2</v>
      </c>
      <c r="AB114" s="3">
        <v>5</v>
      </c>
      <c r="AC114">
        <v>1</v>
      </c>
      <c r="AD114">
        <v>1</v>
      </c>
      <c r="AE114">
        <v>4</v>
      </c>
      <c r="AF114" s="305">
        <v>7</v>
      </c>
      <c r="AG114">
        <v>4</v>
      </c>
      <c r="AH114">
        <v>1</v>
      </c>
      <c r="AI114" t="s">
        <v>32</v>
      </c>
      <c r="AJ114" t="s">
        <v>32</v>
      </c>
      <c r="AK114" t="s">
        <v>32</v>
      </c>
      <c r="AL114" t="s">
        <v>32</v>
      </c>
      <c r="AM114" t="s">
        <v>32</v>
      </c>
      <c r="AN114" s="3" t="s">
        <v>32</v>
      </c>
      <c r="AO114">
        <v>1</v>
      </c>
      <c r="AP114">
        <v>3</v>
      </c>
      <c r="AQ114" s="3">
        <v>1</v>
      </c>
      <c r="AR114" t="s">
        <v>32</v>
      </c>
      <c r="AS114" s="3">
        <v>0</v>
      </c>
      <c r="AT114" s="372" t="s">
        <v>199</v>
      </c>
      <c r="AU114" s="22">
        <f t="shared" si="130"/>
        <v>0</v>
      </c>
      <c r="AV114" s="23" t="str">
        <f t="shared" si="131"/>
        <v>Minors</v>
      </c>
      <c r="AW114" s="22">
        <f t="shared" si="132"/>
        <v>0</v>
      </c>
      <c r="AX114" s="22" t="str">
        <f t="shared" si="133"/>
        <v>Minors</v>
      </c>
      <c r="AY114" s="23">
        <f t="shared" si="134"/>
        <v>0</v>
      </c>
      <c r="AZ114" s="23" t="str">
        <f t="shared" si="135"/>
        <v>Minors</v>
      </c>
      <c r="BA114" s="64">
        <f t="shared" si="136"/>
        <v>0</v>
      </c>
      <c r="BB114" s="65">
        <f t="shared" si="137"/>
        <v>0</v>
      </c>
      <c r="BC114" s="65">
        <f t="shared" si="138"/>
        <v>0</v>
      </c>
      <c r="BD114" s="65">
        <f t="shared" si="139"/>
        <v>0</v>
      </c>
      <c r="BE114" s="65">
        <f t="shared" si="140"/>
        <v>0</v>
      </c>
      <c r="BF114" s="65">
        <f t="shared" si="141"/>
        <v>0</v>
      </c>
      <c r="BG114" s="65">
        <f t="shared" si="142"/>
        <v>0</v>
      </c>
      <c r="BH114" s="65">
        <f t="shared" si="143"/>
        <v>0</v>
      </c>
      <c r="BI114" s="21">
        <f t="shared" si="144"/>
        <v>0</v>
      </c>
      <c r="BJ114" s="64">
        <f t="shared" si="145"/>
        <v>0</v>
      </c>
      <c r="BK114" s="65">
        <f t="shared" si="146"/>
        <v>0</v>
      </c>
      <c r="BL114" s="65">
        <f t="shared" si="147"/>
        <v>0</v>
      </c>
      <c r="BM114" s="65">
        <f t="shared" si="148"/>
        <v>0</v>
      </c>
      <c r="BN114" s="65">
        <f t="shared" si="149"/>
        <v>0</v>
      </c>
      <c r="BO114" s="65">
        <f t="shared" si="150"/>
        <v>0</v>
      </c>
      <c r="BP114" s="65">
        <f t="shared" si="151"/>
        <v>0</v>
      </c>
      <c r="BQ114" s="65">
        <f t="shared" si="152"/>
        <v>0</v>
      </c>
      <c r="BR114" s="21">
        <f t="shared" si="153"/>
        <v>0</v>
      </c>
      <c r="BS114" s="21">
        <f t="shared" si="154"/>
        <v>0</v>
      </c>
      <c r="BT114" s="24">
        <f t="shared" si="155"/>
        <v>0</v>
      </c>
      <c r="BU114" s="20" t="str">
        <f t="shared" si="156"/>
        <v/>
      </c>
      <c r="BV114" s="306" t="e">
        <f>IF(S114="-","-",VLOOKUP($A114,AMABat!$A$10:$AS$1137,BV$9,FALSE)-S114)</f>
        <v>#N/A</v>
      </c>
      <c r="BW114" s="306" t="e">
        <f>IF(T114="-","-",VLOOKUP($A114,AMABat!$A$10:$AS$1137,BW$9,FALSE)-T114)</f>
        <v>#N/A</v>
      </c>
      <c r="BX114" s="306" t="e">
        <f>IF(U114="-","-",VLOOKUP($A114,AMABat!$A$10:$AS$1137,BX$9,FALSE)-U114)</f>
        <v>#N/A</v>
      </c>
      <c r="BY114" s="306" t="e">
        <f>IF(V114="-","-",VLOOKUP($A114,AMABat!$A$10:$AS$1137,BY$9,FALSE)-V114)</f>
        <v>#N/A</v>
      </c>
      <c r="BZ114" s="306" t="e">
        <f>IF(W114="-","-",VLOOKUP($A114,AMABat!$A$10:$AS$1137,BZ$9,FALSE)-W114)</f>
        <v>#N/A</v>
      </c>
      <c r="CA114" s="306" t="e">
        <f>IF(X114="-","-",VLOOKUP($A114,AMABat!$A$10:$AS$1137,CA$9,FALSE)-X114)</f>
        <v>#N/A</v>
      </c>
      <c r="CB114" s="306" t="e">
        <f>IF(Y114="-","-",VLOOKUP($A114,AMABat!$A$10:$AS$1137,CB$9,FALSE)-Y114)</f>
        <v>#N/A</v>
      </c>
      <c r="CC114" s="306" t="e">
        <f>IF(Z114="-","-",VLOOKUP($A114,AMABat!$A$10:$AS$1137,CC$9,FALSE)-Z114)</f>
        <v>#N/A</v>
      </c>
      <c r="CD114" s="306" t="e">
        <f>IF(AA114="-","-",VLOOKUP($A114,AMABat!$A$10:$AS$1137,CD$9,FALSE)-AA114)</f>
        <v>#N/A</v>
      </c>
      <c r="CE114" s="306" t="e">
        <f>IF(AB114="-","-",VLOOKUP($A114,AMABat!$A$10:$AS$1137,CE$9,FALSE)-AB114)</f>
        <v>#N/A</v>
      </c>
      <c r="CF114" s="306" t="e">
        <f>IF(AC114="-","-",VLOOKUP($A114,AMABat!$A$10:$AS$1137,CF$9,FALSE)-AC114)</f>
        <v>#N/A</v>
      </c>
      <c r="CG114" s="306" t="e">
        <f>IF(AD114="-","-",VLOOKUP($A114,AMABat!$A$10:$AS$1137,CG$9,FALSE)-AD114)</f>
        <v>#N/A</v>
      </c>
      <c r="CH114" s="306" t="e">
        <f>IF(AE114="-","-",VLOOKUP($A114,AMABat!$A$10:$AS$1137,CH$9,FALSE)-AE114)</f>
        <v>#N/A</v>
      </c>
      <c r="CI114" s="306" t="e">
        <f>IF(AG114="-","-",VLOOKUP($A114,AMABat!$A$10:$AS$1137,CI$9,FALSE)-AG114)</f>
        <v>#N/A</v>
      </c>
      <c r="CJ114" s="306" t="e">
        <f>IF(AH114="-","-",VLOOKUP($A114,AMABat!$A$10:$AS$1137,CJ$9,FALSE)-AH114)</f>
        <v>#N/A</v>
      </c>
      <c r="CK114" s="306" t="str">
        <f>IF(AI114="-","-",VLOOKUP($A114,AMABat!$A$10:$AS$1137,CK$9,FALSE)-AI114)</f>
        <v>-</v>
      </c>
      <c r="CL114" s="306" t="str">
        <f>IF(AJ114="-","-",VLOOKUP($A114,AMABat!$A$10:$AS$1137,CL$9,FALSE)-AJ114)</f>
        <v>-</v>
      </c>
      <c r="CM114" s="306" t="str">
        <f>IF(AK114="-","-",VLOOKUP($A114,AMABat!$A$10:$AS$1137,CM$9,FALSE)-AK114)</f>
        <v>-</v>
      </c>
      <c r="CN114" s="306" t="str">
        <f>IF(AL114="-","-",VLOOKUP($A114,AMABat!$A$10:$AS$1137,CN$9,FALSE)-AL114)</f>
        <v>-</v>
      </c>
      <c r="CO114" s="306" t="str">
        <f>IF(AM114="-","-",VLOOKUP($A114,AMABat!$A$10:$AS$1137,CO$9,FALSE)-AM114)</f>
        <v>-</v>
      </c>
      <c r="CP114" s="306" t="str">
        <f>IF(AN114="-","-",VLOOKUP($A114,AMABat!$A$10:$AS$1137,CP$9,FALSE)-AN114)</f>
        <v>-</v>
      </c>
      <c r="CQ114" s="306" t="e">
        <f>IF(AO114="-","-",VLOOKUP($A114,AMABat!$A$10:$AS$1137,CQ$9,FALSE)-AO114)</f>
        <v>#N/A</v>
      </c>
      <c r="CR114" s="306" t="e">
        <f>IF(AP114="-","-",VLOOKUP($A114,AMABat!$A$10:$AS$1137,CR$9,FALSE)-AP114)</f>
        <v>#N/A</v>
      </c>
      <c r="CS114" s="306" t="e">
        <f>IF(AQ114="-","-",VLOOKUP($A114,AMABat!$A$10:$AS$1137,CS$9,FALSE)-AQ114)</f>
        <v>#N/A</v>
      </c>
      <c r="CT114" s="306" t="e">
        <f t="shared" si="157"/>
        <v>#N/A</v>
      </c>
      <c r="CU114" s="306" t="e">
        <f t="shared" si="158"/>
        <v>#N/A</v>
      </c>
      <c r="CV114" s="306" t="e">
        <f t="shared" si="159"/>
        <v>#N/A</v>
      </c>
      <c r="CW114" s="306" t="e">
        <f t="shared" si="160"/>
        <v>#N/A</v>
      </c>
      <c r="CX114" s="306" t="e">
        <f t="shared" si="161"/>
        <v>#N/A</v>
      </c>
    </row>
    <row r="115" spans="1:102" x14ac:dyDescent="0.25">
      <c r="A115" s="306" t="s">
        <v>706</v>
      </c>
      <c r="B115" s="305" t="s">
        <v>534</v>
      </c>
      <c r="C115" s="305"/>
      <c r="D115" s="305" t="s">
        <v>32</v>
      </c>
      <c r="E115" s="305" t="s">
        <v>32</v>
      </c>
      <c r="F115" s="305" t="s">
        <v>81</v>
      </c>
      <c r="G115" t="s">
        <v>73</v>
      </c>
      <c r="H115" t="s">
        <v>521</v>
      </c>
      <c r="I115" s="305" t="s">
        <v>892</v>
      </c>
      <c r="J115" t="s">
        <v>763</v>
      </c>
      <c r="K115" t="s">
        <v>16</v>
      </c>
      <c r="L115">
        <v>17</v>
      </c>
      <c r="M115" t="s">
        <v>82</v>
      </c>
      <c r="N115" t="s">
        <v>82</v>
      </c>
      <c r="O115" t="s">
        <v>816</v>
      </c>
      <c r="P115" s="3" t="s">
        <v>773</v>
      </c>
      <c r="Q115" t="s">
        <v>201</v>
      </c>
      <c r="R115" s="3" t="s">
        <v>200</v>
      </c>
      <c r="S115">
        <v>1</v>
      </c>
      <c r="T115">
        <v>2</v>
      </c>
      <c r="U115">
        <v>4</v>
      </c>
      <c r="V115">
        <v>2</v>
      </c>
      <c r="W115" s="3">
        <v>1</v>
      </c>
      <c r="X115">
        <v>3</v>
      </c>
      <c r="Y115">
        <v>4</v>
      </c>
      <c r="Z115">
        <v>8</v>
      </c>
      <c r="AA115">
        <v>4</v>
      </c>
      <c r="AB115" s="3">
        <v>2</v>
      </c>
      <c r="AC115">
        <v>2</v>
      </c>
      <c r="AD115">
        <v>2</v>
      </c>
      <c r="AE115">
        <v>1</v>
      </c>
      <c r="AF115" s="305">
        <v>1</v>
      </c>
      <c r="AG115" t="s">
        <v>32</v>
      </c>
      <c r="AH115">
        <v>3</v>
      </c>
      <c r="AI115" t="s">
        <v>32</v>
      </c>
      <c r="AJ115" t="s">
        <v>32</v>
      </c>
      <c r="AK115" t="s">
        <v>32</v>
      </c>
      <c r="AL115" t="s">
        <v>32</v>
      </c>
      <c r="AM115" t="s">
        <v>32</v>
      </c>
      <c r="AN115" s="3" t="s">
        <v>32</v>
      </c>
      <c r="AO115">
        <v>2</v>
      </c>
      <c r="AP115">
        <v>1</v>
      </c>
      <c r="AQ115" s="3">
        <v>1</v>
      </c>
      <c r="AR115" t="s">
        <v>32</v>
      </c>
      <c r="AS115" s="3" t="s">
        <v>33</v>
      </c>
      <c r="AT115" s="372" t="s">
        <v>529</v>
      </c>
      <c r="AU115" s="22">
        <f t="shared" si="130"/>
        <v>-0.16666666666666652</v>
      </c>
      <c r="AV115" s="23" t="str">
        <f t="shared" si="131"/>
        <v>Minors</v>
      </c>
      <c r="AW115" s="22">
        <f t="shared" si="132"/>
        <v>3.75</v>
      </c>
      <c r="AX115" s="22" t="str">
        <f t="shared" si="133"/>
        <v>Minors</v>
      </c>
      <c r="AY115" s="23">
        <f t="shared" si="134"/>
        <v>3.75</v>
      </c>
      <c r="AZ115" s="23" t="str">
        <f t="shared" si="135"/>
        <v>Minors</v>
      </c>
      <c r="BA115" s="64">
        <f t="shared" si="136"/>
        <v>0</v>
      </c>
      <c r="BB115" s="65">
        <f t="shared" si="137"/>
        <v>0</v>
      </c>
      <c r="BC115" s="65">
        <f t="shared" si="138"/>
        <v>0</v>
      </c>
      <c r="BD115" s="65">
        <f t="shared" si="139"/>
        <v>0</v>
      </c>
      <c r="BE115" s="65">
        <f t="shared" si="140"/>
        <v>0</v>
      </c>
      <c r="BF115" s="65">
        <f t="shared" si="141"/>
        <v>0</v>
      </c>
      <c r="BG115" s="65">
        <f t="shared" si="142"/>
        <v>0</v>
      </c>
      <c r="BH115" s="65">
        <f t="shared" si="143"/>
        <v>0</v>
      </c>
      <c r="BI115" s="21">
        <f t="shared" si="144"/>
        <v>0</v>
      </c>
      <c r="BJ115" s="64">
        <f t="shared" si="145"/>
        <v>0</v>
      </c>
      <c r="BK115" s="65">
        <f t="shared" si="146"/>
        <v>0</v>
      </c>
      <c r="BL115" s="65">
        <f t="shared" si="147"/>
        <v>0</v>
      </c>
      <c r="BM115" s="65">
        <f t="shared" si="148"/>
        <v>0</v>
      </c>
      <c r="BN115" s="65">
        <f t="shared" si="149"/>
        <v>0</v>
      </c>
      <c r="BO115" s="65">
        <f t="shared" si="150"/>
        <v>0</v>
      </c>
      <c r="BP115" s="65">
        <f t="shared" si="151"/>
        <v>0</v>
      </c>
      <c r="BQ115" s="65">
        <f t="shared" si="152"/>
        <v>0</v>
      </c>
      <c r="BR115" s="21">
        <f t="shared" si="153"/>
        <v>0</v>
      </c>
      <c r="BS115" s="21">
        <f t="shared" si="154"/>
        <v>0</v>
      </c>
      <c r="BT115" s="24">
        <f t="shared" si="155"/>
        <v>0</v>
      </c>
      <c r="BU115" s="20" t="str">
        <f t="shared" si="156"/>
        <v/>
      </c>
      <c r="BV115" s="306" t="e">
        <f>IF(S115="-","-",VLOOKUP($A115,AMABat!$A$10:$AS$1137,BV$9,FALSE)-S115)</f>
        <v>#N/A</v>
      </c>
      <c r="BW115" s="306" t="e">
        <f>IF(T115="-","-",VLOOKUP($A115,AMABat!$A$10:$AS$1137,BW$9,FALSE)-T115)</f>
        <v>#N/A</v>
      </c>
      <c r="BX115" s="306" t="e">
        <f>IF(U115="-","-",VLOOKUP($A115,AMABat!$A$10:$AS$1137,BX$9,FALSE)-U115)</f>
        <v>#N/A</v>
      </c>
      <c r="BY115" s="306" t="e">
        <f>IF(V115="-","-",VLOOKUP($A115,AMABat!$A$10:$AS$1137,BY$9,FALSE)-V115)</f>
        <v>#N/A</v>
      </c>
      <c r="BZ115" s="306" t="e">
        <f>IF(W115="-","-",VLOOKUP($A115,AMABat!$A$10:$AS$1137,BZ$9,FALSE)-W115)</f>
        <v>#N/A</v>
      </c>
      <c r="CA115" s="306" t="e">
        <f>IF(X115="-","-",VLOOKUP($A115,AMABat!$A$10:$AS$1137,CA$9,FALSE)-X115)</f>
        <v>#N/A</v>
      </c>
      <c r="CB115" s="306" t="e">
        <f>IF(Y115="-","-",VLOOKUP($A115,AMABat!$A$10:$AS$1137,CB$9,FALSE)-Y115)</f>
        <v>#N/A</v>
      </c>
      <c r="CC115" s="306" t="e">
        <f>IF(Z115="-","-",VLOOKUP($A115,AMABat!$A$10:$AS$1137,CC$9,FALSE)-Z115)</f>
        <v>#N/A</v>
      </c>
      <c r="CD115" s="306" t="e">
        <f>IF(AA115="-","-",VLOOKUP($A115,AMABat!$A$10:$AS$1137,CD$9,FALSE)-AA115)</f>
        <v>#N/A</v>
      </c>
      <c r="CE115" s="306" t="e">
        <f>IF(AB115="-","-",VLOOKUP($A115,AMABat!$A$10:$AS$1137,CE$9,FALSE)-AB115)</f>
        <v>#N/A</v>
      </c>
      <c r="CF115" s="306" t="e">
        <f>IF(AC115="-","-",VLOOKUP($A115,AMABat!$A$10:$AS$1137,CF$9,FALSE)-AC115)</f>
        <v>#N/A</v>
      </c>
      <c r="CG115" s="306" t="e">
        <f>IF(AD115="-","-",VLOOKUP($A115,AMABat!$A$10:$AS$1137,CG$9,FALSE)-AD115)</f>
        <v>#N/A</v>
      </c>
      <c r="CH115" s="306" t="e">
        <f>IF(AE115="-","-",VLOOKUP($A115,AMABat!$A$10:$AS$1137,CH$9,FALSE)-AE115)</f>
        <v>#N/A</v>
      </c>
      <c r="CI115" s="306" t="str">
        <f>IF(AG115="-","-",VLOOKUP($A115,AMABat!$A$10:$AS$1137,CI$9,FALSE)-AG115)</f>
        <v>-</v>
      </c>
      <c r="CJ115" s="306" t="e">
        <f>IF(AH115="-","-",VLOOKUP($A115,AMABat!$A$10:$AS$1137,CJ$9,FALSE)-AH115)</f>
        <v>#N/A</v>
      </c>
      <c r="CK115" s="306" t="str">
        <f>IF(AI115="-","-",VLOOKUP($A115,AMABat!$A$10:$AS$1137,CK$9,FALSE)-AI115)</f>
        <v>-</v>
      </c>
      <c r="CL115" s="306" t="str">
        <f>IF(AJ115="-","-",VLOOKUP($A115,AMABat!$A$10:$AS$1137,CL$9,FALSE)-AJ115)</f>
        <v>-</v>
      </c>
      <c r="CM115" s="306" t="str">
        <f>IF(AK115="-","-",VLOOKUP($A115,AMABat!$A$10:$AS$1137,CM$9,FALSE)-AK115)</f>
        <v>-</v>
      </c>
      <c r="CN115" s="306" t="str">
        <f>IF(AL115="-","-",VLOOKUP($A115,AMABat!$A$10:$AS$1137,CN$9,FALSE)-AL115)</f>
        <v>-</v>
      </c>
      <c r="CO115" s="306" t="str">
        <f>IF(AM115="-","-",VLOOKUP($A115,AMABat!$A$10:$AS$1137,CO$9,FALSE)-AM115)</f>
        <v>-</v>
      </c>
      <c r="CP115" s="306" t="str">
        <f>IF(AN115="-","-",VLOOKUP($A115,AMABat!$A$10:$AS$1137,CP$9,FALSE)-AN115)</f>
        <v>-</v>
      </c>
      <c r="CQ115" s="306" t="e">
        <f>IF(AO115="-","-",VLOOKUP($A115,AMABat!$A$10:$AS$1137,CQ$9,FALSE)-AO115)</f>
        <v>#N/A</v>
      </c>
      <c r="CR115" s="306" t="e">
        <f>IF(AP115="-","-",VLOOKUP($A115,AMABat!$A$10:$AS$1137,CR$9,FALSE)-AP115)</f>
        <v>#N/A</v>
      </c>
      <c r="CS115" s="306" t="e">
        <f>IF(AQ115="-","-",VLOOKUP($A115,AMABat!$A$10:$AS$1137,CS$9,FALSE)-AQ115)</f>
        <v>#N/A</v>
      </c>
      <c r="CT115" s="306" t="e">
        <f t="shared" si="157"/>
        <v>#N/A</v>
      </c>
      <c r="CU115" s="306" t="e">
        <f t="shared" si="158"/>
        <v>#N/A</v>
      </c>
      <c r="CV115" s="306" t="e">
        <f t="shared" si="159"/>
        <v>#N/A</v>
      </c>
      <c r="CW115" s="306" t="e">
        <f t="shared" si="160"/>
        <v>#N/A</v>
      </c>
      <c r="CX115" s="306" t="e">
        <f t="shared" si="161"/>
        <v>#N/A</v>
      </c>
    </row>
    <row r="116" spans="1:102" x14ac:dyDescent="0.25">
      <c r="A116" s="306" t="s">
        <v>707</v>
      </c>
      <c r="B116" s="305" t="s">
        <v>534</v>
      </c>
      <c r="C116" s="305"/>
      <c r="D116" s="305" t="s">
        <v>32</v>
      </c>
      <c r="E116" s="305" t="s">
        <v>32</v>
      </c>
      <c r="F116" s="305" t="s">
        <v>81</v>
      </c>
      <c r="G116" t="s">
        <v>71</v>
      </c>
      <c r="H116" t="s">
        <v>910</v>
      </c>
      <c r="I116" s="305" t="s">
        <v>909</v>
      </c>
      <c r="J116" t="s">
        <v>810</v>
      </c>
      <c r="K116" t="s">
        <v>83</v>
      </c>
      <c r="L116">
        <v>20</v>
      </c>
      <c r="M116" t="s">
        <v>85</v>
      </c>
      <c r="N116" t="s">
        <v>83</v>
      </c>
      <c r="O116" t="s">
        <v>816</v>
      </c>
      <c r="P116" s="3" t="s">
        <v>773</v>
      </c>
      <c r="Q116" t="s">
        <v>201</v>
      </c>
      <c r="R116" s="3" t="s">
        <v>200</v>
      </c>
      <c r="S116">
        <v>1</v>
      </c>
      <c r="T116">
        <v>5</v>
      </c>
      <c r="U116">
        <v>2</v>
      </c>
      <c r="V116">
        <v>4</v>
      </c>
      <c r="W116" s="3">
        <v>1</v>
      </c>
      <c r="X116">
        <v>2</v>
      </c>
      <c r="Y116">
        <v>7</v>
      </c>
      <c r="Z116">
        <v>4</v>
      </c>
      <c r="AA116">
        <v>8</v>
      </c>
      <c r="AB116" s="3">
        <v>2</v>
      </c>
      <c r="AC116">
        <v>3</v>
      </c>
      <c r="AD116">
        <v>3</v>
      </c>
      <c r="AE116">
        <v>5</v>
      </c>
      <c r="AF116" s="305">
        <v>8</v>
      </c>
      <c r="AG116">
        <v>5</v>
      </c>
      <c r="AH116" t="s">
        <v>32</v>
      </c>
      <c r="AI116" t="s">
        <v>32</v>
      </c>
      <c r="AJ116" t="s">
        <v>32</v>
      </c>
      <c r="AK116" t="s">
        <v>32</v>
      </c>
      <c r="AL116" t="s">
        <v>32</v>
      </c>
      <c r="AM116" t="s">
        <v>32</v>
      </c>
      <c r="AN116" s="3" t="s">
        <v>32</v>
      </c>
      <c r="AO116">
        <v>3</v>
      </c>
      <c r="AP116">
        <v>3</v>
      </c>
      <c r="AQ116" s="3">
        <v>3</v>
      </c>
      <c r="AR116" t="s">
        <v>32</v>
      </c>
      <c r="AS116" s="3">
        <v>0</v>
      </c>
      <c r="AT116" s="372" t="s">
        <v>199</v>
      </c>
      <c r="AU116" s="22">
        <f t="shared" si="130"/>
        <v>-0.16666666666666652</v>
      </c>
      <c r="AV116" s="23" t="str">
        <f t="shared" si="131"/>
        <v>Minors</v>
      </c>
      <c r="AW116" s="22">
        <f t="shared" si="132"/>
        <v>2.666666666666667</v>
      </c>
      <c r="AX116" s="22" t="str">
        <f t="shared" si="133"/>
        <v>Minors</v>
      </c>
      <c r="AY116" s="23">
        <f t="shared" si="134"/>
        <v>2.666666666666667</v>
      </c>
      <c r="AZ116" s="23" t="str">
        <f t="shared" si="135"/>
        <v>Minors</v>
      </c>
      <c r="BA116" s="64">
        <f t="shared" si="136"/>
        <v>0</v>
      </c>
      <c r="BB116" s="65">
        <f t="shared" si="137"/>
        <v>0</v>
      </c>
      <c r="BC116" s="65">
        <f t="shared" si="138"/>
        <v>0</v>
      </c>
      <c r="BD116" s="65">
        <f t="shared" si="139"/>
        <v>0</v>
      </c>
      <c r="BE116" s="65">
        <f t="shared" si="140"/>
        <v>0</v>
      </c>
      <c r="BF116" s="65">
        <f t="shared" si="141"/>
        <v>0</v>
      </c>
      <c r="BG116" s="65">
        <f t="shared" si="142"/>
        <v>0</v>
      </c>
      <c r="BH116" s="65">
        <f t="shared" si="143"/>
        <v>0</v>
      </c>
      <c r="BI116" s="21">
        <f t="shared" si="144"/>
        <v>0</v>
      </c>
      <c r="BJ116" s="64">
        <f t="shared" si="145"/>
        <v>0</v>
      </c>
      <c r="BK116" s="65">
        <f t="shared" si="146"/>
        <v>0</v>
      </c>
      <c r="BL116" s="65">
        <f t="shared" si="147"/>
        <v>0</v>
      </c>
      <c r="BM116" s="65">
        <f t="shared" si="148"/>
        <v>0</v>
      </c>
      <c r="BN116" s="65">
        <f t="shared" si="149"/>
        <v>0</v>
      </c>
      <c r="BO116" s="65">
        <f t="shared" si="150"/>
        <v>0</v>
      </c>
      <c r="BP116" s="65">
        <f t="shared" si="151"/>
        <v>0</v>
      </c>
      <c r="BQ116" s="65">
        <f t="shared" si="152"/>
        <v>0</v>
      </c>
      <c r="BR116" s="21">
        <f t="shared" si="153"/>
        <v>0</v>
      </c>
      <c r="BS116" s="21">
        <f t="shared" si="154"/>
        <v>0</v>
      </c>
      <c r="BT116" s="24">
        <f t="shared" si="155"/>
        <v>1</v>
      </c>
      <c r="BU116" s="20" t="str">
        <f t="shared" si="156"/>
        <v/>
      </c>
      <c r="BV116" s="306" t="e">
        <f>IF(S116="-","-",VLOOKUP($A116,AMABat!$A$10:$AS$1137,BV$9,FALSE)-S116)</f>
        <v>#N/A</v>
      </c>
      <c r="BW116" s="306" t="e">
        <f>IF(T116="-","-",VLOOKUP($A116,AMABat!$A$10:$AS$1137,BW$9,FALSE)-T116)</f>
        <v>#N/A</v>
      </c>
      <c r="BX116" s="306" t="e">
        <f>IF(U116="-","-",VLOOKUP($A116,AMABat!$A$10:$AS$1137,BX$9,FALSE)-U116)</f>
        <v>#N/A</v>
      </c>
      <c r="BY116" s="306" t="e">
        <f>IF(V116="-","-",VLOOKUP($A116,AMABat!$A$10:$AS$1137,BY$9,FALSE)-V116)</f>
        <v>#N/A</v>
      </c>
      <c r="BZ116" s="306" t="e">
        <f>IF(W116="-","-",VLOOKUP($A116,AMABat!$A$10:$AS$1137,BZ$9,FALSE)-W116)</f>
        <v>#N/A</v>
      </c>
      <c r="CA116" s="306" t="e">
        <f>IF(X116="-","-",VLOOKUP($A116,AMABat!$A$10:$AS$1137,CA$9,FALSE)-X116)</f>
        <v>#N/A</v>
      </c>
      <c r="CB116" s="306" t="e">
        <f>IF(Y116="-","-",VLOOKUP($A116,AMABat!$A$10:$AS$1137,CB$9,FALSE)-Y116)</f>
        <v>#N/A</v>
      </c>
      <c r="CC116" s="306" t="e">
        <f>IF(Z116="-","-",VLOOKUP($A116,AMABat!$A$10:$AS$1137,CC$9,FALSE)-Z116)</f>
        <v>#N/A</v>
      </c>
      <c r="CD116" s="306" t="e">
        <f>IF(AA116="-","-",VLOOKUP($A116,AMABat!$A$10:$AS$1137,CD$9,FALSE)-AA116)</f>
        <v>#N/A</v>
      </c>
      <c r="CE116" s="306" t="e">
        <f>IF(AB116="-","-",VLOOKUP($A116,AMABat!$A$10:$AS$1137,CE$9,FALSE)-AB116)</f>
        <v>#N/A</v>
      </c>
      <c r="CF116" s="306" t="e">
        <f>IF(AC116="-","-",VLOOKUP($A116,AMABat!$A$10:$AS$1137,CF$9,FALSE)-AC116)</f>
        <v>#N/A</v>
      </c>
      <c r="CG116" s="306" t="e">
        <f>IF(AD116="-","-",VLOOKUP($A116,AMABat!$A$10:$AS$1137,CG$9,FALSE)-AD116)</f>
        <v>#N/A</v>
      </c>
      <c r="CH116" s="306" t="e">
        <f>IF(AE116="-","-",VLOOKUP($A116,AMABat!$A$10:$AS$1137,CH$9,FALSE)-AE116)</f>
        <v>#N/A</v>
      </c>
      <c r="CI116" s="306" t="e">
        <f>IF(AG116="-","-",VLOOKUP($A116,AMABat!$A$10:$AS$1137,CI$9,FALSE)-AG116)</f>
        <v>#N/A</v>
      </c>
      <c r="CJ116" s="306" t="str">
        <f>IF(AH116="-","-",VLOOKUP($A116,AMABat!$A$10:$AS$1137,CJ$9,FALSE)-AH116)</f>
        <v>-</v>
      </c>
      <c r="CK116" s="306" t="str">
        <f>IF(AI116="-","-",VLOOKUP($A116,AMABat!$A$10:$AS$1137,CK$9,FALSE)-AI116)</f>
        <v>-</v>
      </c>
      <c r="CL116" s="306" t="str">
        <f>IF(AJ116="-","-",VLOOKUP($A116,AMABat!$A$10:$AS$1137,CL$9,FALSE)-AJ116)</f>
        <v>-</v>
      </c>
      <c r="CM116" s="306" t="str">
        <f>IF(AK116="-","-",VLOOKUP($A116,AMABat!$A$10:$AS$1137,CM$9,FALSE)-AK116)</f>
        <v>-</v>
      </c>
      <c r="CN116" s="306" t="str">
        <f>IF(AL116="-","-",VLOOKUP($A116,AMABat!$A$10:$AS$1137,CN$9,FALSE)-AL116)</f>
        <v>-</v>
      </c>
      <c r="CO116" s="306" t="str">
        <f>IF(AM116="-","-",VLOOKUP($A116,AMABat!$A$10:$AS$1137,CO$9,FALSE)-AM116)</f>
        <v>-</v>
      </c>
      <c r="CP116" s="306" t="str">
        <f>IF(AN116="-","-",VLOOKUP($A116,AMABat!$A$10:$AS$1137,CP$9,FALSE)-AN116)</f>
        <v>-</v>
      </c>
      <c r="CQ116" s="306" t="e">
        <f>IF(AO116="-","-",VLOOKUP($A116,AMABat!$A$10:$AS$1137,CQ$9,FALSE)-AO116)</f>
        <v>#N/A</v>
      </c>
      <c r="CR116" s="306" t="e">
        <f>IF(AP116="-","-",VLOOKUP($A116,AMABat!$A$10:$AS$1137,CR$9,FALSE)-AP116)</f>
        <v>#N/A</v>
      </c>
      <c r="CS116" s="306" t="e">
        <f>IF(AQ116="-","-",VLOOKUP($A116,AMABat!$A$10:$AS$1137,CS$9,FALSE)-AQ116)</f>
        <v>#N/A</v>
      </c>
      <c r="CT116" s="306" t="e">
        <f t="shared" si="157"/>
        <v>#N/A</v>
      </c>
      <c r="CU116" s="306" t="e">
        <f t="shared" si="158"/>
        <v>#N/A</v>
      </c>
      <c r="CV116" s="306" t="e">
        <f t="shared" si="159"/>
        <v>#N/A</v>
      </c>
      <c r="CW116" s="306" t="e">
        <f t="shared" si="160"/>
        <v>#N/A</v>
      </c>
      <c r="CX116" s="306" t="e">
        <f t="shared" si="161"/>
        <v>#N/A</v>
      </c>
    </row>
    <row r="117" spans="1:102" x14ac:dyDescent="0.25">
      <c r="A117" s="306" t="s">
        <v>708</v>
      </c>
      <c r="B117" s="305" t="s">
        <v>534</v>
      </c>
      <c r="C117" s="305"/>
      <c r="D117" s="305" t="s">
        <v>32</v>
      </c>
      <c r="E117" s="305" t="s">
        <v>32</v>
      </c>
      <c r="F117" s="305" t="s">
        <v>72</v>
      </c>
      <c r="G117" t="s">
        <v>78</v>
      </c>
      <c r="H117" t="s">
        <v>445</v>
      </c>
      <c r="I117" s="305" t="s">
        <v>883</v>
      </c>
      <c r="J117" t="s">
        <v>763</v>
      </c>
      <c r="K117" t="s">
        <v>16</v>
      </c>
      <c r="L117">
        <v>18</v>
      </c>
      <c r="M117" t="s">
        <v>83</v>
      </c>
      <c r="N117" t="s">
        <v>83</v>
      </c>
      <c r="O117" t="s">
        <v>816</v>
      </c>
      <c r="P117" s="3" t="s">
        <v>764</v>
      </c>
      <c r="Q117" t="s">
        <v>199</v>
      </c>
      <c r="R117" s="3" t="s">
        <v>199</v>
      </c>
      <c r="S117">
        <v>2</v>
      </c>
      <c r="T117">
        <v>4</v>
      </c>
      <c r="U117">
        <v>2</v>
      </c>
      <c r="V117">
        <v>1</v>
      </c>
      <c r="W117" s="3">
        <v>3</v>
      </c>
      <c r="X117">
        <v>6</v>
      </c>
      <c r="Y117">
        <v>7</v>
      </c>
      <c r="Z117">
        <v>2</v>
      </c>
      <c r="AA117">
        <v>4</v>
      </c>
      <c r="AB117" s="3">
        <v>6</v>
      </c>
      <c r="AC117">
        <v>2</v>
      </c>
      <c r="AD117">
        <v>3</v>
      </c>
      <c r="AE117">
        <v>1</v>
      </c>
      <c r="AF117" s="305">
        <v>1</v>
      </c>
      <c r="AG117" t="s">
        <v>32</v>
      </c>
      <c r="AH117">
        <v>2</v>
      </c>
      <c r="AI117" t="s">
        <v>32</v>
      </c>
      <c r="AJ117" t="s">
        <v>32</v>
      </c>
      <c r="AK117" t="s">
        <v>32</v>
      </c>
      <c r="AL117">
        <v>3</v>
      </c>
      <c r="AM117">
        <v>3</v>
      </c>
      <c r="AN117" s="3" t="s">
        <v>32</v>
      </c>
      <c r="AO117">
        <v>10</v>
      </c>
      <c r="AP117">
        <v>9</v>
      </c>
      <c r="AQ117" s="3">
        <v>8</v>
      </c>
      <c r="AR117" t="s">
        <v>32</v>
      </c>
      <c r="AS117" s="3" t="s">
        <v>33</v>
      </c>
      <c r="AT117" s="372" t="s">
        <v>529</v>
      </c>
      <c r="AU117" s="22">
        <f t="shared" si="130"/>
        <v>-0.33333333333333326</v>
      </c>
      <c r="AV117" s="23" t="str">
        <f t="shared" si="131"/>
        <v>Minors</v>
      </c>
      <c r="AW117" s="22">
        <f t="shared" si="132"/>
        <v>4</v>
      </c>
      <c r="AX117" s="22" t="str">
        <f t="shared" si="133"/>
        <v>Minors</v>
      </c>
      <c r="AY117" s="23">
        <f t="shared" si="134"/>
        <v>4</v>
      </c>
      <c r="AZ117" s="23" t="str">
        <f t="shared" si="135"/>
        <v>Minors</v>
      </c>
      <c r="BA117" s="64">
        <f t="shared" si="136"/>
        <v>0</v>
      </c>
      <c r="BB117" s="65">
        <f t="shared" si="137"/>
        <v>0</v>
      </c>
      <c r="BC117" s="65">
        <f t="shared" si="138"/>
        <v>0</v>
      </c>
      <c r="BD117" s="65">
        <f t="shared" si="139"/>
        <v>0</v>
      </c>
      <c r="BE117" s="65">
        <f t="shared" si="140"/>
        <v>0</v>
      </c>
      <c r="BF117" s="65">
        <f t="shared" si="141"/>
        <v>0</v>
      </c>
      <c r="BG117" s="65">
        <f t="shared" si="142"/>
        <v>0</v>
      </c>
      <c r="BH117" s="65">
        <f t="shared" si="143"/>
        <v>0</v>
      </c>
      <c r="BI117" s="21">
        <f t="shared" si="144"/>
        <v>0</v>
      </c>
      <c r="BJ117" s="64">
        <f t="shared" si="145"/>
        <v>0</v>
      </c>
      <c r="BK117" s="65">
        <f t="shared" si="146"/>
        <v>0</v>
      </c>
      <c r="BL117" s="65">
        <f t="shared" si="147"/>
        <v>0</v>
      </c>
      <c r="BM117" s="65">
        <f t="shared" si="148"/>
        <v>0</v>
      </c>
      <c r="BN117" s="65">
        <f t="shared" si="149"/>
        <v>0</v>
      </c>
      <c r="BO117" s="65">
        <f t="shared" si="150"/>
        <v>0</v>
      </c>
      <c r="BP117" s="65">
        <f t="shared" si="151"/>
        <v>0</v>
      </c>
      <c r="BQ117" s="65">
        <f t="shared" si="152"/>
        <v>1</v>
      </c>
      <c r="BR117" s="21">
        <f t="shared" si="153"/>
        <v>1</v>
      </c>
      <c r="BS117" s="21">
        <f t="shared" si="154"/>
        <v>5</v>
      </c>
      <c r="BT117" s="24">
        <f t="shared" si="155"/>
        <v>0</v>
      </c>
      <c r="BU117" s="20" t="str">
        <f t="shared" si="156"/>
        <v/>
      </c>
      <c r="BV117" s="306" t="e">
        <f>IF(S117="-","-",VLOOKUP($A117,AMABat!$A$10:$AS$1137,BV$9,FALSE)-S117)</f>
        <v>#N/A</v>
      </c>
      <c r="BW117" s="306" t="e">
        <f>IF(T117="-","-",VLOOKUP($A117,AMABat!$A$10:$AS$1137,BW$9,FALSE)-T117)</f>
        <v>#N/A</v>
      </c>
      <c r="BX117" s="306" t="e">
        <f>IF(U117="-","-",VLOOKUP($A117,AMABat!$A$10:$AS$1137,BX$9,FALSE)-U117)</f>
        <v>#N/A</v>
      </c>
      <c r="BY117" s="306" t="e">
        <f>IF(V117="-","-",VLOOKUP($A117,AMABat!$A$10:$AS$1137,BY$9,FALSE)-V117)</f>
        <v>#N/A</v>
      </c>
      <c r="BZ117" s="306" t="e">
        <f>IF(W117="-","-",VLOOKUP($A117,AMABat!$A$10:$AS$1137,BZ$9,FALSE)-W117)</f>
        <v>#N/A</v>
      </c>
      <c r="CA117" s="306" t="e">
        <f>IF(X117="-","-",VLOOKUP($A117,AMABat!$A$10:$AS$1137,CA$9,FALSE)-X117)</f>
        <v>#N/A</v>
      </c>
      <c r="CB117" s="306" t="e">
        <f>IF(Y117="-","-",VLOOKUP($A117,AMABat!$A$10:$AS$1137,CB$9,FALSE)-Y117)</f>
        <v>#N/A</v>
      </c>
      <c r="CC117" s="306" t="e">
        <f>IF(Z117="-","-",VLOOKUP($A117,AMABat!$A$10:$AS$1137,CC$9,FALSE)-Z117)</f>
        <v>#N/A</v>
      </c>
      <c r="CD117" s="306" t="e">
        <f>IF(AA117="-","-",VLOOKUP($A117,AMABat!$A$10:$AS$1137,CD$9,FALSE)-AA117)</f>
        <v>#N/A</v>
      </c>
      <c r="CE117" s="306" t="e">
        <f>IF(AB117="-","-",VLOOKUP($A117,AMABat!$A$10:$AS$1137,CE$9,FALSE)-AB117)</f>
        <v>#N/A</v>
      </c>
      <c r="CF117" s="306" t="e">
        <f>IF(AC117="-","-",VLOOKUP($A117,AMABat!$A$10:$AS$1137,CF$9,FALSE)-AC117)</f>
        <v>#N/A</v>
      </c>
      <c r="CG117" s="306" t="e">
        <f>IF(AD117="-","-",VLOOKUP($A117,AMABat!$A$10:$AS$1137,CG$9,FALSE)-AD117)</f>
        <v>#N/A</v>
      </c>
      <c r="CH117" s="306" t="e">
        <f>IF(AE117="-","-",VLOOKUP($A117,AMABat!$A$10:$AS$1137,CH$9,FALSE)-AE117)</f>
        <v>#N/A</v>
      </c>
      <c r="CI117" s="306" t="str">
        <f>IF(AG117="-","-",VLOOKUP($A117,AMABat!$A$10:$AS$1137,CI$9,FALSE)-AG117)</f>
        <v>-</v>
      </c>
      <c r="CJ117" s="306" t="e">
        <f>IF(AH117="-","-",VLOOKUP($A117,AMABat!$A$10:$AS$1137,CJ$9,FALSE)-AH117)</f>
        <v>#N/A</v>
      </c>
      <c r="CK117" s="306" t="str">
        <f>IF(AI117="-","-",VLOOKUP($A117,AMABat!$A$10:$AS$1137,CK$9,FALSE)-AI117)</f>
        <v>-</v>
      </c>
      <c r="CL117" s="306" t="str">
        <f>IF(AJ117="-","-",VLOOKUP($A117,AMABat!$A$10:$AS$1137,CL$9,FALSE)-AJ117)</f>
        <v>-</v>
      </c>
      <c r="CM117" s="306" t="str">
        <f>IF(AK117="-","-",VLOOKUP($A117,AMABat!$A$10:$AS$1137,CM$9,FALSE)-AK117)</f>
        <v>-</v>
      </c>
      <c r="CN117" s="306" t="e">
        <f>IF(AL117="-","-",VLOOKUP($A117,AMABat!$A$10:$AS$1137,CN$9,FALSE)-AL117)</f>
        <v>#N/A</v>
      </c>
      <c r="CO117" s="306" t="e">
        <f>IF(AM117="-","-",VLOOKUP($A117,AMABat!$A$10:$AS$1137,CO$9,FALSE)-AM117)</f>
        <v>#N/A</v>
      </c>
      <c r="CP117" s="306" t="str">
        <f>IF(AN117="-","-",VLOOKUP($A117,AMABat!$A$10:$AS$1137,CP$9,FALSE)-AN117)</f>
        <v>-</v>
      </c>
      <c r="CQ117" s="306" t="e">
        <f>IF(AO117="-","-",VLOOKUP($A117,AMABat!$A$10:$AS$1137,CQ$9,FALSE)-AO117)</f>
        <v>#N/A</v>
      </c>
      <c r="CR117" s="306" t="e">
        <f>IF(AP117="-","-",VLOOKUP($A117,AMABat!$A$10:$AS$1137,CR$9,FALSE)-AP117)</f>
        <v>#N/A</v>
      </c>
      <c r="CS117" s="306" t="e">
        <f>IF(AQ117="-","-",VLOOKUP($A117,AMABat!$A$10:$AS$1137,CS$9,FALSE)-AQ117)</f>
        <v>#N/A</v>
      </c>
      <c r="CT117" s="306" t="e">
        <f t="shared" si="157"/>
        <v>#N/A</v>
      </c>
      <c r="CU117" s="306" t="e">
        <f t="shared" si="158"/>
        <v>#N/A</v>
      </c>
      <c r="CV117" s="306" t="e">
        <f t="shared" si="159"/>
        <v>#N/A</v>
      </c>
      <c r="CW117" s="306" t="e">
        <f t="shared" si="160"/>
        <v>#N/A</v>
      </c>
      <c r="CX117" s="306" t="e">
        <f t="shared" si="161"/>
        <v>#N/A</v>
      </c>
    </row>
    <row r="118" spans="1:102" x14ac:dyDescent="0.25">
      <c r="A118" s="306" t="s">
        <v>709</v>
      </c>
      <c r="B118" s="305" t="s">
        <v>534</v>
      </c>
      <c r="C118" s="305"/>
      <c r="D118" s="305" t="s">
        <v>32</v>
      </c>
      <c r="E118" s="305" t="s">
        <v>32</v>
      </c>
      <c r="F118" s="305" t="s">
        <v>72</v>
      </c>
      <c r="G118" t="s">
        <v>78</v>
      </c>
      <c r="H118" t="s">
        <v>475</v>
      </c>
      <c r="I118" s="305" t="s">
        <v>491</v>
      </c>
      <c r="J118" t="s">
        <v>763</v>
      </c>
      <c r="K118" t="s">
        <v>16</v>
      </c>
      <c r="L118">
        <v>17</v>
      </c>
      <c r="M118" t="s">
        <v>83</v>
      </c>
      <c r="N118" t="s">
        <v>83</v>
      </c>
      <c r="O118" t="s">
        <v>816</v>
      </c>
      <c r="P118" s="3" t="s">
        <v>808</v>
      </c>
      <c r="Q118" t="s">
        <v>200</v>
      </c>
      <c r="R118" s="3" t="s">
        <v>200</v>
      </c>
      <c r="S118">
        <v>2</v>
      </c>
      <c r="T118">
        <v>3</v>
      </c>
      <c r="U118">
        <v>2</v>
      </c>
      <c r="V118">
        <v>1</v>
      </c>
      <c r="W118" s="3">
        <v>2</v>
      </c>
      <c r="X118">
        <v>4</v>
      </c>
      <c r="Y118">
        <v>5</v>
      </c>
      <c r="Z118">
        <v>2</v>
      </c>
      <c r="AA118">
        <v>3</v>
      </c>
      <c r="AB118" s="3">
        <v>6</v>
      </c>
      <c r="AC118">
        <v>3</v>
      </c>
      <c r="AD118">
        <v>6</v>
      </c>
      <c r="AE118">
        <v>1</v>
      </c>
      <c r="AF118" s="305">
        <v>1</v>
      </c>
      <c r="AG118" t="s">
        <v>32</v>
      </c>
      <c r="AH118" t="s">
        <v>32</v>
      </c>
      <c r="AI118" t="s">
        <v>32</v>
      </c>
      <c r="AJ118" t="s">
        <v>32</v>
      </c>
      <c r="AK118" t="s">
        <v>32</v>
      </c>
      <c r="AL118">
        <v>2</v>
      </c>
      <c r="AM118">
        <v>1</v>
      </c>
      <c r="AN118" s="3">
        <v>2</v>
      </c>
      <c r="AO118">
        <v>7</v>
      </c>
      <c r="AP118">
        <v>7</v>
      </c>
      <c r="AQ118" s="3">
        <v>9</v>
      </c>
      <c r="AR118" t="s">
        <v>32</v>
      </c>
      <c r="AS118" s="3" t="s">
        <v>33</v>
      </c>
      <c r="AT118" s="372" t="s">
        <v>199</v>
      </c>
      <c r="AU118" s="22">
        <f t="shared" si="130"/>
        <v>-0.33333333333333326</v>
      </c>
      <c r="AV118" s="23" t="str">
        <f t="shared" si="131"/>
        <v>Minors</v>
      </c>
      <c r="AW118" s="22">
        <f t="shared" si="132"/>
        <v>2</v>
      </c>
      <c r="AX118" s="22" t="str">
        <f t="shared" si="133"/>
        <v>Minors</v>
      </c>
      <c r="AY118" s="23">
        <f t="shared" si="134"/>
        <v>2</v>
      </c>
      <c r="AZ118" s="23" t="str">
        <f t="shared" si="135"/>
        <v>Minors</v>
      </c>
      <c r="BA118" s="64">
        <f t="shared" si="136"/>
        <v>0</v>
      </c>
      <c r="BB118" s="65">
        <f t="shared" si="137"/>
        <v>0</v>
      </c>
      <c r="BC118" s="65">
        <f t="shared" si="138"/>
        <v>0</v>
      </c>
      <c r="BD118" s="65">
        <f t="shared" si="139"/>
        <v>0</v>
      </c>
      <c r="BE118" s="65">
        <f t="shared" si="140"/>
        <v>0</v>
      </c>
      <c r="BF118" s="65">
        <f t="shared" si="141"/>
        <v>0</v>
      </c>
      <c r="BG118" s="65">
        <f t="shared" si="142"/>
        <v>0</v>
      </c>
      <c r="BH118" s="65">
        <f t="shared" si="143"/>
        <v>0</v>
      </c>
      <c r="BI118" s="21">
        <f t="shared" si="144"/>
        <v>0</v>
      </c>
      <c r="BJ118" s="64">
        <f t="shared" si="145"/>
        <v>0</v>
      </c>
      <c r="BK118" s="65">
        <f t="shared" si="146"/>
        <v>0</v>
      </c>
      <c r="BL118" s="65">
        <f t="shared" si="147"/>
        <v>0</v>
      </c>
      <c r="BM118" s="65">
        <f t="shared" si="148"/>
        <v>0</v>
      </c>
      <c r="BN118" s="65">
        <f t="shared" si="149"/>
        <v>0</v>
      </c>
      <c r="BO118" s="65">
        <f t="shared" si="150"/>
        <v>0</v>
      </c>
      <c r="BP118" s="65">
        <f t="shared" si="151"/>
        <v>0</v>
      </c>
      <c r="BQ118" s="65">
        <f t="shared" si="152"/>
        <v>0</v>
      </c>
      <c r="BR118" s="21">
        <f t="shared" si="153"/>
        <v>0</v>
      </c>
      <c r="BS118" s="21">
        <f t="shared" si="154"/>
        <v>2</v>
      </c>
      <c r="BT118" s="24">
        <f t="shared" si="155"/>
        <v>0</v>
      </c>
      <c r="BU118" s="20" t="str">
        <f t="shared" si="156"/>
        <v/>
      </c>
      <c r="BV118" s="306" t="e">
        <f>IF(S118="-","-",VLOOKUP($A118,AMABat!$A$10:$AS$1137,BV$9,FALSE)-S118)</f>
        <v>#N/A</v>
      </c>
      <c r="BW118" s="306" t="e">
        <f>IF(T118="-","-",VLOOKUP($A118,AMABat!$A$10:$AS$1137,BW$9,FALSE)-T118)</f>
        <v>#N/A</v>
      </c>
      <c r="BX118" s="306" t="e">
        <f>IF(U118="-","-",VLOOKUP($A118,AMABat!$A$10:$AS$1137,BX$9,FALSE)-U118)</f>
        <v>#N/A</v>
      </c>
      <c r="BY118" s="306" t="e">
        <f>IF(V118="-","-",VLOOKUP($A118,AMABat!$A$10:$AS$1137,BY$9,FALSE)-V118)</f>
        <v>#N/A</v>
      </c>
      <c r="BZ118" s="306" t="e">
        <f>IF(W118="-","-",VLOOKUP($A118,AMABat!$A$10:$AS$1137,BZ$9,FALSE)-W118)</f>
        <v>#N/A</v>
      </c>
      <c r="CA118" s="306" t="e">
        <f>IF(X118="-","-",VLOOKUP($A118,AMABat!$A$10:$AS$1137,CA$9,FALSE)-X118)</f>
        <v>#N/A</v>
      </c>
      <c r="CB118" s="306" t="e">
        <f>IF(Y118="-","-",VLOOKUP($A118,AMABat!$A$10:$AS$1137,CB$9,FALSE)-Y118)</f>
        <v>#N/A</v>
      </c>
      <c r="CC118" s="306" t="e">
        <f>IF(Z118="-","-",VLOOKUP($A118,AMABat!$A$10:$AS$1137,CC$9,FALSE)-Z118)</f>
        <v>#N/A</v>
      </c>
      <c r="CD118" s="306" t="e">
        <f>IF(AA118="-","-",VLOOKUP($A118,AMABat!$A$10:$AS$1137,CD$9,FALSE)-AA118)</f>
        <v>#N/A</v>
      </c>
      <c r="CE118" s="306" t="e">
        <f>IF(AB118="-","-",VLOOKUP($A118,AMABat!$A$10:$AS$1137,CE$9,FALSE)-AB118)</f>
        <v>#N/A</v>
      </c>
      <c r="CF118" s="306" t="e">
        <f>IF(AC118="-","-",VLOOKUP($A118,AMABat!$A$10:$AS$1137,CF$9,FALSE)-AC118)</f>
        <v>#N/A</v>
      </c>
      <c r="CG118" s="306" t="e">
        <f>IF(AD118="-","-",VLOOKUP($A118,AMABat!$A$10:$AS$1137,CG$9,FALSE)-AD118)</f>
        <v>#N/A</v>
      </c>
      <c r="CH118" s="306" t="e">
        <f>IF(AE118="-","-",VLOOKUP($A118,AMABat!$A$10:$AS$1137,CH$9,FALSE)-AE118)</f>
        <v>#N/A</v>
      </c>
      <c r="CI118" s="306" t="str">
        <f>IF(AG118="-","-",VLOOKUP($A118,AMABat!$A$10:$AS$1137,CI$9,FALSE)-AG118)</f>
        <v>-</v>
      </c>
      <c r="CJ118" s="306" t="str">
        <f>IF(AH118="-","-",VLOOKUP($A118,AMABat!$A$10:$AS$1137,CJ$9,FALSE)-AH118)</f>
        <v>-</v>
      </c>
      <c r="CK118" s="306" t="str">
        <f>IF(AI118="-","-",VLOOKUP($A118,AMABat!$A$10:$AS$1137,CK$9,FALSE)-AI118)</f>
        <v>-</v>
      </c>
      <c r="CL118" s="306" t="str">
        <f>IF(AJ118="-","-",VLOOKUP($A118,AMABat!$A$10:$AS$1137,CL$9,FALSE)-AJ118)</f>
        <v>-</v>
      </c>
      <c r="CM118" s="306" t="str">
        <f>IF(AK118="-","-",VLOOKUP($A118,AMABat!$A$10:$AS$1137,CM$9,FALSE)-AK118)</f>
        <v>-</v>
      </c>
      <c r="CN118" s="306" t="e">
        <f>IF(AL118="-","-",VLOOKUP($A118,AMABat!$A$10:$AS$1137,CN$9,FALSE)-AL118)</f>
        <v>#N/A</v>
      </c>
      <c r="CO118" s="306" t="e">
        <f>IF(AM118="-","-",VLOOKUP($A118,AMABat!$A$10:$AS$1137,CO$9,FALSE)-AM118)</f>
        <v>#N/A</v>
      </c>
      <c r="CP118" s="306" t="e">
        <f>IF(AN118="-","-",VLOOKUP($A118,AMABat!$A$10:$AS$1137,CP$9,FALSE)-AN118)</f>
        <v>#N/A</v>
      </c>
      <c r="CQ118" s="306" t="e">
        <f>IF(AO118="-","-",VLOOKUP($A118,AMABat!$A$10:$AS$1137,CQ$9,FALSE)-AO118)</f>
        <v>#N/A</v>
      </c>
      <c r="CR118" s="306" t="e">
        <f>IF(AP118="-","-",VLOOKUP($A118,AMABat!$A$10:$AS$1137,CR$9,FALSE)-AP118)</f>
        <v>#N/A</v>
      </c>
      <c r="CS118" s="306" t="e">
        <f>IF(AQ118="-","-",VLOOKUP($A118,AMABat!$A$10:$AS$1137,CS$9,FALSE)-AQ118)</f>
        <v>#N/A</v>
      </c>
      <c r="CT118" s="306" t="e">
        <f t="shared" si="157"/>
        <v>#N/A</v>
      </c>
      <c r="CU118" s="306" t="e">
        <f t="shared" si="158"/>
        <v>#N/A</v>
      </c>
      <c r="CV118" s="306" t="e">
        <f t="shared" si="159"/>
        <v>#N/A</v>
      </c>
      <c r="CW118" s="306" t="e">
        <f t="shared" si="160"/>
        <v>#N/A</v>
      </c>
      <c r="CX118" s="306" t="e">
        <f t="shared" si="161"/>
        <v>#N/A</v>
      </c>
    </row>
    <row r="119" spans="1:102" x14ac:dyDescent="0.25">
      <c r="A119" s="306" t="s">
        <v>710</v>
      </c>
      <c r="B119" s="305" t="s">
        <v>534</v>
      </c>
      <c r="C119" s="305"/>
      <c r="D119" s="305" t="s">
        <v>32</v>
      </c>
      <c r="E119" s="305" t="s">
        <v>32</v>
      </c>
      <c r="F119" s="305" t="s">
        <v>81</v>
      </c>
      <c r="G119" t="s">
        <v>73</v>
      </c>
      <c r="H119" t="s">
        <v>880</v>
      </c>
      <c r="I119" s="305" t="s">
        <v>468</v>
      </c>
      <c r="J119" t="s">
        <v>763</v>
      </c>
      <c r="K119" t="s">
        <v>16</v>
      </c>
      <c r="L119">
        <v>19</v>
      </c>
      <c r="M119" t="s">
        <v>83</v>
      </c>
      <c r="N119" t="s">
        <v>83</v>
      </c>
      <c r="O119" t="s">
        <v>816</v>
      </c>
      <c r="P119" s="3" t="s">
        <v>803</v>
      </c>
      <c r="Q119" t="s">
        <v>200</v>
      </c>
      <c r="R119" s="3" t="s">
        <v>200</v>
      </c>
      <c r="S119">
        <v>2</v>
      </c>
      <c r="T119">
        <v>4</v>
      </c>
      <c r="U119">
        <v>2</v>
      </c>
      <c r="V119">
        <v>1</v>
      </c>
      <c r="W119" s="3">
        <v>2</v>
      </c>
      <c r="X119">
        <v>3</v>
      </c>
      <c r="Y119">
        <v>5</v>
      </c>
      <c r="Z119">
        <v>3</v>
      </c>
      <c r="AA119">
        <v>2</v>
      </c>
      <c r="AB119" s="3">
        <v>5</v>
      </c>
      <c r="AC119">
        <v>4</v>
      </c>
      <c r="AD119">
        <v>2</v>
      </c>
      <c r="AE119">
        <v>1</v>
      </c>
      <c r="AF119" s="305">
        <v>1</v>
      </c>
      <c r="AG119" t="s">
        <v>32</v>
      </c>
      <c r="AH119">
        <v>4</v>
      </c>
      <c r="AI119" t="s">
        <v>32</v>
      </c>
      <c r="AJ119" t="s">
        <v>32</v>
      </c>
      <c r="AK119" t="s">
        <v>32</v>
      </c>
      <c r="AL119" t="s">
        <v>32</v>
      </c>
      <c r="AM119" t="s">
        <v>32</v>
      </c>
      <c r="AN119" s="3" t="s">
        <v>32</v>
      </c>
      <c r="AO119">
        <v>1</v>
      </c>
      <c r="AP119">
        <v>1</v>
      </c>
      <c r="AQ119" s="3">
        <v>2</v>
      </c>
      <c r="AR119" t="s">
        <v>32</v>
      </c>
      <c r="AS119" s="3">
        <v>0</v>
      </c>
      <c r="AT119" s="372" t="s">
        <v>199</v>
      </c>
      <c r="AU119" s="22">
        <f t="shared" si="130"/>
        <v>-0.33333333333333326</v>
      </c>
      <c r="AV119" s="23" t="str">
        <f t="shared" si="131"/>
        <v>Minors</v>
      </c>
      <c r="AW119" s="22">
        <f t="shared" si="132"/>
        <v>1.1666666666666665</v>
      </c>
      <c r="AX119" s="22" t="str">
        <f t="shared" si="133"/>
        <v>Minors</v>
      </c>
      <c r="AY119" s="23">
        <f t="shared" si="134"/>
        <v>1.1666666666666665</v>
      </c>
      <c r="AZ119" s="23" t="str">
        <f t="shared" si="135"/>
        <v>Minors</v>
      </c>
      <c r="BA119" s="64">
        <f t="shared" si="136"/>
        <v>0</v>
      </c>
      <c r="BB119" s="65">
        <f t="shared" si="137"/>
        <v>0</v>
      </c>
      <c r="BC119" s="65">
        <f t="shared" si="138"/>
        <v>0</v>
      </c>
      <c r="BD119" s="65">
        <f t="shared" si="139"/>
        <v>0</v>
      </c>
      <c r="BE119" s="65">
        <f t="shared" si="140"/>
        <v>0</v>
      </c>
      <c r="BF119" s="65">
        <f t="shared" si="141"/>
        <v>0</v>
      </c>
      <c r="BG119" s="65">
        <f t="shared" si="142"/>
        <v>0</v>
      </c>
      <c r="BH119" s="65">
        <f t="shared" si="143"/>
        <v>0</v>
      </c>
      <c r="BI119" s="21">
        <f t="shared" si="144"/>
        <v>0</v>
      </c>
      <c r="BJ119" s="64">
        <f t="shared" si="145"/>
        <v>0</v>
      </c>
      <c r="BK119" s="65">
        <f t="shared" si="146"/>
        <v>0</v>
      </c>
      <c r="BL119" s="65">
        <f t="shared" si="147"/>
        <v>0</v>
      </c>
      <c r="BM119" s="65">
        <f t="shared" si="148"/>
        <v>0</v>
      </c>
      <c r="BN119" s="65">
        <f t="shared" si="149"/>
        <v>0</v>
      </c>
      <c r="BO119" s="65">
        <f t="shared" si="150"/>
        <v>0</v>
      </c>
      <c r="BP119" s="65">
        <f t="shared" si="151"/>
        <v>0</v>
      </c>
      <c r="BQ119" s="65">
        <f t="shared" si="152"/>
        <v>0</v>
      </c>
      <c r="BR119" s="21">
        <f t="shared" si="153"/>
        <v>0</v>
      </c>
      <c r="BS119" s="21">
        <f t="shared" si="154"/>
        <v>0</v>
      </c>
      <c r="BT119" s="24">
        <f t="shared" si="155"/>
        <v>0</v>
      </c>
      <c r="BU119" s="20" t="str">
        <f t="shared" si="156"/>
        <v/>
      </c>
      <c r="BV119" s="306" t="e">
        <f>IF(S119="-","-",VLOOKUP($A119,AMABat!$A$10:$AS$1137,BV$9,FALSE)-S119)</f>
        <v>#N/A</v>
      </c>
      <c r="BW119" s="306" t="e">
        <f>IF(T119="-","-",VLOOKUP($A119,AMABat!$A$10:$AS$1137,BW$9,FALSE)-T119)</f>
        <v>#N/A</v>
      </c>
      <c r="BX119" s="306" t="e">
        <f>IF(U119="-","-",VLOOKUP($A119,AMABat!$A$10:$AS$1137,BX$9,FALSE)-U119)</f>
        <v>#N/A</v>
      </c>
      <c r="BY119" s="306" t="e">
        <f>IF(V119="-","-",VLOOKUP($A119,AMABat!$A$10:$AS$1137,BY$9,FALSE)-V119)</f>
        <v>#N/A</v>
      </c>
      <c r="BZ119" s="306" t="e">
        <f>IF(W119="-","-",VLOOKUP($A119,AMABat!$A$10:$AS$1137,BZ$9,FALSE)-W119)</f>
        <v>#N/A</v>
      </c>
      <c r="CA119" s="306" t="e">
        <f>IF(X119="-","-",VLOOKUP($A119,AMABat!$A$10:$AS$1137,CA$9,FALSE)-X119)</f>
        <v>#N/A</v>
      </c>
      <c r="CB119" s="306" t="e">
        <f>IF(Y119="-","-",VLOOKUP($A119,AMABat!$A$10:$AS$1137,CB$9,FALSE)-Y119)</f>
        <v>#N/A</v>
      </c>
      <c r="CC119" s="306" t="e">
        <f>IF(Z119="-","-",VLOOKUP($A119,AMABat!$A$10:$AS$1137,CC$9,FALSE)-Z119)</f>
        <v>#N/A</v>
      </c>
      <c r="CD119" s="306" t="e">
        <f>IF(AA119="-","-",VLOOKUP($A119,AMABat!$A$10:$AS$1137,CD$9,FALSE)-AA119)</f>
        <v>#N/A</v>
      </c>
      <c r="CE119" s="306" t="e">
        <f>IF(AB119="-","-",VLOOKUP($A119,AMABat!$A$10:$AS$1137,CE$9,FALSE)-AB119)</f>
        <v>#N/A</v>
      </c>
      <c r="CF119" s="306" t="e">
        <f>IF(AC119="-","-",VLOOKUP($A119,AMABat!$A$10:$AS$1137,CF$9,FALSE)-AC119)</f>
        <v>#N/A</v>
      </c>
      <c r="CG119" s="306" t="e">
        <f>IF(AD119="-","-",VLOOKUP($A119,AMABat!$A$10:$AS$1137,CG$9,FALSE)-AD119)</f>
        <v>#N/A</v>
      </c>
      <c r="CH119" s="306" t="e">
        <f>IF(AE119="-","-",VLOOKUP($A119,AMABat!$A$10:$AS$1137,CH$9,FALSE)-AE119)</f>
        <v>#N/A</v>
      </c>
      <c r="CI119" s="306" t="str">
        <f>IF(AG119="-","-",VLOOKUP($A119,AMABat!$A$10:$AS$1137,CI$9,FALSE)-AG119)</f>
        <v>-</v>
      </c>
      <c r="CJ119" s="306" t="e">
        <f>IF(AH119="-","-",VLOOKUP($A119,AMABat!$A$10:$AS$1137,CJ$9,FALSE)-AH119)</f>
        <v>#N/A</v>
      </c>
      <c r="CK119" s="306" t="str">
        <f>IF(AI119="-","-",VLOOKUP($A119,AMABat!$A$10:$AS$1137,CK$9,FALSE)-AI119)</f>
        <v>-</v>
      </c>
      <c r="CL119" s="306" t="str">
        <f>IF(AJ119="-","-",VLOOKUP($A119,AMABat!$A$10:$AS$1137,CL$9,FALSE)-AJ119)</f>
        <v>-</v>
      </c>
      <c r="CM119" s="306" t="str">
        <f>IF(AK119="-","-",VLOOKUP($A119,AMABat!$A$10:$AS$1137,CM$9,FALSE)-AK119)</f>
        <v>-</v>
      </c>
      <c r="CN119" s="306" t="str">
        <f>IF(AL119="-","-",VLOOKUP($A119,AMABat!$A$10:$AS$1137,CN$9,FALSE)-AL119)</f>
        <v>-</v>
      </c>
      <c r="CO119" s="306" t="str">
        <f>IF(AM119="-","-",VLOOKUP($A119,AMABat!$A$10:$AS$1137,CO$9,FALSE)-AM119)</f>
        <v>-</v>
      </c>
      <c r="CP119" s="306" t="str">
        <f>IF(AN119="-","-",VLOOKUP($A119,AMABat!$A$10:$AS$1137,CP$9,FALSE)-AN119)</f>
        <v>-</v>
      </c>
      <c r="CQ119" s="306" t="e">
        <f>IF(AO119="-","-",VLOOKUP($A119,AMABat!$A$10:$AS$1137,CQ$9,FALSE)-AO119)</f>
        <v>#N/A</v>
      </c>
      <c r="CR119" s="306" t="e">
        <f>IF(AP119="-","-",VLOOKUP($A119,AMABat!$A$10:$AS$1137,CR$9,FALSE)-AP119)</f>
        <v>#N/A</v>
      </c>
      <c r="CS119" s="306" t="e">
        <f>IF(AQ119="-","-",VLOOKUP($A119,AMABat!$A$10:$AS$1137,CS$9,FALSE)-AQ119)</f>
        <v>#N/A</v>
      </c>
      <c r="CT119" s="306" t="e">
        <f t="shared" si="157"/>
        <v>#N/A</v>
      </c>
      <c r="CU119" s="306" t="e">
        <f t="shared" si="158"/>
        <v>#N/A</v>
      </c>
      <c r="CV119" s="306" t="e">
        <f t="shared" si="159"/>
        <v>#N/A</v>
      </c>
      <c r="CW119" s="306" t="e">
        <f t="shared" si="160"/>
        <v>#N/A</v>
      </c>
      <c r="CX119" s="306" t="e">
        <f t="shared" si="161"/>
        <v>#N/A</v>
      </c>
    </row>
    <row r="120" spans="1:102" x14ac:dyDescent="0.25">
      <c r="A120" s="306" t="str">
        <f t="shared" ref="A120:A124" si="162">H120&amp;" "&amp;I120</f>
        <v>Azhar Gandapur</v>
      </c>
      <c r="B120" s="305"/>
      <c r="C120" s="305"/>
      <c r="D120" s="305" t="str">
        <f t="shared" ref="D120:D124" si="163">IF(BL120=1,3,IF(BM120=1,4,IF(BJ120=1,1,IF(BN120=1,5,IF(BK120=1,2,IF(BO120=1,6,IF(BP120=1,7,IF(BQ120=1,8,IF(BR120=1,9,"-")))))))))</f>
        <v>-</v>
      </c>
      <c r="E120" s="305" t="str">
        <f t="shared" ref="E120:E124" si="164">IF(BC120=1,3,IF(BD120=1,4,IF(BA120=1,1,IF(BE120=1,5,IF(BB120=1,2,IF(BF120=1,6,IF(BG120=1,7,IF(BH120=1,8,IF(BI120=1,9,"-")))))))))</f>
        <v>-</v>
      </c>
      <c r="F120" s="305" t="str">
        <f t="shared" ref="F120:F124" si="165">IF(OR(Q120&gt;7,AND(Q120&gt;4,R120&gt;5)),"K","T")</f>
        <v>K</v>
      </c>
      <c r="G120" t="s">
        <v>73</v>
      </c>
      <c r="H120" t="s">
        <v>893</v>
      </c>
      <c r="I120" s="305" t="s">
        <v>894</v>
      </c>
      <c r="J120" t="s">
        <v>763</v>
      </c>
      <c r="K120" t="s">
        <v>16</v>
      </c>
      <c r="L120">
        <v>18</v>
      </c>
      <c r="M120" t="s">
        <v>82</v>
      </c>
      <c r="N120" t="s">
        <v>82</v>
      </c>
      <c r="O120" t="s">
        <v>816</v>
      </c>
      <c r="P120" s="3" t="s">
        <v>773</v>
      </c>
      <c r="Q120" t="s">
        <v>201</v>
      </c>
      <c r="R120" s="3" t="s">
        <v>199</v>
      </c>
      <c r="S120">
        <v>1</v>
      </c>
      <c r="T120">
        <v>5</v>
      </c>
      <c r="U120">
        <v>2</v>
      </c>
      <c r="V120">
        <v>3</v>
      </c>
      <c r="W120" s="3">
        <v>1</v>
      </c>
      <c r="X120">
        <v>3</v>
      </c>
      <c r="Y120">
        <v>7</v>
      </c>
      <c r="Z120">
        <v>6</v>
      </c>
      <c r="AA120">
        <v>6</v>
      </c>
      <c r="AB120" s="3">
        <v>3</v>
      </c>
      <c r="AC120">
        <v>3</v>
      </c>
      <c r="AD120">
        <v>1</v>
      </c>
      <c r="AE120">
        <v>1</v>
      </c>
      <c r="AF120" s="305">
        <v>1</v>
      </c>
      <c r="AG120" t="s">
        <v>32</v>
      </c>
      <c r="AH120">
        <v>4</v>
      </c>
      <c r="AI120" t="s">
        <v>32</v>
      </c>
      <c r="AJ120" t="s">
        <v>32</v>
      </c>
      <c r="AK120" t="s">
        <v>32</v>
      </c>
      <c r="AL120" t="s">
        <v>32</v>
      </c>
      <c r="AM120" t="s">
        <v>32</v>
      </c>
      <c r="AN120" s="3" t="s">
        <v>32</v>
      </c>
      <c r="AO120">
        <v>2</v>
      </c>
      <c r="AP120">
        <v>3</v>
      </c>
      <c r="AQ120" s="3">
        <v>1</v>
      </c>
      <c r="AR120" t="s">
        <v>32</v>
      </c>
      <c r="AS120" s="3">
        <v>0</v>
      </c>
      <c r="AT120" s="372" t="s">
        <v>199</v>
      </c>
      <c r="AU120" s="22">
        <f t="shared" si="130"/>
        <v>-0.5</v>
      </c>
      <c r="AV120" s="23" t="str">
        <f t="shared" si="131"/>
        <v>Minors</v>
      </c>
      <c r="AW120" s="22">
        <f t="shared" si="132"/>
        <v>3.5</v>
      </c>
      <c r="AX120" s="22" t="str">
        <f t="shared" si="133"/>
        <v>Minors</v>
      </c>
      <c r="AY120" s="23">
        <f t="shared" si="134"/>
        <v>3.5</v>
      </c>
      <c r="AZ120" s="23" t="str">
        <f t="shared" si="135"/>
        <v>Minors</v>
      </c>
      <c r="BA120" s="64">
        <f t="shared" si="136"/>
        <v>0</v>
      </c>
      <c r="BB120" s="65">
        <f t="shared" si="137"/>
        <v>0</v>
      </c>
      <c r="BC120" s="65">
        <f t="shared" si="138"/>
        <v>0</v>
      </c>
      <c r="BD120" s="65">
        <f t="shared" si="139"/>
        <v>0</v>
      </c>
      <c r="BE120" s="65">
        <f t="shared" si="140"/>
        <v>0</v>
      </c>
      <c r="BF120" s="65">
        <f t="shared" si="141"/>
        <v>0</v>
      </c>
      <c r="BG120" s="65">
        <f t="shared" si="142"/>
        <v>0</v>
      </c>
      <c r="BH120" s="65">
        <f t="shared" si="143"/>
        <v>0</v>
      </c>
      <c r="BI120" s="21">
        <f t="shared" si="144"/>
        <v>0</v>
      </c>
      <c r="BJ120" s="64">
        <f t="shared" si="145"/>
        <v>0</v>
      </c>
      <c r="BK120" s="65">
        <f t="shared" si="146"/>
        <v>0</v>
      </c>
      <c r="BL120" s="65">
        <f t="shared" si="147"/>
        <v>0</v>
      </c>
      <c r="BM120" s="65">
        <f t="shared" si="148"/>
        <v>0</v>
      </c>
      <c r="BN120" s="65">
        <f t="shared" si="149"/>
        <v>0</v>
      </c>
      <c r="BO120" s="65">
        <f t="shared" si="150"/>
        <v>0</v>
      </c>
      <c r="BP120" s="65">
        <f t="shared" si="151"/>
        <v>0</v>
      </c>
      <c r="BQ120" s="65">
        <f t="shared" si="152"/>
        <v>0</v>
      </c>
      <c r="BR120" s="21">
        <f t="shared" si="153"/>
        <v>0</v>
      </c>
      <c r="BS120" s="21">
        <f t="shared" si="154"/>
        <v>0</v>
      </c>
      <c r="BT120" s="24">
        <f t="shared" si="155"/>
        <v>0</v>
      </c>
      <c r="BU120" s="20" t="str">
        <f t="shared" si="156"/>
        <v/>
      </c>
      <c r="BV120" s="306" t="e">
        <f>IF(S120="-","-",VLOOKUP($A120,AMABat!$A$10:$AS$1137,BV$9,FALSE)-S120)</f>
        <v>#N/A</v>
      </c>
      <c r="BW120" s="306" t="e">
        <f>IF(T120="-","-",VLOOKUP($A120,AMABat!$A$10:$AS$1137,BW$9,FALSE)-T120)</f>
        <v>#N/A</v>
      </c>
      <c r="BX120" s="306" t="e">
        <f>IF(U120="-","-",VLOOKUP($A120,AMABat!$A$10:$AS$1137,BX$9,FALSE)-U120)</f>
        <v>#N/A</v>
      </c>
      <c r="BY120" s="306" t="e">
        <f>IF(V120="-","-",VLOOKUP($A120,AMABat!$A$10:$AS$1137,BY$9,FALSE)-V120)</f>
        <v>#N/A</v>
      </c>
      <c r="BZ120" s="306" t="e">
        <f>IF(W120="-","-",VLOOKUP($A120,AMABat!$A$10:$AS$1137,BZ$9,FALSE)-W120)</f>
        <v>#N/A</v>
      </c>
      <c r="CA120" s="306" t="e">
        <f>IF(X120="-","-",VLOOKUP($A120,AMABat!$A$10:$AS$1137,CA$9,FALSE)-X120)</f>
        <v>#N/A</v>
      </c>
      <c r="CB120" s="306" t="e">
        <f>IF(Y120="-","-",VLOOKUP($A120,AMABat!$A$10:$AS$1137,CB$9,FALSE)-Y120)</f>
        <v>#N/A</v>
      </c>
      <c r="CC120" s="306" t="e">
        <f>IF(Z120="-","-",VLOOKUP($A120,AMABat!$A$10:$AS$1137,CC$9,FALSE)-Z120)</f>
        <v>#N/A</v>
      </c>
      <c r="CD120" s="306" t="e">
        <f>IF(AA120="-","-",VLOOKUP($A120,AMABat!$A$10:$AS$1137,CD$9,FALSE)-AA120)</f>
        <v>#N/A</v>
      </c>
      <c r="CE120" s="306" t="e">
        <f>IF(AB120="-","-",VLOOKUP($A120,AMABat!$A$10:$AS$1137,CE$9,FALSE)-AB120)</f>
        <v>#N/A</v>
      </c>
      <c r="CF120" s="306" t="e">
        <f>IF(AC120="-","-",VLOOKUP($A120,AMABat!$A$10:$AS$1137,CF$9,FALSE)-AC120)</f>
        <v>#N/A</v>
      </c>
      <c r="CG120" s="306" t="e">
        <f>IF(AD120="-","-",VLOOKUP($A120,AMABat!$A$10:$AS$1137,CG$9,FALSE)-AD120)</f>
        <v>#N/A</v>
      </c>
      <c r="CH120" s="306" t="e">
        <f>IF(AE120="-","-",VLOOKUP($A120,AMABat!$A$10:$AS$1137,CH$9,FALSE)-AE120)</f>
        <v>#N/A</v>
      </c>
      <c r="CI120" s="306" t="str">
        <f>IF(AG120="-","-",VLOOKUP($A120,AMABat!$A$10:$AS$1137,CI$9,FALSE)-AG120)</f>
        <v>-</v>
      </c>
      <c r="CJ120" s="306" t="e">
        <f>IF(AH120="-","-",VLOOKUP($A120,AMABat!$A$10:$AS$1137,CJ$9,FALSE)-AH120)</f>
        <v>#N/A</v>
      </c>
      <c r="CK120" s="306" t="str">
        <f>IF(AI120="-","-",VLOOKUP($A120,AMABat!$A$10:$AS$1137,CK$9,FALSE)-AI120)</f>
        <v>-</v>
      </c>
      <c r="CL120" s="306" t="str">
        <f>IF(AJ120="-","-",VLOOKUP($A120,AMABat!$A$10:$AS$1137,CL$9,FALSE)-AJ120)</f>
        <v>-</v>
      </c>
      <c r="CM120" s="306" t="str">
        <f>IF(AK120="-","-",VLOOKUP($A120,AMABat!$A$10:$AS$1137,CM$9,FALSE)-AK120)</f>
        <v>-</v>
      </c>
      <c r="CN120" s="306" t="str">
        <f>IF(AL120="-","-",VLOOKUP($A120,AMABat!$A$10:$AS$1137,CN$9,FALSE)-AL120)</f>
        <v>-</v>
      </c>
      <c r="CO120" s="306" t="str">
        <f>IF(AM120="-","-",VLOOKUP($A120,AMABat!$A$10:$AS$1137,CO$9,FALSE)-AM120)</f>
        <v>-</v>
      </c>
      <c r="CP120" s="306" t="str">
        <f>IF(AN120="-","-",VLOOKUP($A120,AMABat!$A$10:$AS$1137,CP$9,FALSE)-AN120)</f>
        <v>-</v>
      </c>
      <c r="CQ120" s="306" t="e">
        <f>IF(AO120="-","-",VLOOKUP($A120,AMABat!$A$10:$AS$1137,CQ$9,FALSE)-AO120)</f>
        <v>#N/A</v>
      </c>
      <c r="CR120" s="306" t="e">
        <f>IF(AP120="-","-",VLOOKUP($A120,AMABat!$A$10:$AS$1137,CR$9,FALSE)-AP120)</f>
        <v>#N/A</v>
      </c>
      <c r="CS120" s="306" t="e">
        <f>IF(AQ120="-","-",VLOOKUP($A120,AMABat!$A$10:$AS$1137,CS$9,FALSE)-AQ120)</f>
        <v>#N/A</v>
      </c>
      <c r="CT120" s="306" t="e">
        <f t="shared" si="157"/>
        <v>#N/A</v>
      </c>
      <c r="CU120" s="306" t="e">
        <f t="shared" si="158"/>
        <v>#N/A</v>
      </c>
      <c r="CV120" s="306" t="e">
        <f t="shared" si="159"/>
        <v>#N/A</v>
      </c>
      <c r="CW120" s="306" t="e">
        <f t="shared" si="160"/>
        <v>#N/A</v>
      </c>
      <c r="CX120" s="306" t="e">
        <f t="shared" si="161"/>
        <v>#N/A</v>
      </c>
    </row>
    <row r="121" spans="1:102" x14ac:dyDescent="0.25">
      <c r="A121" s="306" t="str">
        <f t="shared" si="162"/>
        <v>Jimmy Bettini</v>
      </c>
      <c r="B121" s="305"/>
      <c r="C121" s="305"/>
      <c r="D121" s="305" t="str">
        <f t="shared" si="163"/>
        <v>-</v>
      </c>
      <c r="E121" s="305" t="str">
        <f t="shared" si="164"/>
        <v>-</v>
      </c>
      <c r="F121" s="305" t="str">
        <f t="shared" si="165"/>
        <v>K</v>
      </c>
      <c r="G121" t="s">
        <v>73</v>
      </c>
      <c r="H121" t="s">
        <v>727</v>
      </c>
      <c r="I121" s="305" t="s">
        <v>886</v>
      </c>
      <c r="J121" t="s">
        <v>763</v>
      </c>
      <c r="K121" t="s">
        <v>16</v>
      </c>
      <c r="L121">
        <v>19</v>
      </c>
      <c r="M121" t="s">
        <v>82</v>
      </c>
      <c r="N121" t="s">
        <v>82</v>
      </c>
      <c r="O121" t="s">
        <v>816</v>
      </c>
      <c r="P121" s="3" t="s">
        <v>808</v>
      </c>
      <c r="Q121" t="s">
        <v>201</v>
      </c>
      <c r="R121" s="3" t="s">
        <v>200</v>
      </c>
      <c r="S121">
        <v>1</v>
      </c>
      <c r="T121">
        <v>4</v>
      </c>
      <c r="U121">
        <v>2</v>
      </c>
      <c r="V121">
        <v>3</v>
      </c>
      <c r="W121" s="3">
        <v>1</v>
      </c>
      <c r="X121">
        <v>3</v>
      </c>
      <c r="Y121">
        <v>5</v>
      </c>
      <c r="Z121">
        <v>4</v>
      </c>
      <c r="AA121">
        <v>6</v>
      </c>
      <c r="AB121" s="3">
        <v>3</v>
      </c>
      <c r="AC121">
        <v>3</v>
      </c>
      <c r="AD121">
        <v>3</v>
      </c>
      <c r="AE121">
        <v>1</v>
      </c>
      <c r="AF121" s="305">
        <v>1</v>
      </c>
      <c r="AG121" t="s">
        <v>32</v>
      </c>
      <c r="AH121">
        <v>4</v>
      </c>
      <c r="AI121" t="s">
        <v>32</v>
      </c>
      <c r="AJ121" t="s">
        <v>32</v>
      </c>
      <c r="AK121" t="s">
        <v>32</v>
      </c>
      <c r="AL121" t="s">
        <v>32</v>
      </c>
      <c r="AM121" t="s">
        <v>32</v>
      </c>
      <c r="AN121" s="3" t="s">
        <v>32</v>
      </c>
      <c r="AO121">
        <v>2</v>
      </c>
      <c r="AP121">
        <v>2</v>
      </c>
      <c r="AQ121" s="3">
        <v>1</v>
      </c>
      <c r="AR121" t="s">
        <v>32</v>
      </c>
      <c r="AS121" s="3">
        <v>0</v>
      </c>
      <c r="AT121" s="372" t="s">
        <v>529</v>
      </c>
      <c r="AU121" s="22">
        <f t="shared" si="130"/>
        <v>-0.5</v>
      </c>
      <c r="AV121" s="23" t="str">
        <f t="shared" si="131"/>
        <v>Minors</v>
      </c>
      <c r="AW121" s="22">
        <f t="shared" si="132"/>
        <v>2.833333333333333</v>
      </c>
      <c r="AX121" s="22" t="str">
        <f t="shared" si="133"/>
        <v>Minors</v>
      </c>
      <c r="AY121" s="23">
        <f t="shared" si="134"/>
        <v>2.833333333333333</v>
      </c>
      <c r="AZ121" s="23" t="str">
        <f t="shared" si="135"/>
        <v>Minors</v>
      </c>
      <c r="BA121" s="64">
        <f t="shared" si="136"/>
        <v>0</v>
      </c>
      <c r="BB121" s="65">
        <f t="shared" si="137"/>
        <v>0</v>
      </c>
      <c r="BC121" s="65">
        <f t="shared" si="138"/>
        <v>0</v>
      </c>
      <c r="BD121" s="65">
        <f t="shared" si="139"/>
        <v>0</v>
      </c>
      <c r="BE121" s="65">
        <f t="shared" si="140"/>
        <v>0</v>
      </c>
      <c r="BF121" s="65">
        <f t="shared" si="141"/>
        <v>0</v>
      </c>
      <c r="BG121" s="65">
        <f t="shared" si="142"/>
        <v>0</v>
      </c>
      <c r="BH121" s="65">
        <f t="shared" si="143"/>
        <v>0</v>
      </c>
      <c r="BI121" s="21">
        <f t="shared" si="144"/>
        <v>0</v>
      </c>
      <c r="BJ121" s="64">
        <f t="shared" si="145"/>
        <v>0</v>
      </c>
      <c r="BK121" s="65">
        <f t="shared" si="146"/>
        <v>0</v>
      </c>
      <c r="BL121" s="65">
        <f t="shared" si="147"/>
        <v>0</v>
      </c>
      <c r="BM121" s="65">
        <f t="shared" si="148"/>
        <v>0</v>
      </c>
      <c r="BN121" s="65">
        <f t="shared" si="149"/>
        <v>0</v>
      </c>
      <c r="BO121" s="65">
        <f t="shared" si="150"/>
        <v>0</v>
      </c>
      <c r="BP121" s="65">
        <f t="shared" si="151"/>
        <v>0</v>
      </c>
      <c r="BQ121" s="65">
        <f t="shared" si="152"/>
        <v>0</v>
      </c>
      <c r="BR121" s="21">
        <f t="shared" si="153"/>
        <v>0</v>
      </c>
      <c r="BS121" s="21">
        <f t="shared" si="154"/>
        <v>0</v>
      </c>
      <c r="BT121" s="24">
        <f t="shared" si="155"/>
        <v>0</v>
      </c>
      <c r="BU121" s="20" t="str">
        <f t="shared" si="156"/>
        <v/>
      </c>
      <c r="BV121" s="306">
        <f>IF(S121="-","-",VLOOKUP($A121,AMABat!$A$10:$AS$1137,BV$9,FALSE)-S121)</f>
        <v>1</v>
      </c>
      <c r="BW121" s="306">
        <f>IF(T121="-","-",VLOOKUP($A121,AMABat!$A$10:$AS$1137,BW$9,FALSE)-T121)</f>
        <v>1</v>
      </c>
      <c r="BX121" s="306">
        <f>IF(U121="-","-",VLOOKUP($A121,AMABat!$A$10:$AS$1137,BX$9,FALSE)-U121)</f>
        <v>0</v>
      </c>
      <c r="BY121" s="306">
        <f>IF(V121="-","-",VLOOKUP($A121,AMABat!$A$10:$AS$1137,BY$9,FALSE)-V121)</f>
        <v>2</v>
      </c>
      <c r="BZ121" s="306">
        <f>IF(W121="-","-",VLOOKUP($A121,AMABat!$A$10:$AS$1137,BZ$9,FALSE)-W121)</f>
        <v>0</v>
      </c>
      <c r="CA121" s="306">
        <f>IF(X121="-","-",VLOOKUP($A121,AMABat!$A$10:$AS$1137,CA$9,FALSE)-X121)</f>
        <v>0</v>
      </c>
      <c r="CB121" s="306">
        <f>IF(Y121="-","-",VLOOKUP($A121,AMABat!$A$10:$AS$1137,CB$9,FALSE)-Y121)</f>
        <v>0</v>
      </c>
      <c r="CC121" s="306">
        <f>IF(Z121="-","-",VLOOKUP($A121,AMABat!$A$10:$AS$1137,CC$9,FALSE)-Z121)</f>
        <v>0</v>
      </c>
      <c r="CD121" s="306">
        <f>IF(AA121="-","-",VLOOKUP($A121,AMABat!$A$10:$AS$1137,CD$9,FALSE)-AA121)</f>
        <v>1</v>
      </c>
      <c r="CE121" s="306">
        <f>IF(AB121="-","-",VLOOKUP($A121,AMABat!$A$10:$AS$1137,CE$9,FALSE)-AB121)</f>
        <v>0</v>
      </c>
      <c r="CF121" s="306">
        <f>IF(AC121="-","-",VLOOKUP($A121,AMABat!$A$10:$AS$1137,CF$9,FALSE)-AC121)</f>
        <v>0</v>
      </c>
      <c r="CG121" s="306">
        <f>IF(AD121="-","-",VLOOKUP($A121,AMABat!$A$10:$AS$1137,CG$9,FALSE)-AD121)</f>
        <v>0</v>
      </c>
      <c r="CH121" s="306">
        <f>IF(AE121="-","-",VLOOKUP($A121,AMABat!$A$10:$AS$1137,CH$9,FALSE)-AE121)</f>
        <v>0</v>
      </c>
      <c r="CI121" s="306" t="str">
        <f>IF(AG121="-","-",VLOOKUP($A121,AMABat!$A$10:$AS$1137,CI$9,FALSE)-AG121)</f>
        <v>-</v>
      </c>
      <c r="CJ121" s="306" t="e">
        <f>IF(AH121="-","-",VLOOKUP($A121,AMABat!$A$10:$AS$1137,CJ$9,FALSE)-AH121)</f>
        <v>#VALUE!</v>
      </c>
      <c r="CK121" s="306" t="str">
        <f>IF(AI121="-","-",VLOOKUP($A121,AMABat!$A$10:$AS$1137,CK$9,FALSE)-AI121)</f>
        <v>-</v>
      </c>
      <c r="CL121" s="306" t="str">
        <f>IF(AJ121="-","-",VLOOKUP($A121,AMABat!$A$10:$AS$1137,CL$9,FALSE)-AJ121)</f>
        <v>-</v>
      </c>
      <c r="CM121" s="306" t="str">
        <f>IF(AK121="-","-",VLOOKUP($A121,AMABat!$A$10:$AS$1137,CM$9,FALSE)-AK121)</f>
        <v>-</v>
      </c>
      <c r="CN121" s="306" t="str">
        <f>IF(AL121="-","-",VLOOKUP($A121,AMABat!$A$10:$AS$1137,CN$9,FALSE)-AL121)</f>
        <v>-</v>
      </c>
      <c r="CO121" s="306" t="str">
        <f>IF(AM121="-","-",VLOOKUP($A121,AMABat!$A$10:$AS$1137,CO$9,FALSE)-AM121)</f>
        <v>-</v>
      </c>
      <c r="CP121" s="306" t="str">
        <f>IF(AN121="-","-",VLOOKUP($A121,AMABat!$A$10:$AS$1137,CP$9,FALSE)-AN121)</f>
        <v>-</v>
      </c>
      <c r="CQ121" s="306" t="e">
        <f>IF(AO121="-","-",VLOOKUP($A121,AMABat!$A$10:$AS$1137,CQ$9,FALSE)-AO121)</f>
        <v>#VALUE!</v>
      </c>
      <c r="CR121" s="306">
        <f>IF(AP121="-","-",VLOOKUP($A121,AMABat!$A$10:$AS$1137,CR$9,FALSE)-AP121)</f>
        <v>0</v>
      </c>
      <c r="CS121" s="306">
        <f>IF(AQ121="-","-",VLOOKUP($A121,AMABat!$A$10:$AS$1137,CS$9,FALSE)-AQ121)</f>
        <v>1</v>
      </c>
      <c r="CT121" s="306">
        <f t="shared" si="157"/>
        <v>4</v>
      </c>
      <c r="CU121" s="306">
        <f t="shared" si="158"/>
        <v>1</v>
      </c>
      <c r="CV121" s="306" t="e">
        <f t="shared" si="159"/>
        <v>#VALUE!</v>
      </c>
      <c r="CW121" s="306" t="e">
        <f t="shared" si="160"/>
        <v>#VALUE!</v>
      </c>
      <c r="CX121" s="306" t="e">
        <f t="shared" si="161"/>
        <v>#VALUE!</v>
      </c>
    </row>
    <row r="122" spans="1:102" x14ac:dyDescent="0.25">
      <c r="A122" s="306" t="str">
        <f t="shared" si="162"/>
        <v>Gabriel Macías</v>
      </c>
      <c r="B122" s="305"/>
      <c r="C122" s="305"/>
      <c r="D122" s="305" t="str">
        <f t="shared" si="163"/>
        <v>-</v>
      </c>
      <c r="E122" s="305" t="str">
        <f t="shared" si="164"/>
        <v>-</v>
      </c>
      <c r="F122" s="305" t="str">
        <f t="shared" si="165"/>
        <v>K</v>
      </c>
      <c r="G122" t="s">
        <v>75</v>
      </c>
      <c r="H122" t="s">
        <v>500</v>
      </c>
      <c r="I122" s="305" t="s">
        <v>899</v>
      </c>
      <c r="J122" t="s">
        <v>763</v>
      </c>
      <c r="K122" t="s">
        <v>16</v>
      </c>
      <c r="L122">
        <v>18</v>
      </c>
      <c r="M122" t="s">
        <v>85</v>
      </c>
      <c r="N122" t="s">
        <v>83</v>
      </c>
      <c r="O122" t="s">
        <v>816</v>
      </c>
      <c r="P122" s="3" t="s">
        <v>773</v>
      </c>
      <c r="Q122" t="s">
        <v>199</v>
      </c>
      <c r="R122" s="3" t="s">
        <v>200</v>
      </c>
      <c r="S122">
        <v>1</v>
      </c>
      <c r="T122">
        <v>2</v>
      </c>
      <c r="U122">
        <v>2</v>
      </c>
      <c r="V122">
        <v>2</v>
      </c>
      <c r="W122" s="3">
        <v>1</v>
      </c>
      <c r="X122">
        <v>3</v>
      </c>
      <c r="Y122">
        <v>5</v>
      </c>
      <c r="Z122">
        <v>6</v>
      </c>
      <c r="AA122">
        <v>5</v>
      </c>
      <c r="AB122" s="3">
        <v>2</v>
      </c>
      <c r="AC122">
        <v>9</v>
      </c>
      <c r="AD122">
        <v>9</v>
      </c>
      <c r="AE122">
        <v>1</v>
      </c>
      <c r="AF122" s="305">
        <v>1</v>
      </c>
      <c r="AG122" t="s">
        <v>32</v>
      </c>
      <c r="AH122">
        <v>2</v>
      </c>
      <c r="AI122" t="s">
        <v>32</v>
      </c>
      <c r="AJ122">
        <v>2</v>
      </c>
      <c r="AK122" t="s">
        <v>32</v>
      </c>
      <c r="AL122">
        <v>2</v>
      </c>
      <c r="AM122" t="s">
        <v>32</v>
      </c>
      <c r="AN122" s="3">
        <v>1</v>
      </c>
      <c r="AO122">
        <v>3</v>
      </c>
      <c r="AP122">
        <v>3</v>
      </c>
      <c r="AQ122" s="3">
        <v>3</v>
      </c>
      <c r="AR122" t="s">
        <v>32</v>
      </c>
      <c r="AS122" s="3" t="s">
        <v>33</v>
      </c>
      <c r="AT122" s="372" t="s">
        <v>199</v>
      </c>
      <c r="AU122" s="22">
        <f t="shared" si="130"/>
        <v>-0.83333333333333326</v>
      </c>
      <c r="AV122" s="23" t="str">
        <f t="shared" si="131"/>
        <v>Minors</v>
      </c>
      <c r="AW122" s="22">
        <f t="shared" si="132"/>
        <v>3.166666666666667</v>
      </c>
      <c r="AX122" s="22" t="str">
        <f t="shared" si="133"/>
        <v>Minors</v>
      </c>
      <c r="AY122" s="23">
        <f t="shared" si="134"/>
        <v>3.166666666666667</v>
      </c>
      <c r="AZ122" s="23" t="str">
        <f t="shared" si="135"/>
        <v>Minors</v>
      </c>
      <c r="BA122" s="64">
        <f t="shared" si="136"/>
        <v>0</v>
      </c>
      <c r="BB122" s="65">
        <f t="shared" si="137"/>
        <v>0</v>
      </c>
      <c r="BC122" s="65">
        <f t="shared" si="138"/>
        <v>0</v>
      </c>
      <c r="BD122" s="65">
        <f t="shared" si="139"/>
        <v>0</v>
      </c>
      <c r="BE122" s="65">
        <f t="shared" si="140"/>
        <v>0</v>
      </c>
      <c r="BF122" s="65">
        <f t="shared" si="141"/>
        <v>0</v>
      </c>
      <c r="BG122" s="65">
        <f t="shared" si="142"/>
        <v>0</v>
      </c>
      <c r="BH122" s="65">
        <f t="shared" si="143"/>
        <v>0</v>
      </c>
      <c r="BI122" s="21">
        <f t="shared" si="144"/>
        <v>0</v>
      </c>
      <c r="BJ122" s="64">
        <f t="shared" si="145"/>
        <v>0</v>
      </c>
      <c r="BK122" s="65">
        <f t="shared" si="146"/>
        <v>0</v>
      </c>
      <c r="BL122" s="65">
        <f t="shared" si="147"/>
        <v>0</v>
      </c>
      <c r="BM122" s="65">
        <f t="shared" si="148"/>
        <v>0</v>
      </c>
      <c r="BN122" s="65">
        <f t="shared" si="149"/>
        <v>0</v>
      </c>
      <c r="BO122" s="65">
        <f t="shared" si="150"/>
        <v>0</v>
      </c>
      <c r="BP122" s="65">
        <f t="shared" si="151"/>
        <v>0</v>
      </c>
      <c r="BQ122" s="65">
        <f t="shared" si="152"/>
        <v>0</v>
      </c>
      <c r="BR122" s="21">
        <f t="shared" si="153"/>
        <v>0</v>
      </c>
      <c r="BS122" s="21">
        <f t="shared" si="154"/>
        <v>0</v>
      </c>
      <c r="BT122" s="24">
        <f t="shared" si="155"/>
        <v>0</v>
      </c>
      <c r="BU122" s="20" t="str">
        <f t="shared" si="156"/>
        <v/>
      </c>
      <c r="BV122" s="306" t="e">
        <f>IF(S122="-","-",VLOOKUP($A122,AMABat!$A$10:$AS$1137,BV$9,FALSE)-S122)</f>
        <v>#N/A</v>
      </c>
      <c r="BW122" s="306" t="e">
        <f>IF(T122="-","-",VLOOKUP($A122,AMABat!$A$10:$AS$1137,BW$9,FALSE)-T122)</f>
        <v>#N/A</v>
      </c>
      <c r="BX122" s="306" t="e">
        <f>IF(U122="-","-",VLOOKUP($A122,AMABat!$A$10:$AS$1137,BX$9,FALSE)-U122)</f>
        <v>#N/A</v>
      </c>
      <c r="BY122" s="306" t="e">
        <f>IF(V122="-","-",VLOOKUP($A122,AMABat!$A$10:$AS$1137,BY$9,FALSE)-V122)</f>
        <v>#N/A</v>
      </c>
      <c r="BZ122" s="306" t="e">
        <f>IF(W122="-","-",VLOOKUP($A122,AMABat!$A$10:$AS$1137,BZ$9,FALSE)-W122)</f>
        <v>#N/A</v>
      </c>
      <c r="CA122" s="306" t="e">
        <f>IF(X122="-","-",VLOOKUP($A122,AMABat!$A$10:$AS$1137,CA$9,FALSE)-X122)</f>
        <v>#N/A</v>
      </c>
      <c r="CB122" s="306" t="e">
        <f>IF(Y122="-","-",VLOOKUP($A122,AMABat!$A$10:$AS$1137,CB$9,FALSE)-Y122)</f>
        <v>#N/A</v>
      </c>
      <c r="CC122" s="306" t="e">
        <f>IF(Z122="-","-",VLOOKUP($A122,AMABat!$A$10:$AS$1137,CC$9,FALSE)-Z122)</f>
        <v>#N/A</v>
      </c>
      <c r="CD122" s="306" t="e">
        <f>IF(AA122="-","-",VLOOKUP($A122,AMABat!$A$10:$AS$1137,CD$9,FALSE)-AA122)</f>
        <v>#N/A</v>
      </c>
      <c r="CE122" s="306" t="e">
        <f>IF(AB122="-","-",VLOOKUP($A122,AMABat!$A$10:$AS$1137,CE$9,FALSE)-AB122)</f>
        <v>#N/A</v>
      </c>
      <c r="CF122" s="306" t="e">
        <f>IF(AC122="-","-",VLOOKUP($A122,AMABat!$A$10:$AS$1137,CF$9,FALSE)-AC122)</f>
        <v>#N/A</v>
      </c>
      <c r="CG122" s="306" t="e">
        <f>IF(AD122="-","-",VLOOKUP($A122,AMABat!$A$10:$AS$1137,CG$9,FALSE)-AD122)</f>
        <v>#N/A</v>
      </c>
      <c r="CH122" s="306" t="e">
        <f>IF(AE122="-","-",VLOOKUP($A122,AMABat!$A$10:$AS$1137,CH$9,FALSE)-AE122)</f>
        <v>#N/A</v>
      </c>
      <c r="CI122" s="306" t="str">
        <f>IF(AG122="-","-",VLOOKUP($A122,AMABat!$A$10:$AS$1137,CI$9,FALSE)-AG122)</f>
        <v>-</v>
      </c>
      <c r="CJ122" s="306" t="e">
        <f>IF(AH122="-","-",VLOOKUP($A122,AMABat!$A$10:$AS$1137,CJ$9,FALSE)-AH122)</f>
        <v>#N/A</v>
      </c>
      <c r="CK122" s="306" t="str">
        <f>IF(AI122="-","-",VLOOKUP($A122,AMABat!$A$10:$AS$1137,CK$9,FALSE)-AI122)</f>
        <v>-</v>
      </c>
      <c r="CL122" s="306" t="e">
        <f>IF(AJ122="-","-",VLOOKUP($A122,AMABat!$A$10:$AS$1137,CL$9,FALSE)-AJ122)</f>
        <v>#N/A</v>
      </c>
      <c r="CM122" s="306" t="str">
        <f>IF(AK122="-","-",VLOOKUP($A122,AMABat!$A$10:$AS$1137,CM$9,FALSE)-AK122)</f>
        <v>-</v>
      </c>
      <c r="CN122" s="306" t="e">
        <f>IF(AL122="-","-",VLOOKUP($A122,AMABat!$A$10:$AS$1137,CN$9,FALSE)-AL122)</f>
        <v>#N/A</v>
      </c>
      <c r="CO122" s="306" t="str">
        <f>IF(AM122="-","-",VLOOKUP($A122,AMABat!$A$10:$AS$1137,CO$9,FALSE)-AM122)</f>
        <v>-</v>
      </c>
      <c r="CP122" s="306" t="e">
        <f>IF(AN122="-","-",VLOOKUP($A122,AMABat!$A$10:$AS$1137,CP$9,FALSE)-AN122)</f>
        <v>#N/A</v>
      </c>
      <c r="CQ122" s="306" t="e">
        <f>IF(AO122="-","-",VLOOKUP($A122,AMABat!$A$10:$AS$1137,CQ$9,FALSE)-AO122)</f>
        <v>#N/A</v>
      </c>
      <c r="CR122" s="306" t="e">
        <f>IF(AP122="-","-",VLOOKUP($A122,AMABat!$A$10:$AS$1137,CR$9,FALSE)-AP122)</f>
        <v>#N/A</v>
      </c>
      <c r="CS122" s="306" t="e">
        <f>IF(AQ122="-","-",VLOOKUP($A122,AMABat!$A$10:$AS$1137,CS$9,FALSE)-AQ122)</f>
        <v>#N/A</v>
      </c>
      <c r="CT122" s="306" t="e">
        <f t="shared" si="157"/>
        <v>#N/A</v>
      </c>
      <c r="CU122" s="306" t="e">
        <f t="shared" si="158"/>
        <v>#N/A</v>
      </c>
      <c r="CV122" s="306" t="e">
        <f t="shared" si="159"/>
        <v>#N/A</v>
      </c>
      <c r="CW122" s="306" t="e">
        <f t="shared" si="160"/>
        <v>#N/A</v>
      </c>
      <c r="CX122" s="306" t="e">
        <f t="shared" si="161"/>
        <v>#N/A</v>
      </c>
    </row>
    <row r="123" spans="1:102" x14ac:dyDescent="0.25">
      <c r="A123" s="306" t="str">
        <f t="shared" si="162"/>
        <v>Felipe Camacho</v>
      </c>
      <c r="B123" s="305"/>
      <c r="C123" s="305"/>
      <c r="D123" s="305" t="str">
        <f t="shared" si="163"/>
        <v>-</v>
      </c>
      <c r="E123" s="305" t="str">
        <f t="shared" si="164"/>
        <v>-</v>
      </c>
      <c r="F123" s="305" t="str">
        <f t="shared" si="165"/>
        <v>K</v>
      </c>
      <c r="G123" t="s">
        <v>71</v>
      </c>
      <c r="H123" t="s">
        <v>502</v>
      </c>
      <c r="I123" s="305" t="s">
        <v>418</v>
      </c>
      <c r="J123" t="s">
        <v>810</v>
      </c>
      <c r="K123" t="s">
        <v>83</v>
      </c>
      <c r="L123">
        <v>18</v>
      </c>
      <c r="M123" t="s">
        <v>85</v>
      </c>
      <c r="N123" t="s">
        <v>83</v>
      </c>
      <c r="O123" t="s">
        <v>816</v>
      </c>
      <c r="P123" s="3" t="s">
        <v>808</v>
      </c>
      <c r="Q123" t="s">
        <v>200</v>
      </c>
      <c r="R123" s="3" t="s">
        <v>201</v>
      </c>
      <c r="S123">
        <v>1</v>
      </c>
      <c r="T123">
        <v>2</v>
      </c>
      <c r="U123">
        <v>2</v>
      </c>
      <c r="V123">
        <v>2</v>
      </c>
      <c r="W123" s="3">
        <v>1</v>
      </c>
      <c r="X123">
        <v>3</v>
      </c>
      <c r="Y123">
        <v>4</v>
      </c>
      <c r="Z123">
        <v>3</v>
      </c>
      <c r="AA123">
        <v>6</v>
      </c>
      <c r="AB123" s="3">
        <v>2</v>
      </c>
      <c r="AC123">
        <v>4</v>
      </c>
      <c r="AD123">
        <v>4</v>
      </c>
      <c r="AE123">
        <v>5</v>
      </c>
      <c r="AF123" s="305">
        <v>5</v>
      </c>
      <c r="AG123" t="s">
        <v>32</v>
      </c>
      <c r="AH123" t="s">
        <v>32</v>
      </c>
      <c r="AI123" t="s">
        <v>32</v>
      </c>
      <c r="AJ123" t="s">
        <v>32</v>
      </c>
      <c r="AK123" t="s">
        <v>32</v>
      </c>
      <c r="AL123" t="s">
        <v>32</v>
      </c>
      <c r="AM123" t="s">
        <v>32</v>
      </c>
      <c r="AN123" s="3" t="s">
        <v>32</v>
      </c>
      <c r="AO123">
        <v>1</v>
      </c>
      <c r="AP123">
        <v>1</v>
      </c>
      <c r="AQ123" s="3">
        <v>1</v>
      </c>
      <c r="AR123" t="s">
        <v>32</v>
      </c>
      <c r="AS123" s="3" t="s">
        <v>33</v>
      </c>
      <c r="AT123" s="372" t="s">
        <v>199</v>
      </c>
      <c r="AU123" s="22">
        <f t="shared" si="130"/>
        <v>-0.83333333333333326</v>
      </c>
      <c r="AV123" s="23" t="str">
        <f t="shared" si="131"/>
        <v>Minors</v>
      </c>
      <c r="AW123" s="22">
        <f t="shared" si="132"/>
        <v>2.5</v>
      </c>
      <c r="AX123" s="22" t="str">
        <f t="shared" si="133"/>
        <v>Minors</v>
      </c>
      <c r="AY123" s="23">
        <f t="shared" si="134"/>
        <v>2.5</v>
      </c>
      <c r="AZ123" s="23" t="str">
        <f t="shared" si="135"/>
        <v>Minors</v>
      </c>
      <c r="BA123" s="64">
        <f t="shared" si="136"/>
        <v>0</v>
      </c>
      <c r="BB123" s="65">
        <f t="shared" si="137"/>
        <v>0</v>
      </c>
      <c r="BC123" s="65">
        <f t="shared" si="138"/>
        <v>0</v>
      </c>
      <c r="BD123" s="65">
        <f t="shared" si="139"/>
        <v>0</v>
      </c>
      <c r="BE123" s="65">
        <f t="shared" si="140"/>
        <v>0</v>
      </c>
      <c r="BF123" s="65">
        <f t="shared" si="141"/>
        <v>0</v>
      </c>
      <c r="BG123" s="65">
        <f t="shared" si="142"/>
        <v>0</v>
      </c>
      <c r="BH123" s="65">
        <f t="shared" si="143"/>
        <v>0</v>
      </c>
      <c r="BI123" s="21">
        <f t="shared" si="144"/>
        <v>0</v>
      </c>
      <c r="BJ123" s="64">
        <f t="shared" si="145"/>
        <v>0</v>
      </c>
      <c r="BK123" s="65">
        <f t="shared" si="146"/>
        <v>0</v>
      </c>
      <c r="BL123" s="65">
        <f t="shared" si="147"/>
        <v>0</v>
      </c>
      <c r="BM123" s="65">
        <f t="shared" si="148"/>
        <v>0</v>
      </c>
      <c r="BN123" s="65">
        <f t="shared" si="149"/>
        <v>0</v>
      </c>
      <c r="BO123" s="65">
        <f t="shared" si="150"/>
        <v>0</v>
      </c>
      <c r="BP123" s="65">
        <f t="shared" si="151"/>
        <v>0</v>
      </c>
      <c r="BQ123" s="65">
        <f t="shared" si="152"/>
        <v>0</v>
      </c>
      <c r="BR123" s="21">
        <f t="shared" si="153"/>
        <v>0</v>
      </c>
      <c r="BS123" s="21">
        <f t="shared" si="154"/>
        <v>0</v>
      </c>
      <c r="BT123" s="24">
        <f t="shared" si="155"/>
        <v>0</v>
      </c>
      <c r="BU123" s="20" t="str">
        <f t="shared" si="156"/>
        <v/>
      </c>
      <c r="BV123" s="306" t="e">
        <f>IF(S123="-","-",VLOOKUP($A123,AMABat!$A$10:$AS$1137,BV$9,FALSE)-S123)</f>
        <v>#N/A</v>
      </c>
      <c r="BW123" s="306" t="e">
        <f>IF(T123="-","-",VLOOKUP($A123,AMABat!$A$10:$AS$1137,BW$9,FALSE)-T123)</f>
        <v>#N/A</v>
      </c>
      <c r="BX123" s="306" t="e">
        <f>IF(U123="-","-",VLOOKUP($A123,AMABat!$A$10:$AS$1137,BX$9,FALSE)-U123)</f>
        <v>#N/A</v>
      </c>
      <c r="BY123" s="306" t="e">
        <f>IF(V123="-","-",VLOOKUP($A123,AMABat!$A$10:$AS$1137,BY$9,FALSE)-V123)</f>
        <v>#N/A</v>
      </c>
      <c r="BZ123" s="306" t="e">
        <f>IF(W123="-","-",VLOOKUP($A123,AMABat!$A$10:$AS$1137,BZ$9,FALSE)-W123)</f>
        <v>#N/A</v>
      </c>
      <c r="CA123" s="306" t="e">
        <f>IF(X123="-","-",VLOOKUP($A123,AMABat!$A$10:$AS$1137,CA$9,FALSE)-X123)</f>
        <v>#N/A</v>
      </c>
      <c r="CB123" s="306" t="e">
        <f>IF(Y123="-","-",VLOOKUP($A123,AMABat!$A$10:$AS$1137,CB$9,FALSE)-Y123)</f>
        <v>#N/A</v>
      </c>
      <c r="CC123" s="306" t="e">
        <f>IF(Z123="-","-",VLOOKUP($A123,AMABat!$A$10:$AS$1137,CC$9,FALSE)-Z123)</f>
        <v>#N/A</v>
      </c>
      <c r="CD123" s="306" t="e">
        <f>IF(AA123="-","-",VLOOKUP($A123,AMABat!$A$10:$AS$1137,CD$9,FALSE)-AA123)</f>
        <v>#N/A</v>
      </c>
      <c r="CE123" s="306" t="e">
        <f>IF(AB123="-","-",VLOOKUP($A123,AMABat!$A$10:$AS$1137,CE$9,FALSE)-AB123)</f>
        <v>#N/A</v>
      </c>
      <c r="CF123" s="306" t="e">
        <f>IF(AC123="-","-",VLOOKUP($A123,AMABat!$A$10:$AS$1137,CF$9,FALSE)-AC123)</f>
        <v>#N/A</v>
      </c>
      <c r="CG123" s="306" t="e">
        <f>IF(AD123="-","-",VLOOKUP($A123,AMABat!$A$10:$AS$1137,CG$9,FALSE)-AD123)</f>
        <v>#N/A</v>
      </c>
      <c r="CH123" s="306" t="e">
        <f>IF(AE123="-","-",VLOOKUP($A123,AMABat!$A$10:$AS$1137,CH$9,FALSE)-AE123)</f>
        <v>#N/A</v>
      </c>
      <c r="CI123" s="306" t="str">
        <f>IF(AG123="-","-",VLOOKUP($A123,AMABat!$A$10:$AS$1137,CI$9,FALSE)-AG123)</f>
        <v>-</v>
      </c>
      <c r="CJ123" s="306" t="str">
        <f>IF(AH123="-","-",VLOOKUP($A123,AMABat!$A$10:$AS$1137,CJ$9,FALSE)-AH123)</f>
        <v>-</v>
      </c>
      <c r="CK123" s="306" t="str">
        <f>IF(AI123="-","-",VLOOKUP($A123,AMABat!$A$10:$AS$1137,CK$9,FALSE)-AI123)</f>
        <v>-</v>
      </c>
      <c r="CL123" s="306" t="str">
        <f>IF(AJ123="-","-",VLOOKUP($A123,AMABat!$A$10:$AS$1137,CL$9,FALSE)-AJ123)</f>
        <v>-</v>
      </c>
      <c r="CM123" s="306" t="str">
        <f>IF(AK123="-","-",VLOOKUP($A123,AMABat!$A$10:$AS$1137,CM$9,FALSE)-AK123)</f>
        <v>-</v>
      </c>
      <c r="CN123" s="306" t="str">
        <f>IF(AL123="-","-",VLOOKUP($A123,AMABat!$A$10:$AS$1137,CN$9,FALSE)-AL123)</f>
        <v>-</v>
      </c>
      <c r="CO123" s="306" t="str">
        <f>IF(AM123="-","-",VLOOKUP($A123,AMABat!$A$10:$AS$1137,CO$9,FALSE)-AM123)</f>
        <v>-</v>
      </c>
      <c r="CP123" s="306" t="str">
        <f>IF(AN123="-","-",VLOOKUP($A123,AMABat!$A$10:$AS$1137,CP$9,FALSE)-AN123)</f>
        <v>-</v>
      </c>
      <c r="CQ123" s="306" t="e">
        <f>IF(AO123="-","-",VLOOKUP($A123,AMABat!$A$10:$AS$1137,CQ$9,FALSE)-AO123)</f>
        <v>#N/A</v>
      </c>
      <c r="CR123" s="306" t="e">
        <f>IF(AP123="-","-",VLOOKUP($A123,AMABat!$A$10:$AS$1137,CR$9,FALSE)-AP123)</f>
        <v>#N/A</v>
      </c>
      <c r="CS123" s="306" t="e">
        <f>IF(AQ123="-","-",VLOOKUP($A123,AMABat!$A$10:$AS$1137,CS$9,FALSE)-AQ123)</f>
        <v>#N/A</v>
      </c>
      <c r="CT123" s="306" t="e">
        <f t="shared" si="157"/>
        <v>#N/A</v>
      </c>
      <c r="CU123" s="306" t="e">
        <f t="shared" si="158"/>
        <v>#N/A</v>
      </c>
      <c r="CV123" s="306" t="e">
        <f t="shared" si="159"/>
        <v>#N/A</v>
      </c>
      <c r="CW123" s="306" t="e">
        <f t="shared" si="160"/>
        <v>#N/A</v>
      </c>
      <c r="CX123" s="306" t="e">
        <f t="shared" si="161"/>
        <v>#N/A</v>
      </c>
    </row>
    <row r="124" spans="1:102" x14ac:dyDescent="0.25">
      <c r="A124" s="306" t="str">
        <f t="shared" si="162"/>
        <v>Jake Cunningham</v>
      </c>
      <c r="B124" s="305"/>
      <c r="C124" s="305"/>
      <c r="D124" s="305" t="str">
        <f t="shared" si="163"/>
        <v>-</v>
      </c>
      <c r="E124" s="305" t="str">
        <f t="shared" si="164"/>
        <v>-</v>
      </c>
      <c r="F124" s="305" t="str">
        <f t="shared" si="165"/>
        <v>K</v>
      </c>
      <c r="G124" t="s">
        <v>74</v>
      </c>
      <c r="H124" t="s">
        <v>1195</v>
      </c>
      <c r="I124" s="305" t="s">
        <v>1196</v>
      </c>
      <c r="J124" t="s">
        <v>810</v>
      </c>
      <c r="K124" t="s">
        <v>83</v>
      </c>
      <c r="L124">
        <v>19</v>
      </c>
      <c r="M124" t="s">
        <v>83</v>
      </c>
      <c r="N124" t="s">
        <v>83</v>
      </c>
      <c r="O124" t="s">
        <v>816</v>
      </c>
      <c r="P124" s="3" t="s">
        <v>773</v>
      </c>
      <c r="Q124" t="s">
        <v>199</v>
      </c>
      <c r="R124" s="3" t="s">
        <v>200</v>
      </c>
      <c r="S124">
        <v>1</v>
      </c>
      <c r="T124">
        <v>2</v>
      </c>
      <c r="U124">
        <v>2</v>
      </c>
      <c r="V124">
        <v>2</v>
      </c>
      <c r="W124" s="3">
        <v>1</v>
      </c>
      <c r="X124">
        <v>3</v>
      </c>
      <c r="Y124">
        <v>4</v>
      </c>
      <c r="Z124">
        <v>3</v>
      </c>
      <c r="AA124">
        <v>6</v>
      </c>
      <c r="AB124" s="3">
        <v>4</v>
      </c>
      <c r="AC124">
        <v>6</v>
      </c>
      <c r="AD124">
        <v>4</v>
      </c>
      <c r="AE124">
        <v>1</v>
      </c>
      <c r="AF124" s="305">
        <v>1</v>
      </c>
      <c r="AG124" t="s">
        <v>32</v>
      </c>
      <c r="AH124" t="s">
        <v>32</v>
      </c>
      <c r="AI124">
        <v>4</v>
      </c>
      <c r="AJ124">
        <v>4</v>
      </c>
      <c r="AK124" t="s">
        <v>32</v>
      </c>
      <c r="AL124" t="s">
        <v>32</v>
      </c>
      <c r="AM124" t="s">
        <v>32</v>
      </c>
      <c r="AN124" s="3" t="s">
        <v>32</v>
      </c>
      <c r="AO124">
        <v>10</v>
      </c>
      <c r="AP124">
        <v>5</v>
      </c>
      <c r="AQ124" s="3">
        <v>3</v>
      </c>
      <c r="AR124" t="s">
        <v>32</v>
      </c>
      <c r="AS124" s="3" t="s">
        <v>33</v>
      </c>
      <c r="AT124" s="372" t="s">
        <v>529</v>
      </c>
      <c r="AU124" s="22">
        <f t="shared" si="130"/>
        <v>-0.83333333333333326</v>
      </c>
      <c r="AV124" s="23" t="str">
        <f t="shared" si="131"/>
        <v>Minors</v>
      </c>
      <c r="AW124" s="22">
        <f t="shared" si="132"/>
        <v>2.5</v>
      </c>
      <c r="AX124" s="22" t="str">
        <f t="shared" si="133"/>
        <v>Minors</v>
      </c>
      <c r="AY124" s="23">
        <f t="shared" si="134"/>
        <v>2.5</v>
      </c>
      <c r="AZ124" s="23" t="str">
        <f t="shared" si="135"/>
        <v>Minors</v>
      </c>
      <c r="BA124" s="64">
        <f t="shared" si="136"/>
        <v>0</v>
      </c>
      <c r="BB124" s="65">
        <f t="shared" si="137"/>
        <v>0</v>
      </c>
      <c r="BC124" s="65">
        <f t="shared" si="138"/>
        <v>0</v>
      </c>
      <c r="BD124" s="65">
        <f t="shared" si="139"/>
        <v>0</v>
      </c>
      <c r="BE124" s="65">
        <f t="shared" si="140"/>
        <v>0</v>
      </c>
      <c r="BF124" s="65">
        <f t="shared" si="141"/>
        <v>0</v>
      </c>
      <c r="BG124" s="65">
        <f t="shared" si="142"/>
        <v>0</v>
      </c>
      <c r="BH124" s="65">
        <f t="shared" si="143"/>
        <v>0</v>
      </c>
      <c r="BI124" s="21">
        <f t="shared" si="144"/>
        <v>0</v>
      </c>
      <c r="BJ124" s="64">
        <f t="shared" si="145"/>
        <v>0</v>
      </c>
      <c r="BK124" s="65">
        <f t="shared" si="146"/>
        <v>0</v>
      </c>
      <c r="BL124" s="65">
        <f t="shared" si="147"/>
        <v>0</v>
      </c>
      <c r="BM124" s="65">
        <f t="shared" si="148"/>
        <v>0</v>
      </c>
      <c r="BN124" s="65">
        <f t="shared" si="149"/>
        <v>0</v>
      </c>
      <c r="BO124" s="65">
        <f t="shared" si="150"/>
        <v>0</v>
      </c>
      <c r="BP124" s="65">
        <f t="shared" si="151"/>
        <v>0</v>
      </c>
      <c r="BQ124" s="65">
        <f t="shared" si="152"/>
        <v>0</v>
      </c>
      <c r="BR124" s="21">
        <f t="shared" si="153"/>
        <v>0</v>
      </c>
      <c r="BS124" s="21">
        <f t="shared" si="154"/>
        <v>2</v>
      </c>
      <c r="BT124" s="24">
        <f t="shared" si="155"/>
        <v>0</v>
      </c>
      <c r="BU124" s="20" t="str">
        <f t="shared" si="156"/>
        <v/>
      </c>
      <c r="BV124" s="306">
        <f>IF(S124="-","-",VLOOKUP($A124,AMABat!$A$10:$AS$1137,BV$9,FALSE)-S124)</f>
        <v>1</v>
      </c>
      <c r="BW124" s="306">
        <f>IF(T124="-","-",VLOOKUP($A124,AMABat!$A$10:$AS$1137,BW$9,FALSE)-T124)</f>
        <v>2</v>
      </c>
      <c r="BX124" s="306">
        <f>IF(U124="-","-",VLOOKUP($A124,AMABat!$A$10:$AS$1137,BX$9,FALSE)-U124)</f>
        <v>0</v>
      </c>
      <c r="BY124" s="306">
        <f>IF(V124="-","-",VLOOKUP($A124,AMABat!$A$10:$AS$1137,BY$9,FALSE)-V124)</f>
        <v>1</v>
      </c>
      <c r="BZ124" s="306">
        <f>IF(W124="-","-",VLOOKUP($A124,AMABat!$A$10:$AS$1137,BZ$9,FALSE)-W124)</f>
        <v>1</v>
      </c>
      <c r="CA124" s="306">
        <f>IF(X124="-","-",VLOOKUP($A124,AMABat!$A$10:$AS$1137,CA$9,FALSE)-X124)</f>
        <v>1</v>
      </c>
      <c r="CB124" s="306">
        <f>IF(Y124="-","-",VLOOKUP($A124,AMABat!$A$10:$AS$1137,CB$9,FALSE)-Y124)</f>
        <v>1</v>
      </c>
      <c r="CC124" s="306">
        <f>IF(Z124="-","-",VLOOKUP($A124,AMABat!$A$10:$AS$1137,CC$9,FALSE)-Z124)</f>
        <v>0</v>
      </c>
      <c r="CD124" s="306">
        <f>IF(AA124="-","-",VLOOKUP($A124,AMABat!$A$10:$AS$1137,CD$9,FALSE)-AA124)</f>
        <v>0</v>
      </c>
      <c r="CE124" s="306">
        <f>IF(AB124="-","-",VLOOKUP($A124,AMABat!$A$10:$AS$1137,CE$9,FALSE)-AB124)</f>
        <v>0</v>
      </c>
      <c r="CF124" s="306">
        <f>IF(AC124="-","-",VLOOKUP($A124,AMABat!$A$10:$AS$1137,CF$9,FALSE)-AC124)</f>
        <v>0</v>
      </c>
      <c r="CG124" s="306">
        <f>IF(AD124="-","-",VLOOKUP($A124,AMABat!$A$10:$AS$1137,CG$9,FALSE)-AD124)</f>
        <v>-1</v>
      </c>
      <c r="CH124" s="306">
        <f>IF(AE124="-","-",VLOOKUP($A124,AMABat!$A$10:$AS$1137,CH$9,FALSE)-AE124)</f>
        <v>0</v>
      </c>
      <c r="CI124" s="306" t="str">
        <f>IF(AG124="-","-",VLOOKUP($A124,AMABat!$A$10:$AS$1137,CI$9,FALSE)-AG124)</f>
        <v>-</v>
      </c>
      <c r="CJ124" s="306" t="str">
        <f>IF(AH124="-","-",VLOOKUP($A124,AMABat!$A$10:$AS$1137,CJ$9,FALSE)-AH124)</f>
        <v>-</v>
      </c>
      <c r="CK124" s="306" t="e">
        <f>IF(AI124="-","-",VLOOKUP($A124,AMABat!$A$10:$AS$1137,CK$9,FALSE)-AI124)</f>
        <v>#VALUE!</v>
      </c>
      <c r="CL124" s="306">
        <f>IF(AJ124="-","-",VLOOKUP($A124,AMABat!$A$10:$AS$1137,CL$9,FALSE)-AJ124)</f>
        <v>0</v>
      </c>
      <c r="CM124" s="306" t="str">
        <f>IF(AK124="-","-",VLOOKUP($A124,AMABat!$A$10:$AS$1137,CM$9,FALSE)-AK124)</f>
        <v>-</v>
      </c>
      <c r="CN124" s="306" t="str">
        <f>IF(AL124="-","-",VLOOKUP($A124,AMABat!$A$10:$AS$1137,CN$9,FALSE)-AL124)</f>
        <v>-</v>
      </c>
      <c r="CO124" s="306" t="str">
        <f>IF(AM124="-","-",VLOOKUP($A124,AMABat!$A$10:$AS$1137,CO$9,FALSE)-AM124)</f>
        <v>-</v>
      </c>
      <c r="CP124" s="306" t="str">
        <f>IF(AN124="-","-",VLOOKUP($A124,AMABat!$A$10:$AS$1137,CP$9,FALSE)-AN124)</f>
        <v>-</v>
      </c>
      <c r="CQ124" s="306" t="e">
        <f>IF(AO124="-","-",VLOOKUP($A124,AMABat!$A$10:$AS$1137,CQ$9,FALSE)-AO124)</f>
        <v>#VALUE!</v>
      </c>
      <c r="CR124" s="306">
        <f>IF(AP124="-","-",VLOOKUP($A124,AMABat!$A$10:$AS$1137,CR$9,FALSE)-AP124)</f>
        <v>5</v>
      </c>
      <c r="CS124" s="306">
        <f>IF(AQ124="-","-",VLOOKUP($A124,AMABat!$A$10:$AS$1137,CS$9,FALSE)-AQ124)</f>
        <v>2</v>
      </c>
      <c r="CT124" s="306">
        <f t="shared" si="157"/>
        <v>5</v>
      </c>
      <c r="CU124" s="306">
        <f t="shared" si="158"/>
        <v>2</v>
      </c>
      <c r="CV124" s="306" t="e">
        <f t="shared" si="159"/>
        <v>#VALUE!</v>
      </c>
      <c r="CW124" s="306" t="e">
        <f t="shared" si="160"/>
        <v>#VALUE!</v>
      </c>
      <c r="CX124" s="306" t="e">
        <f t="shared" si="161"/>
        <v>#VALUE!</v>
      </c>
    </row>
    <row r="125" spans="1:102" x14ac:dyDescent="0.25">
      <c r="A125" s="306" t="str">
        <f t="shared" ref="A125:A146" si="166">H125&amp;" "&amp;I125</f>
        <v>Lemma Maina</v>
      </c>
      <c r="B125" s="305"/>
      <c r="C125" s="305"/>
      <c r="D125" s="305" t="str">
        <f t="shared" ref="D125:D146" si="167">IF(BL125=1,3,IF(BM125=1,4,IF(BJ125=1,1,IF(BN125=1,5,IF(BK125=1,2,IF(BO125=1,6,IF(BP125=1,7,IF(BQ125=1,8,IF(BR125=1,9,"-")))))))))</f>
        <v>-</v>
      </c>
      <c r="E125" s="305" t="str">
        <f t="shared" ref="E125:E146" si="168">IF(BC125=1,3,IF(BD125=1,4,IF(BA125=1,1,IF(BE125=1,5,IF(BB125=1,2,IF(BF125=1,6,IF(BG125=1,7,IF(BH125=1,8,IF(BI125=1,9,"-")))))))))</f>
        <v>-</v>
      </c>
      <c r="F125" s="305" t="str">
        <f t="shared" ref="F125:F146" si="169">IF(OR(Q125&gt;7,AND(Q125&gt;4,R125&gt;5)),"K","T")</f>
        <v>K</v>
      </c>
      <c r="G125" s="305" t="s">
        <v>71</v>
      </c>
      <c r="H125" s="305" t="s">
        <v>900</v>
      </c>
      <c r="I125" s="305" t="s">
        <v>901</v>
      </c>
      <c r="J125" s="305" t="s">
        <v>763</v>
      </c>
      <c r="K125" s="305" t="s">
        <v>16</v>
      </c>
      <c r="L125" s="305">
        <v>18</v>
      </c>
      <c r="M125" s="305" t="s">
        <v>83</v>
      </c>
      <c r="N125" s="305" t="s">
        <v>83</v>
      </c>
      <c r="O125" s="305" t="s">
        <v>816</v>
      </c>
      <c r="P125" s="388" t="s">
        <v>808</v>
      </c>
      <c r="Q125" s="305" t="s">
        <v>199</v>
      </c>
      <c r="R125" s="388" t="s">
        <v>200</v>
      </c>
      <c r="S125" s="305">
        <v>1</v>
      </c>
      <c r="T125" s="305">
        <v>2</v>
      </c>
      <c r="U125" s="305">
        <v>2</v>
      </c>
      <c r="V125" s="305">
        <v>2</v>
      </c>
      <c r="W125" s="388">
        <v>1</v>
      </c>
      <c r="X125" s="305">
        <v>3</v>
      </c>
      <c r="Y125" s="305">
        <v>4</v>
      </c>
      <c r="Z125" s="305">
        <v>4</v>
      </c>
      <c r="AA125" s="305">
        <v>5</v>
      </c>
      <c r="AB125" s="388">
        <v>3</v>
      </c>
      <c r="AC125" s="305">
        <v>3</v>
      </c>
      <c r="AD125" s="305">
        <v>2</v>
      </c>
      <c r="AE125" s="305">
        <v>4</v>
      </c>
      <c r="AF125" s="305">
        <v>4</v>
      </c>
      <c r="AG125" s="305">
        <v>2</v>
      </c>
      <c r="AH125" s="305">
        <v>1</v>
      </c>
      <c r="AI125" s="305" t="s">
        <v>32</v>
      </c>
      <c r="AJ125" s="305" t="s">
        <v>32</v>
      </c>
      <c r="AK125" s="305" t="s">
        <v>32</v>
      </c>
      <c r="AL125" s="305" t="s">
        <v>32</v>
      </c>
      <c r="AM125" s="305" t="s">
        <v>32</v>
      </c>
      <c r="AN125" s="388" t="s">
        <v>32</v>
      </c>
      <c r="AO125" s="305">
        <v>1</v>
      </c>
      <c r="AP125" s="305">
        <v>1</v>
      </c>
      <c r="AQ125" s="388">
        <v>1</v>
      </c>
      <c r="AR125" s="305" t="s">
        <v>32</v>
      </c>
      <c r="AS125" s="388" t="s">
        <v>33</v>
      </c>
      <c r="AT125" s="387" t="s">
        <v>199</v>
      </c>
      <c r="AU125" s="22">
        <f t="shared" ref="AU125:AU146" si="170">AVERAGE(S125,U125,V125)+IF(OR(S125&gt;7,AND(S125&gt;5,V125&gt;5)),0.5,0)+IF(U125&gt;7,0.25,0)+IF(S125&lt;6,-0.5*(6-S125),0)</f>
        <v>-0.83333333333333326</v>
      </c>
      <c r="AV125" s="23" t="str">
        <f t="shared" ref="AV125:AV146" si="171">IF(AU125&gt;9,"SuperStar",IF(AU125&gt;8,"Star",IF(AU125&gt;6.5,"GoodReg",IF(AU125&gt;5,"Reg",IF(AU125&gt;4,"Bench","Minors")))))</f>
        <v>Minors</v>
      </c>
      <c r="AW125" s="22">
        <f t="shared" ref="AW125:AW146" si="172">AVERAGE(X125,Z125,AA125)+IF(OR(X125&gt;7,AND(X125&gt;5,AA125&gt;5)),0.5,0)+IF(Z125&gt;7,0.25,0)+IF(X125&lt;6,-0.5*(6-X125),0)</f>
        <v>2.5</v>
      </c>
      <c r="AX125" s="22" t="str">
        <f t="shared" ref="AX125:AX146" si="173">IF(AW125&gt;9,"SuperStar",IF(AW125&gt;8,"Star",IF(AW125&gt;6.5,"GoodReg",IF(AW125&gt;5,"Reg",IF(AW125&gt;4,"Bench","Minors")))))</f>
        <v>Minors</v>
      </c>
      <c r="AY125" s="23">
        <f t="shared" ref="AY125:AY146" si="174">MIN(AU125+(MAX(0,25-L125))^1.5,AW125)</f>
        <v>2.5</v>
      </c>
      <c r="AZ125" s="23" t="str">
        <f t="shared" ref="AZ125:AZ146" si="175">IF(AY125&gt;9,"SuperStar",IF(AY125&gt;8,"Star",IF(AY125&gt;6.5,"GoodReg",IF(AY125&gt;5,"Reg",IF(AY125&gt;4,"Bench","Minors")))))</f>
        <v>Minors</v>
      </c>
      <c r="BA125" s="64">
        <f t="shared" ref="BA125:BA146" si="176">IF(AND(OR(S125+V125&gt;12,AND(S125&gt;6,V125&gt;6)),AO125&gt;6,OR(AP125&gt;=AO125,AP125&gt;6)),1,0)</f>
        <v>0</v>
      </c>
      <c r="BB125" s="65">
        <f t="shared" ref="BB125:BB146" si="177">IF(OR(AND(S125&gt;6,W125&gt;6),S125+V125&gt;12),1,0)</f>
        <v>0</v>
      </c>
      <c r="BC125" s="65">
        <f t="shared" ref="BC125:BC146" si="178">IF(AND(S125&gt;6,U125&gt;6,V125&gt;6),1,0)</f>
        <v>0</v>
      </c>
      <c r="BD125" s="65">
        <f t="shared" ref="BD125:BD146" si="179">IF(AND(U125&gt;7,OR(S125&gt;6,V125&gt;6)),1,0)</f>
        <v>0</v>
      </c>
      <c r="BE125" s="65">
        <f t="shared" ref="BE125:BE146" si="180">IF(AND(U125&gt;6,OR(S125&gt;6,V125&gt;6)),1,0)</f>
        <v>0</v>
      </c>
      <c r="BF125" s="65">
        <f t="shared" ref="BF125:BF146" si="181">IF(AND(OR(S125&gt;6,U125&gt;6),OR(S125&gt;6,V125&gt;6)),1,0)</f>
        <v>0</v>
      </c>
      <c r="BG125" s="65">
        <f t="shared" ref="BG125:BG146" si="182">IF(AND(S125&gt;4,OR(S125&gt;6,U125&gt;6,V125&gt;6)),1,0)</f>
        <v>0</v>
      </c>
      <c r="BH125" s="65">
        <f t="shared" ref="BH125:BH146" si="183">IF(AND(S125&gt;4,OR(S125&gt;6,T125&gt;6,U125&gt;6,V125&gt;6)),1,0)</f>
        <v>0</v>
      </c>
      <c r="BI125" s="21">
        <f t="shared" ref="BI125:BI146" si="184">IF(AND(S125&gt;4,MAX(S125:W125)&gt;6),1,0)</f>
        <v>0</v>
      </c>
      <c r="BJ125" s="64">
        <f t="shared" ref="BJ125:BJ146" si="185">IF(AND(OR(X125+AA125&gt;12,AND(X125&gt;6,AA125&gt;6)),AO125&gt;6,OR(AP125&gt;=AO125,AP125&gt;6)),1,0)</f>
        <v>0</v>
      </c>
      <c r="BK125" s="65">
        <f t="shared" ref="BK125:BK146" si="186">IF(OR(AND(X125&gt;6,AB125&gt;6),X125+AA125&gt;12),1,0)</f>
        <v>0</v>
      </c>
      <c r="BL125" s="65">
        <f t="shared" ref="BL125:BL146" si="187">IF(AND(X125&gt;6,Z125&gt;6,AA125&gt;6),1,0)</f>
        <v>0</v>
      </c>
      <c r="BM125" s="65">
        <f t="shared" ref="BM125:BM146" si="188">IF(AND(Z125&gt;7,OR(X125&gt;6,AA125&gt;6)),1,0)</f>
        <v>0</v>
      </c>
      <c r="BN125" s="65">
        <f t="shared" ref="BN125:BN146" si="189">IF(AND(Z125&gt;6,OR(X125&gt;6,AA125&gt;6)),1,0)</f>
        <v>0</v>
      </c>
      <c r="BO125" s="65">
        <f t="shared" ref="BO125:BO146" si="190">IF(AND(OR(X125&gt;6,Z125&gt;6),OR(X125&gt;6,AA125&gt;6)),1,0)</f>
        <v>0</v>
      </c>
      <c r="BP125" s="65">
        <f t="shared" ref="BP125:BP146" si="191">IF(AND(X125&gt;4,OR(X125&gt;6,Z125&gt;6,AA125&gt;6)),1,0)</f>
        <v>0</v>
      </c>
      <c r="BQ125" s="65">
        <f t="shared" ref="BQ125:BQ146" si="192">IF(AND(X125&gt;4,OR(X125&gt;6,Y125&gt;6,Z125&gt;6,AA125&gt;6)),1,0)</f>
        <v>0</v>
      </c>
      <c r="BR125" s="21">
        <f t="shared" ref="BR125:BR146" si="193">IF(AND(X125&gt;4,MAX(X125:AB125)&gt;6),1,0)</f>
        <v>0</v>
      </c>
      <c r="BS125" s="21">
        <f t="shared" ref="BS125:BS146" si="194">IF(AVERAGE(AO125:AP125)&gt;9,1,0)+IF(AVERAGE(AO125:AP125)&gt;7,1,0)+IF(AO125&gt;7,1,0)+IF(AP125&gt;7,1,0)+IF(AQ125&gt;8,1,0)+IF(AQ125&gt;6,1,0)</f>
        <v>0</v>
      </c>
      <c r="BT125" s="24">
        <f t="shared" ref="BT125:BT146" si="195">IF(OR(MAX(AG125,AH125,AL125,AN125)&gt;6,MAX(AI125,AJ125,AK125,AM125)&gt;7),2,IF(MAX(AG125:AN125)&gt;4,1,0))</f>
        <v>0</v>
      </c>
      <c r="BU125" s="20" t="str">
        <f t="shared" ref="BU125:BU146" si="196">IF(AS125=1,"Yes","")</f>
        <v/>
      </c>
      <c r="BV125" s="306" t="e">
        <f>IF(S125="-","-",VLOOKUP($A125,AMABat!$A$10:$AS$1137,BV$9,FALSE)-S125)</f>
        <v>#N/A</v>
      </c>
      <c r="BW125" s="306" t="e">
        <f>IF(T125="-","-",VLOOKUP($A125,AMABat!$A$10:$AS$1137,BW$9,FALSE)-T125)</f>
        <v>#N/A</v>
      </c>
      <c r="BX125" s="306" t="e">
        <f>IF(U125="-","-",VLOOKUP($A125,AMABat!$A$10:$AS$1137,BX$9,FALSE)-U125)</f>
        <v>#N/A</v>
      </c>
      <c r="BY125" s="306" t="e">
        <f>IF(V125="-","-",VLOOKUP($A125,AMABat!$A$10:$AS$1137,BY$9,FALSE)-V125)</f>
        <v>#N/A</v>
      </c>
      <c r="BZ125" s="306" t="e">
        <f>IF(W125="-","-",VLOOKUP($A125,AMABat!$A$10:$AS$1137,BZ$9,FALSE)-W125)</f>
        <v>#N/A</v>
      </c>
      <c r="CA125" s="306" t="e">
        <f>IF(X125="-","-",VLOOKUP($A125,AMABat!$A$10:$AS$1137,CA$9,FALSE)-X125)</f>
        <v>#N/A</v>
      </c>
      <c r="CB125" s="306" t="e">
        <f>IF(Y125="-","-",VLOOKUP($A125,AMABat!$A$10:$AS$1137,CB$9,FALSE)-Y125)</f>
        <v>#N/A</v>
      </c>
      <c r="CC125" s="306" t="e">
        <f>IF(Z125="-","-",VLOOKUP($A125,AMABat!$A$10:$AS$1137,CC$9,FALSE)-Z125)</f>
        <v>#N/A</v>
      </c>
      <c r="CD125" s="306" t="e">
        <f>IF(AA125="-","-",VLOOKUP($A125,AMABat!$A$10:$AS$1137,CD$9,FALSE)-AA125)</f>
        <v>#N/A</v>
      </c>
      <c r="CE125" s="306" t="e">
        <f>IF(AB125="-","-",VLOOKUP($A125,AMABat!$A$10:$AS$1137,CE$9,FALSE)-AB125)</f>
        <v>#N/A</v>
      </c>
      <c r="CF125" s="306" t="e">
        <f>IF(AC125="-","-",VLOOKUP($A125,AMABat!$A$10:$AS$1137,CF$9,FALSE)-AC125)</f>
        <v>#N/A</v>
      </c>
      <c r="CG125" s="306" t="e">
        <f>IF(AD125="-","-",VLOOKUP($A125,AMABat!$A$10:$AS$1137,CG$9,FALSE)-AD125)</f>
        <v>#N/A</v>
      </c>
      <c r="CH125" s="306" t="e">
        <f>IF(AE125="-","-",VLOOKUP($A125,AMABat!$A$10:$AS$1137,CH$9,FALSE)-AE125)</f>
        <v>#N/A</v>
      </c>
      <c r="CI125" s="306" t="e">
        <f>IF(AG125="-","-",VLOOKUP($A125,AMABat!$A$10:$AS$1137,CI$9,FALSE)-AG125)</f>
        <v>#N/A</v>
      </c>
      <c r="CJ125" s="306" t="e">
        <f>IF(AH125="-","-",VLOOKUP($A125,AMABat!$A$10:$AS$1137,CJ$9,FALSE)-AH125)</f>
        <v>#N/A</v>
      </c>
      <c r="CK125" s="306" t="str">
        <f>IF(AI125="-","-",VLOOKUP($A125,AMABat!$A$10:$AS$1137,CK$9,FALSE)-AI125)</f>
        <v>-</v>
      </c>
      <c r="CL125" s="306" t="str">
        <f>IF(AJ125="-","-",VLOOKUP($A125,AMABat!$A$10:$AS$1137,CL$9,FALSE)-AJ125)</f>
        <v>-</v>
      </c>
      <c r="CM125" s="306" t="str">
        <f>IF(AK125="-","-",VLOOKUP($A125,AMABat!$A$10:$AS$1137,CM$9,FALSE)-AK125)</f>
        <v>-</v>
      </c>
      <c r="CN125" s="306" t="str">
        <f>IF(AL125="-","-",VLOOKUP($A125,AMABat!$A$10:$AS$1137,CN$9,FALSE)-AL125)</f>
        <v>-</v>
      </c>
      <c r="CO125" s="306" t="str">
        <f>IF(AM125="-","-",VLOOKUP($A125,AMABat!$A$10:$AS$1137,CO$9,FALSE)-AM125)</f>
        <v>-</v>
      </c>
      <c r="CP125" s="306" t="str">
        <f>IF(AN125="-","-",VLOOKUP($A125,AMABat!$A$10:$AS$1137,CP$9,FALSE)-AN125)</f>
        <v>-</v>
      </c>
      <c r="CQ125" s="306" t="e">
        <f>IF(AO125="-","-",VLOOKUP($A125,AMABat!$A$10:$AS$1137,CQ$9,FALSE)-AO125)</f>
        <v>#N/A</v>
      </c>
      <c r="CR125" s="306" t="e">
        <f>IF(AP125="-","-",VLOOKUP($A125,AMABat!$A$10:$AS$1137,CR$9,FALSE)-AP125)</f>
        <v>#N/A</v>
      </c>
      <c r="CS125" s="306" t="e">
        <f>IF(AQ125="-","-",VLOOKUP($A125,AMABat!$A$10:$AS$1137,CS$9,FALSE)-AQ125)</f>
        <v>#N/A</v>
      </c>
      <c r="CT125" s="306" t="e">
        <f t="shared" ref="CT125:CT146" si="197">SUM(BV125:BZ125)</f>
        <v>#N/A</v>
      </c>
      <c r="CU125" s="306" t="e">
        <f t="shared" ref="CU125:CU146" si="198">SUM(CA125:CE125)</f>
        <v>#N/A</v>
      </c>
      <c r="CV125" s="306" t="e">
        <f t="shared" ref="CV125:CV146" si="199">SUM(CF125:CP125)</f>
        <v>#N/A</v>
      </c>
      <c r="CW125" s="306" t="e">
        <f t="shared" ref="CW125:CW146" si="200">SUM(CQ125:CS125)</f>
        <v>#N/A</v>
      </c>
      <c r="CX125" s="306" t="e">
        <f t="shared" ref="CX125:CX146" si="201">SUM(CT125:CW125)</f>
        <v>#N/A</v>
      </c>
    </row>
    <row r="126" spans="1:102" x14ac:dyDescent="0.25">
      <c r="A126" s="306" t="str">
        <f t="shared" si="166"/>
        <v>Wan-ling Zhou</v>
      </c>
      <c r="B126" s="305"/>
      <c r="C126" s="305"/>
      <c r="D126" s="305" t="str">
        <f t="shared" si="167"/>
        <v>-</v>
      </c>
      <c r="E126" s="305" t="str">
        <f t="shared" si="168"/>
        <v>-</v>
      </c>
      <c r="F126" s="305" t="str">
        <f t="shared" si="169"/>
        <v>K</v>
      </c>
      <c r="G126" s="305" t="s">
        <v>71</v>
      </c>
      <c r="H126" s="305" t="s">
        <v>908</v>
      </c>
      <c r="I126" s="305" t="s">
        <v>909</v>
      </c>
      <c r="J126" s="305" t="s">
        <v>763</v>
      </c>
      <c r="K126" s="305" t="s">
        <v>16</v>
      </c>
      <c r="L126" s="305">
        <v>18</v>
      </c>
      <c r="M126" s="305" t="s">
        <v>83</v>
      </c>
      <c r="N126" s="305" t="s">
        <v>83</v>
      </c>
      <c r="O126" s="305" t="s">
        <v>816</v>
      </c>
      <c r="P126" s="388" t="s">
        <v>773</v>
      </c>
      <c r="Q126" s="305" t="s">
        <v>200</v>
      </c>
      <c r="R126" s="388" t="s">
        <v>200</v>
      </c>
      <c r="S126" s="305">
        <v>1</v>
      </c>
      <c r="T126" s="305">
        <v>2</v>
      </c>
      <c r="U126" s="305">
        <v>2</v>
      </c>
      <c r="V126" s="305">
        <v>2</v>
      </c>
      <c r="W126" s="388">
        <v>1</v>
      </c>
      <c r="X126" s="305">
        <v>3</v>
      </c>
      <c r="Y126" s="305">
        <v>5</v>
      </c>
      <c r="Z126" s="305">
        <v>5</v>
      </c>
      <c r="AA126" s="305">
        <v>4</v>
      </c>
      <c r="AB126" s="388">
        <v>3</v>
      </c>
      <c r="AC126" s="305">
        <v>3</v>
      </c>
      <c r="AD126" s="305">
        <v>2</v>
      </c>
      <c r="AE126" s="305">
        <v>3</v>
      </c>
      <c r="AF126" s="305">
        <v>5</v>
      </c>
      <c r="AG126" s="305">
        <v>2</v>
      </c>
      <c r="AH126" s="305" t="s">
        <v>32</v>
      </c>
      <c r="AI126" s="305" t="s">
        <v>32</v>
      </c>
      <c r="AJ126" s="305" t="s">
        <v>32</v>
      </c>
      <c r="AK126" s="305" t="s">
        <v>32</v>
      </c>
      <c r="AL126" s="305" t="s">
        <v>32</v>
      </c>
      <c r="AM126" s="305" t="s">
        <v>32</v>
      </c>
      <c r="AN126" s="388" t="s">
        <v>32</v>
      </c>
      <c r="AO126" s="305">
        <v>1</v>
      </c>
      <c r="AP126" s="305">
        <v>1</v>
      </c>
      <c r="AQ126" s="388">
        <v>1</v>
      </c>
      <c r="AR126" s="305" t="s">
        <v>32</v>
      </c>
      <c r="AS126" s="388" t="s">
        <v>33</v>
      </c>
      <c r="AT126" s="387" t="s">
        <v>779</v>
      </c>
      <c r="AU126" s="22">
        <f t="shared" si="170"/>
        <v>-0.83333333333333326</v>
      </c>
      <c r="AV126" s="23" t="str">
        <f t="shared" si="171"/>
        <v>Minors</v>
      </c>
      <c r="AW126" s="22">
        <f t="shared" si="172"/>
        <v>2.5</v>
      </c>
      <c r="AX126" s="22" t="str">
        <f t="shared" si="173"/>
        <v>Minors</v>
      </c>
      <c r="AY126" s="23">
        <f t="shared" si="174"/>
        <v>2.5</v>
      </c>
      <c r="AZ126" s="23" t="str">
        <f t="shared" si="175"/>
        <v>Minors</v>
      </c>
      <c r="BA126" s="64">
        <f t="shared" si="176"/>
        <v>0</v>
      </c>
      <c r="BB126" s="65">
        <f t="shared" si="177"/>
        <v>0</v>
      </c>
      <c r="BC126" s="65">
        <f t="shared" si="178"/>
        <v>0</v>
      </c>
      <c r="BD126" s="65">
        <f t="shared" si="179"/>
        <v>0</v>
      </c>
      <c r="BE126" s="65">
        <f t="shared" si="180"/>
        <v>0</v>
      </c>
      <c r="BF126" s="65">
        <f t="shared" si="181"/>
        <v>0</v>
      </c>
      <c r="BG126" s="65">
        <f t="shared" si="182"/>
        <v>0</v>
      </c>
      <c r="BH126" s="65">
        <f t="shared" si="183"/>
        <v>0</v>
      </c>
      <c r="BI126" s="21">
        <f t="shared" si="184"/>
        <v>0</v>
      </c>
      <c r="BJ126" s="64">
        <f t="shared" si="185"/>
        <v>0</v>
      </c>
      <c r="BK126" s="65">
        <f t="shared" si="186"/>
        <v>0</v>
      </c>
      <c r="BL126" s="65">
        <f t="shared" si="187"/>
        <v>0</v>
      </c>
      <c r="BM126" s="65">
        <f t="shared" si="188"/>
        <v>0</v>
      </c>
      <c r="BN126" s="65">
        <f t="shared" si="189"/>
        <v>0</v>
      </c>
      <c r="BO126" s="65">
        <f t="shared" si="190"/>
        <v>0</v>
      </c>
      <c r="BP126" s="65">
        <f t="shared" si="191"/>
        <v>0</v>
      </c>
      <c r="BQ126" s="65">
        <f t="shared" si="192"/>
        <v>0</v>
      </c>
      <c r="BR126" s="21">
        <f t="shared" si="193"/>
        <v>0</v>
      </c>
      <c r="BS126" s="21">
        <f t="shared" si="194"/>
        <v>0</v>
      </c>
      <c r="BT126" s="24">
        <f t="shared" si="195"/>
        <v>0</v>
      </c>
      <c r="BU126" s="20" t="str">
        <f t="shared" si="196"/>
        <v/>
      </c>
      <c r="BV126" s="306" t="e">
        <f>IF(S126="-","-",VLOOKUP($A126,AMABat!$A$10:$AS$1137,BV$9,FALSE)-S126)</f>
        <v>#N/A</v>
      </c>
      <c r="BW126" s="306" t="e">
        <f>IF(T126="-","-",VLOOKUP($A126,AMABat!$A$10:$AS$1137,BW$9,FALSE)-T126)</f>
        <v>#N/A</v>
      </c>
      <c r="BX126" s="306" t="e">
        <f>IF(U126="-","-",VLOOKUP($A126,AMABat!$A$10:$AS$1137,BX$9,FALSE)-U126)</f>
        <v>#N/A</v>
      </c>
      <c r="BY126" s="306" t="e">
        <f>IF(V126="-","-",VLOOKUP($A126,AMABat!$A$10:$AS$1137,BY$9,FALSE)-V126)</f>
        <v>#N/A</v>
      </c>
      <c r="BZ126" s="306" t="e">
        <f>IF(W126="-","-",VLOOKUP($A126,AMABat!$A$10:$AS$1137,BZ$9,FALSE)-W126)</f>
        <v>#N/A</v>
      </c>
      <c r="CA126" s="306" t="e">
        <f>IF(X126="-","-",VLOOKUP($A126,AMABat!$A$10:$AS$1137,CA$9,FALSE)-X126)</f>
        <v>#N/A</v>
      </c>
      <c r="CB126" s="306" t="e">
        <f>IF(Y126="-","-",VLOOKUP($A126,AMABat!$A$10:$AS$1137,CB$9,FALSE)-Y126)</f>
        <v>#N/A</v>
      </c>
      <c r="CC126" s="306" t="e">
        <f>IF(Z126="-","-",VLOOKUP($A126,AMABat!$A$10:$AS$1137,CC$9,FALSE)-Z126)</f>
        <v>#N/A</v>
      </c>
      <c r="CD126" s="306" t="e">
        <f>IF(AA126="-","-",VLOOKUP($A126,AMABat!$A$10:$AS$1137,CD$9,FALSE)-AA126)</f>
        <v>#N/A</v>
      </c>
      <c r="CE126" s="306" t="e">
        <f>IF(AB126="-","-",VLOOKUP($A126,AMABat!$A$10:$AS$1137,CE$9,FALSE)-AB126)</f>
        <v>#N/A</v>
      </c>
      <c r="CF126" s="306" t="e">
        <f>IF(AC126="-","-",VLOOKUP($A126,AMABat!$A$10:$AS$1137,CF$9,FALSE)-AC126)</f>
        <v>#N/A</v>
      </c>
      <c r="CG126" s="306" t="e">
        <f>IF(AD126="-","-",VLOOKUP($A126,AMABat!$A$10:$AS$1137,CG$9,FALSE)-AD126)</f>
        <v>#N/A</v>
      </c>
      <c r="CH126" s="306" t="e">
        <f>IF(AE126="-","-",VLOOKUP($A126,AMABat!$A$10:$AS$1137,CH$9,FALSE)-AE126)</f>
        <v>#N/A</v>
      </c>
      <c r="CI126" s="306" t="e">
        <f>IF(AG126="-","-",VLOOKUP($A126,AMABat!$A$10:$AS$1137,CI$9,FALSE)-AG126)</f>
        <v>#N/A</v>
      </c>
      <c r="CJ126" s="306" t="str">
        <f>IF(AH126="-","-",VLOOKUP($A126,AMABat!$A$10:$AS$1137,CJ$9,FALSE)-AH126)</f>
        <v>-</v>
      </c>
      <c r="CK126" s="306" t="str">
        <f>IF(AI126="-","-",VLOOKUP($A126,AMABat!$A$10:$AS$1137,CK$9,FALSE)-AI126)</f>
        <v>-</v>
      </c>
      <c r="CL126" s="306" t="str">
        <f>IF(AJ126="-","-",VLOOKUP($A126,AMABat!$A$10:$AS$1137,CL$9,FALSE)-AJ126)</f>
        <v>-</v>
      </c>
      <c r="CM126" s="306" t="str">
        <f>IF(AK126="-","-",VLOOKUP($A126,AMABat!$A$10:$AS$1137,CM$9,FALSE)-AK126)</f>
        <v>-</v>
      </c>
      <c r="CN126" s="306" t="str">
        <f>IF(AL126="-","-",VLOOKUP($A126,AMABat!$A$10:$AS$1137,CN$9,FALSE)-AL126)</f>
        <v>-</v>
      </c>
      <c r="CO126" s="306" t="str">
        <f>IF(AM126="-","-",VLOOKUP($A126,AMABat!$A$10:$AS$1137,CO$9,FALSE)-AM126)</f>
        <v>-</v>
      </c>
      <c r="CP126" s="306" t="str">
        <f>IF(AN126="-","-",VLOOKUP($A126,AMABat!$A$10:$AS$1137,CP$9,FALSE)-AN126)</f>
        <v>-</v>
      </c>
      <c r="CQ126" s="306" t="e">
        <f>IF(AO126="-","-",VLOOKUP($A126,AMABat!$A$10:$AS$1137,CQ$9,FALSE)-AO126)</f>
        <v>#N/A</v>
      </c>
      <c r="CR126" s="306" t="e">
        <f>IF(AP126="-","-",VLOOKUP($A126,AMABat!$A$10:$AS$1137,CR$9,FALSE)-AP126)</f>
        <v>#N/A</v>
      </c>
      <c r="CS126" s="306" t="e">
        <f>IF(AQ126="-","-",VLOOKUP($A126,AMABat!$A$10:$AS$1137,CS$9,FALSE)-AQ126)</f>
        <v>#N/A</v>
      </c>
      <c r="CT126" s="306" t="e">
        <f t="shared" si="197"/>
        <v>#N/A</v>
      </c>
      <c r="CU126" s="306" t="e">
        <f t="shared" si="198"/>
        <v>#N/A</v>
      </c>
      <c r="CV126" s="306" t="e">
        <f t="shared" si="199"/>
        <v>#N/A</v>
      </c>
      <c r="CW126" s="306" t="e">
        <f t="shared" si="200"/>
        <v>#N/A</v>
      </c>
      <c r="CX126" s="306" t="e">
        <f t="shared" si="201"/>
        <v>#N/A</v>
      </c>
    </row>
    <row r="127" spans="1:102" x14ac:dyDescent="0.25">
      <c r="A127" s="306" t="str">
        <f t="shared" si="166"/>
        <v>Jerry Atkins</v>
      </c>
      <c r="B127" s="305"/>
      <c r="C127" s="305"/>
      <c r="D127" s="305" t="str">
        <f t="shared" si="167"/>
        <v>-</v>
      </c>
      <c r="E127" s="305" t="str">
        <f t="shared" si="168"/>
        <v>-</v>
      </c>
      <c r="F127" s="305" t="str">
        <f t="shared" si="169"/>
        <v>K</v>
      </c>
      <c r="G127" s="305" t="s">
        <v>74</v>
      </c>
      <c r="H127" s="305" t="s">
        <v>884</v>
      </c>
      <c r="I127" s="305" t="s">
        <v>885</v>
      </c>
      <c r="J127" s="305" t="s">
        <v>810</v>
      </c>
      <c r="K127" s="305" t="s">
        <v>83</v>
      </c>
      <c r="L127" s="305">
        <v>19</v>
      </c>
      <c r="M127" s="305" t="s">
        <v>83</v>
      </c>
      <c r="N127" s="305" t="s">
        <v>83</v>
      </c>
      <c r="O127" s="305" t="s">
        <v>816</v>
      </c>
      <c r="P127" s="388" t="s">
        <v>773</v>
      </c>
      <c r="Q127" s="305" t="s">
        <v>199</v>
      </c>
      <c r="R127" s="388" t="s">
        <v>200</v>
      </c>
      <c r="S127" s="305">
        <v>1</v>
      </c>
      <c r="T127" s="305">
        <v>1</v>
      </c>
      <c r="U127" s="305">
        <v>2</v>
      </c>
      <c r="V127" s="305">
        <v>2</v>
      </c>
      <c r="W127" s="388">
        <v>1</v>
      </c>
      <c r="X127" s="305">
        <v>3</v>
      </c>
      <c r="Y127" s="305">
        <v>4</v>
      </c>
      <c r="Z127" s="305">
        <v>3</v>
      </c>
      <c r="AA127" s="305">
        <v>5</v>
      </c>
      <c r="AB127" s="388">
        <v>3</v>
      </c>
      <c r="AC127" s="305">
        <v>4</v>
      </c>
      <c r="AD127" s="305">
        <v>3</v>
      </c>
      <c r="AE127" s="305">
        <v>1</v>
      </c>
      <c r="AF127" s="305">
        <v>1</v>
      </c>
      <c r="AG127" s="305" t="s">
        <v>32</v>
      </c>
      <c r="AH127" s="305" t="s">
        <v>32</v>
      </c>
      <c r="AI127" s="305">
        <v>6</v>
      </c>
      <c r="AJ127" s="305" t="s">
        <v>32</v>
      </c>
      <c r="AK127" s="305" t="s">
        <v>32</v>
      </c>
      <c r="AL127" s="305" t="s">
        <v>32</v>
      </c>
      <c r="AM127" s="305" t="s">
        <v>32</v>
      </c>
      <c r="AN127" s="388" t="s">
        <v>32</v>
      </c>
      <c r="AO127" s="305">
        <v>9</v>
      </c>
      <c r="AP127" s="305">
        <v>5</v>
      </c>
      <c r="AQ127" s="388">
        <v>2</v>
      </c>
      <c r="AR127" s="305" t="s">
        <v>32</v>
      </c>
      <c r="AS127" s="388" t="s">
        <v>33</v>
      </c>
      <c r="AT127" s="387" t="s">
        <v>199</v>
      </c>
      <c r="AU127" s="22">
        <f t="shared" si="170"/>
        <v>-0.83333333333333326</v>
      </c>
      <c r="AV127" s="23" t="str">
        <f t="shared" si="171"/>
        <v>Minors</v>
      </c>
      <c r="AW127" s="22">
        <f t="shared" si="172"/>
        <v>2.1666666666666665</v>
      </c>
      <c r="AX127" s="22" t="str">
        <f t="shared" si="173"/>
        <v>Minors</v>
      </c>
      <c r="AY127" s="23">
        <f t="shared" si="174"/>
        <v>2.1666666666666665</v>
      </c>
      <c r="AZ127" s="23" t="str">
        <f t="shared" si="175"/>
        <v>Minors</v>
      </c>
      <c r="BA127" s="64">
        <f t="shared" si="176"/>
        <v>0</v>
      </c>
      <c r="BB127" s="65">
        <f t="shared" si="177"/>
        <v>0</v>
      </c>
      <c r="BC127" s="65">
        <f t="shared" si="178"/>
        <v>0</v>
      </c>
      <c r="BD127" s="65">
        <f t="shared" si="179"/>
        <v>0</v>
      </c>
      <c r="BE127" s="65">
        <f t="shared" si="180"/>
        <v>0</v>
      </c>
      <c r="BF127" s="65">
        <f t="shared" si="181"/>
        <v>0</v>
      </c>
      <c r="BG127" s="65">
        <f t="shared" si="182"/>
        <v>0</v>
      </c>
      <c r="BH127" s="65">
        <f t="shared" si="183"/>
        <v>0</v>
      </c>
      <c r="BI127" s="21">
        <f t="shared" si="184"/>
        <v>0</v>
      </c>
      <c r="BJ127" s="64">
        <f t="shared" si="185"/>
        <v>0</v>
      </c>
      <c r="BK127" s="65">
        <f t="shared" si="186"/>
        <v>0</v>
      </c>
      <c r="BL127" s="65">
        <f t="shared" si="187"/>
        <v>0</v>
      </c>
      <c r="BM127" s="65">
        <f t="shared" si="188"/>
        <v>0</v>
      </c>
      <c r="BN127" s="65">
        <f t="shared" si="189"/>
        <v>0</v>
      </c>
      <c r="BO127" s="65">
        <f t="shared" si="190"/>
        <v>0</v>
      </c>
      <c r="BP127" s="65">
        <f t="shared" si="191"/>
        <v>0</v>
      </c>
      <c r="BQ127" s="65">
        <f t="shared" si="192"/>
        <v>0</v>
      </c>
      <c r="BR127" s="21">
        <f t="shared" si="193"/>
        <v>0</v>
      </c>
      <c r="BS127" s="21">
        <f t="shared" si="194"/>
        <v>1</v>
      </c>
      <c r="BT127" s="24">
        <f t="shared" si="195"/>
        <v>1</v>
      </c>
      <c r="BU127" s="20" t="str">
        <f t="shared" si="196"/>
        <v/>
      </c>
      <c r="BV127" s="306">
        <f>IF(S127="-","-",VLOOKUP($A127,AMABat!$A$10:$AS$1137,BV$9,FALSE)-S127)</f>
        <v>1</v>
      </c>
      <c r="BW127" s="306">
        <f>IF(T127="-","-",VLOOKUP($A127,AMABat!$A$10:$AS$1137,BW$9,FALSE)-T127)</f>
        <v>2</v>
      </c>
      <c r="BX127" s="306">
        <f>IF(U127="-","-",VLOOKUP($A127,AMABat!$A$10:$AS$1137,BX$9,FALSE)-U127)</f>
        <v>0</v>
      </c>
      <c r="BY127" s="306">
        <f>IF(V127="-","-",VLOOKUP($A127,AMABat!$A$10:$AS$1137,BY$9,FALSE)-V127)</f>
        <v>1</v>
      </c>
      <c r="BZ127" s="306">
        <f>IF(W127="-","-",VLOOKUP($A127,AMABat!$A$10:$AS$1137,BZ$9,FALSE)-W127)</f>
        <v>0</v>
      </c>
      <c r="CA127" s="306">
        <f>IF(X127="-","-",VLOOKUP($A127,AMABat!$A$10:$AS$1137,CA$9,FALSE)-X127)</f>
        <v>1</v>
      </c>
      <c r="CB127" s="306">
        <f>IF(Y127="-","-",VLOOKUP($A127,AMABat!$A$10:$AS$1137,CB$9,FALSE)-Y127)</f>
        <v>0</v>
      </c>
      <c r="CC127" s="306">
        <f>IF(Z127="-","-",VLOOKUP($A127,AMABat!$A$10:$AS$1137,CC$9,FALSE)-Z127)</f>
        <v>1</v>
      </c>
      <c r="CD127" s="306">
        <f>IF(AA127="-","-",VLOOKUP($A127,AMABat!$A$10:$AS$1137,CD$9,FALSE)-AA127)</f>
        <v>0</v>
      </c>
      <c r="CE127" s="306">
        <f>IF(AB127="-","-",VLOOKUP($A127,AMABat!$A$10:$AS$1137,CE$9,FALSE)-AB127)</f>
        <v>2</v>
      </c>
      <c r="CF127" s="306">
        <f>IF(AC127="-","-",VLOOKUP($A127,AMABat!$A$10:$AS$1137,CF$9,FALSE)-AC127)</f>
        <v>0</v>
      </c>
      <c r="CG127" s="306">
        <f>IF(AD127="-","-",VLOOKUP($A127,AMABat!$A$10:$AS$1137,CG$9,FALSE)-AD127)</f>
        <v>0</v>
      </c>
      <c r="CH127" s="306">
        <f>IF(AE127="-","-",VLOOKUP($A127,AMABat!$A$10:$AS$1137,CH$9,FALSE)-AE127)</f>
        <v>0</v>
      </c>
      <c r="CI127" s="306" t="str">
        <f>IF(AG127="-","-",VLOOKUP($A127,AMABat!$A$10:$AS$1137,CI$9,FALSE)-AG127)</f>
        <v>-</v>
      </c>
      <c r="CJ127" s="306" t="str">
        <f>IF(AH127="-","-",VLOOKUP($A127,AMABat!$A$10:$AS$1137,CJ$9,FALSE)-AH127)</f>
        <v>-</v>
      </c>
      <c r="CK127" s="306" t="e">
        <f>IF(AI127="-","-",VLOOKUP($A127,AMABat!$A$10:$AS$1137,CK$9,FALSE)-AI127)</f>
        <v>#VALUE!</v>
      </c>
      <c r="CL127" s="306" t="str">
        <f>IF(AJ127="-","-",VLOOKUP($A127,AMABat!$A$10:$AS$1137,CL$9,FALSE)-AJ127)</f>
        <v>-</v>
      </c>
      <c r="CM127" s="306" t="str">
        <f>IF(AK127="-","-",VLOOKUP($A127,AMABat!$A$10:$AS$1137,CM$9,FALSE)-AK127)</f>
        <v>-</v>
      </c>
      <c r="CN127" s="306" t="str">
        <f>IF(AL127="-","-",VLOOKUP($A127,AMABat!$A$10:$AS$1137,CN$9,FALSE)-AL127)</f>
        <v>-</v>
      </c>
      <c r="CO127" s="306" t="str">
        <f>IF(AM127="-","-",VLOOKUP($A127,AMABat!$A$10:$AS$1137,CO$9,FALSE)-AM127)</f>
        <v>-</v>
      </c>
      <c r="CP127" s="306" t="str">
        <f>IF(AN127="-","-",VLOOKUP($A127,AMABat!$A$10:$AS$1137,CP$9,FALSE)-AN127)</f>
        <v>-</v>
      </c>
      <c r="CQ127" s="306" t="e">
        <f>IF(AO127="-","-",VLOOKUP($A127,AMABat!$A$10:$AS$1137,CQ$9,FALSE)-AO127)</f>
        <v>#VALUE!</v>
      </c>
      <c r="CR127" s="306">
        <f>IF(AP127="-","-",VLOOKUP($A127,AMABat!$A$10:$AS$1137,CR$9,FALSE)-AP127)</f>
        <v>4</v>
      </c>
      <c r="CS127" s="306">
        <f>IF(AQ127="-","-",VLOOKUP($A127,AMABat!$A$10:$AS$1137,CS$9,FALSE)-AQ127)</f>
        <v>3</v>
      </c>
      <c r="CT127" s="306">
        <f t="shared" si="197"/>
        <v>4</v>
      </c>
      <c r="CU127" s="306">
        <f t="shared" si="198"/>
        <v>4</v>
      </c>
      <c r="CV127" s="306" t="e">
        <f t="shared" si="199"/>
        <v>#VALUE!</v>
      </c>
      <c r="CW127" s="306" t="e">
        <f t="shared" si="200"/>
        <v>#VALUE!</v>
      </c>
      <c r="CX127" s="306" t="e">
        <f t="shared" si="201"/>
        <v>#VALUE!</v>
      </c>
    </row>
    <row r="128" spans="1:102" x14ac:dyDescent="0.25">
      <c r="A128" s="306" t="str">
        <f t="shared" si="166"/>
        <v>Will Lehman</v>
      </c>
      <c r="B128" s="305"/>
      <c r="C128" s="305"/>
      <c r="D128" s="305" t="str">
        <f t="shared" si="167"/>
        <v>-</v>
      </c>
      <c r="E128" s="305" t="str">
        <f t="shared" si="168"/>
        <v>-</v>
      </c>
      <c r="F128" s="305" t="str">
        <f t="shared" si="169"/>
        <v>K</v>
      </c>
      <c r="G128" s="305" t="s">
        <v>74</v>
      </c>
      <c r="H128" s="305" t="s">
        <v>471</v>
      </c>
      <c r="I128" s="305" t="s">
        <v>898</v>
      </c>
      <c r="J128" s="305" t="s">
        <v>810</v>
      </c>
      <c r="K128" s="305" t="s">
        <v>83</v>
      </c>
      <c r="L128" s="305">
        <v>19</v>
      </c>
      <c r="M128" s="305" t="s">
        <v>83</v>
      </c>
      <c r="N128" s="305" t="s">
        <v>83</v>
      </c>
      <c r="O128" s="305" t="s">
        <v>816</v>
      </c>
      <c r="P128" s="388" t="s">
        <v>808</v>
      </c>
      <c r="Q128" s="305" t="s">
        <v>200</v>
      </c>
      <c r="R128" s="388" t="s">
        <v>199</v>
      </c>
      <c r="S128" s="305">
        <v>1</v>
      </c>
      <c r="T128" s="305">
        <v>2</v>
      </c>
      <c r="U128" s="305">
        <v>2</v>
      </c>
      <c r="V128" s="305">
        <v>2</v>
      </c>
      <c r="W128" s="388">
        <v>1</v>
      </c>
      <c r="X128" s="305">
        <v>3</v>
      </c>
      <c r="Y128" s="305">
        <v>4</v>
      </c>
      <c r="Z128" s="305">
        <v>3</v>
      </c>
      <c r="AA128" s="305">
        <v>5</v>
      </c>
      <c r="AB128" s="388">
        <v>3</v>
      </c>
      <c r="AC128" s="305">
        <v>5</v>
      </c>
      <c r="AD128" s="305">
        <v>5</v>
      </c>
      <c r="AE128" s="305">
        <v>1</v>
      </c>
      <c r="AF128" s="305">
        <v>1</v>
      </c>
      <c r="AG128" s="305" t="s">
        <v>32</v>
      </c>
      <c r="AH128" s="305" t="s">
        <v>32</v>
      </c>
      <c r="AI128" s="305">
        <v>4</v>
      </c>
      <c r="AJ128" s="305" t="s">
        <v>32</v>
      </c>
      <c r="AK128" s="305" t="s">
        <v>32</v>
      </c>
      <c r="AL128" s="305" t="s">
        <v>32</v>
      </c>
      <c r="AM128" s="305" t="s">
        <v>32</v>
      </c>
      <c r="AN128" s="388" t="s">
        <v>32</v>
      </c>
      <c r="AO128" s="305">
        <v>8</v>
      </c>
      <c r="AP128" s="305">
        <v>7</v>
      </c>
      <c r="AQ128" s="388">
        <v>7</v>
      </c>
      <c r="AR128" s="305" t="s">
        <v>32</v>
      </c>
      <c r="AS128" s="388" t="s">
        <v>33</v>
      </c>
      <c r="AT128" s="387" t="s">
        <v>199</v>
      </c>
      <c r="AU128" s="22">
        <f t="shared" si="170"/>
        <v>-0.83333333333333326</v>
      </c>
      <c r="AV128" s="23" t="str">
        <f t="shared" si="171"/>
        <v>Minors</v>
      </c>
      <c r="AW128" s="22">
        <f t="shared" si="172"/>
        <v>2.1666666666666665</v>
      </c>
      <c r="AX128" s="22" t="str">
        <f t="shared" si="173"/>
        <v>Minors</v>
      </c>
      <c r="AY128" s="23">
        <f t="shared" si="174"/>
        <v>2.1666666666666665</v>
      </c>
      <c r="AZ128" s="23" t="str">
        <f t="shared" si="175"/>
        <v>Minors</v>
      </c>
      <c r="BA128" s="64">
        <f t="shared" si="176"/>
        <v>0</v>
      </c>
      <c r="BB128" s="65">
        <f t="shared" si="177"/>
        <v>0</v>
      </c>
      <c r="BC128" s="65">
        <f t="shared" si="178"/>
        <v>0</v>
      </c>
      <c r="BD128" s="65">
        <f t="shared" si="179"/>
        <v>0</v>
      </c>
      <c r="BE128" s="65">
        <f t="shared" si="180"/>
        <v>0</v>
      </c>
      <c r="BF128" s="65">
        <f t="shared" si="181"/>
        <v>0</v>
      </c>
      <c r="BG128" s="65">
        <f t="shared" si="182"/>
        <v>0</v>
      </c>
      <c r="BH128" s="65">
        <f t="shared" si="183"/>
        <v>0</v>
      </c>
      <c r="BI128" s="21">
        <f t="shared" si="184"/>
        <v>0</v>
      </c>
      <c r="BJ128" s="64">
        <f t="shared" si="185"/>
        <v>0</v>
      </c>
      <c r="BK128" s="65">
        <f t="shared" si="186"/>
        <v>0</v>
      </c>
      <c r="BL128" s="65">
        <f t="shared" si="187"/>
        <v>0</v>
      </c>
      <c r="BM128" s="65">
        <f t="shared" si="188"/>
        <v>0</v>
      </c>
      <c r="BN128" s="65">
        <f t="shared" si="189"/>
        <v>0</v>
      </c>
      <c r="BO128" s="65">
        <f t="shared" si="190"/>
        <v>0</v>
      </c>
      <c r="BP128" s="65">
        <f t="shared" si="191"/>
        <v>0</v>
      </c>
      <c r="BQ128" s="65">
        <f t="shared" si="192"/>
        <v>0</v>
      </c>
      <c r="BR128" s="21">
        <f t="shared" si="193"/>
        <v>0</v>
      </c>
      <c r="BS128" s="21">
        <f t="shared" si="194"/>
        <v>3</v>
      </c>
      <c r="BT128" s="24">
        <f t="shared" si="195"/>
        <v>0</v>
      </c>
      <c r="BU128" s="20" t="str">
        <f t="shared" si="196"/>
        <v/>
      </c>
      <c r="BV128" s="306">
        <f>IF(S128="-","-",VLOOKUP($A128,AMABat!$A$10:$AS$1137,BV$9,FALSE)-S128)</f>
        <v>1</v>
      </c>
      <c r="BW128" s="306">
        <f>IF(T128="-","-",VLOOKUP($A128,AMABat!$A$10:$AS$1137,BW$9,FALSE)-T128)</f>
        <v>1</v>
      </c>
      <c r="BX128" s="306">
        <f>IF(U128="-","-",VLOOKUP($A128,AMABat!$A$10:$AS$1137,BX$9,FALSE)-U128)</f>
        <v>0</v>
      </c>
      <c r="BY128" s="306">
        <f>IF(V128="-","-",VLOOKUP($A128,AMABat!$A$10:$AS$1137,BY$9,FALSE)-V128)</f>
        <v>0</v>
      </c>
      <c r="BZ128" s="306">
        <f>IF(W128="-","-",VLOOKUP($A128,AMABat!$A$10:$AS$1137,BZ$9,FALSE)-W128)</f>
        <v>0</v>
      </c>
      <c r="CA128" s="306">
        <f>IF(X128="-","-",VLOOKUP($A128,AMABat!$A$10:$AS$1137,CA$9,FALSE)-X128)</f>
        <v>1</v>
      </c>
      <c r="CB128" s="306">
        <f>IF(Y128="-","-",VLOOKUP($A128,AMABat!$A$10:$AS$1137,CB$9,FALSE)-Y128)</f>
        <v>1</v>
      </c>
      <c r="CC128" s="306">
        <f>IF(Z128="-","-",VLOOKUP($A128,AMABat!$A$10:$AS$1137,CC$9,FALSE)-Z128)</f>
        <v>0</v>
      </c>
      <c r="CD128" s="306">
        <f>IF(AA128="-","-",VLOOKUP($A128,AMABat!$A$10:$AS$1137,CD$9,FALSE)-AA128)</f>
        <v>0</v>
      </c>
      <c r="CE128" s="306">
        <f>IF(AB128="-","-",VLOOKUP($A128,AMABat!$A$10:$AS$1137,CE$9,FALSE)-AB128)</f>
        <v>1</v>
      </c>
      <c r="CF128" s="306">
        <f>IF(AC128="-","-",VLOOKUP($A128,AMABat!$A$10:$AS$1137,CF$9,FALSE)-AC128)</f>
        <v>0</v>
      </c>
      <c r="CG128" s="306">
        <f>IF(AD128="-","-",VLOOKUP($A128,AMABat!$A$10:$AS$1137,CG$9,FALSE)-AD128)</f>
        <v>0</v>
      </c>
      <c r="CH128" s="306">
        <f>IF(AE128="-","-",VLOOKUP($A128,AMABat!$A$10:$AS$1137,CH$9,FALSE)-AE128)</f>
        <v>0</v>
      </c>
      <c r="CI128" s="306" t="str">
        <f>IF(AG128="-","-",VLOOKUP($A128,AMABat!$A$10:$AS$1137,CI$9,FALSE)-AG128)</f>
        <v>-</v>
      </c>
      <c r="CJ128" s="306" t="str">
        <f>IF(AH128="-","-",VLOOKUP($A128,AMABat!$A$10:$AS$1137,CJ$9,FALSE)-AH128)</f>
        <v>-</v>
      </c>
      <c r="CK128" s="306" t="e">
        <f>IF(AI128="-","-",VLOOKUP($A128,AMABat!$A$10:$AS$1137,CK$9,FALSE)-AI128)</f>
        <v>#VALUE!</v>
      </c>
      <c r="CL128" s="306" t="str">
        <f>IF(AJ128="-","-",VLOOKUP($A128,AMABat!$A$10:$AS$1137,CL$9,FALSE)-AJ128)</f>
        <v>-</v>
      </c>
      <c r="CM128" s="306" t="str">
        <f>IF(AK128="-","-",VLOOKUP($A128,AMABat!$A$10:$AS$1137,CM$9,FALSE)-AK128)</f>
        <v>-</v>
      </c>
      <c r="CN128" s="306" t="str">
        <f>IF(AL128="-","-",VLOOKUP($A128,AMABat!$A$10:$AS$1137,CN$9,FALSE)-AL128)</f>
        <v>-</v>
      </c>
      <c r="CO128" s="306" t="str">
        <f>IF(AM128="-","-",VLOOKUP($A128,AMABat!$A$10:$AS$1137,CO$9,FALSE)-AM128)</f>
        <v>-</v>
      </c>
      <c r="CP128" s="306" t="str">
        <f>IF(AN128="-","-",VLOOKUP($A128,AMABat!$A$10:$AS$1137,CP$9,FALSE)-AN128)</f>
        <v>-</v>
      </c>
      <c r="CQ128" s="306" t="e">
        <f>IF(AO128="-","-",VLOOKUP($A128,AMABat!$A$10:$AS$1137,CQ$9,FALSE)-AO128)</f>
        <v>#VALUE!</v>
      </c>
      <c r="CR128" s="306">
        <f>IF(AP128="-","-",VLOOKUP($A128,AMABat!$A$10:$AS$1137,CR$9,FALSE)-AP128)</f>
        <v>1</v>
      </c>
      <c r="CS128" s="306">
        <f>IF(AQ128="-","-",VLOOKUP($A128,AMABat!$A$10:$AS$1137,CS$9,FALSE)-AQ128)</f>
        <v>-1</v>
      </c>
      <c r="CT128" s="306">
        <f t="shared" si="197"/>
        <v>2</v>
      </c>
      <c r="CU128" s="306">
        <f t="shared" si="198"/>
        <v>3</v>
      </c>
      <c r="CV128" s="306" t="e">
        <f t="shared" si="199"/>
        <v>#VALUE!</v>
      </c>
      <c r="CW128" s="306" t="e">
        <f t="shared" si="200"/>
        <v>#VALUE!</v>
      </c>
      <c r="CX128" s="306" t="e">
        <f t="shared" si="201"/>
        <v>#VALUE!</v>
      </c>
    </row>
    <row r="129" spans="1:102" x14ac:dyDescent="0.25">
      <c r="A129" s="306" t="str">
        <f t="shared" si="166"/>
        <v>Mario Carranza</v>
      </c>
      <c r="B129" s="305"/>
      <c r="C129" s="305"/>
      <c r="D129" s="305" t="str">
        <f t="shared" si="167"/>
        <v>-</v>
      </c>
      <c r="E129" s="305" t="str">
        <f t="shared" si="168"/>
        <v>-</v>
      </c>
      <c r="F129" s="305" t="str">
        <f t="shared" si="169"/>
        <v>K</v>
      </c>
      <c r="G129" s="305" t="s">
        <v>71</v>
      </c>
      <c r="H129" s="305" t="s">
        <v>837</v>
      </c>
      <c r="I129" s="305" t="s">
        <v>887</v>
      </c>
      <c r="J129" s="305" t="s">
        <v>763</v>
      </c>
      <c r="K129" s="305" t="s">
        <v>16</v>
      </c>
      <c r="L129" s="305">
        <v>19</v>
      </c>
      <c r="M129" s="305" t="s">
        <v>83</v>
      </c>
      <c r="N129" s="305" t="s">
        <v>83</v>
      </c>
      <c r="O129" s="305" t="s">
        <v>816</v>
      </c>
      <c r="P129" s="388" t="s">
        <v>808</v>
      </c>
      <c r="Q129" s="305" t="s">
        <v>201</v>
      </c>
      <c r="R129" s="388" t="s">
        <v>200</v>
      </c>
      <c r="S129" s="305">
        <v>1</v>
      </c>
      <c r="T129" s="305">
        <v>2</v>
      </c>
      <c r="U129" s="305">
        <v>2</v>
      </c>
      <c r="V129" s="305">
        <v>2</v>
      </c>
      <c r="W129" s="388">
        <v>1</v>
      </c>
      <c r="X129" s="305">
        <v>2</v>
      </c>
      <c r="Y129" s="305">
        <v>3</v>
      </c>
      <c r="Z129" s="305">
        <v>5</v>
      </c>
      <c r="AA129" s="305">
        <v>5</v>
      </c>
      <c r="AB129" s="388">
        <v>2</v>
      </c>
      <c r="AC129" s="305">
        <v>3</v>
      </c>
      <c r="AD129" s="305">
        <v>4</v>
      </c>
      <c r="AE129" s="305">
        <v>5</v>
      </c>
      <c r="AF129" s="305">
        <v>6</v>
      </c>
      <c r="AG129" s="305">
        <v>5</v>
      </c>
      <c r="AH129" s="305" t="s">
        <v>32</v>
      </c>
      <c r="AI129" s="305" t="s">
        <v>32</v>
      </c>
      <c r="AJ129" s="305" t="s">
        <v>32</v>
      </c>
      <c r="AK129" s="305" t="s">
        <v>32</v>
      </c>
      <c r="AL129" s="305" t="s">
        <v>32</v>
      </c>
      <c r="AM129" s="305" t="s">
        <v>32</v>
      </c>
      <c r="AN129" s="388" t="s">
        <v>32</v>
      </c>
      <c r="AO129" s="305">
        <v>3</v>
      </c>
      <c r="AP129" s="305">
        <v>4</v>
      </c>
      <c r="AQ129" s="388">
        <v>1</v>
      </c>
      <c r="AR129" s="305" t="s">
        <v>32</v>
      </c>
      <c r="AS129" s="388">
        <v>0</v>
      </c>
      <c r="AT129" s="387" t="s">
        <v>199</v>
      </c>
      <c r="AU129" s="22">
        <f t="shared" si="170"/>
        <v>-0.83333333333333326</v>
      </c>
      <c r="AV129" s="23" t="str">
        <f t="shared" si="171"/>
        <v>Minors</v>
      </c>
      <c r="AW129" s="22">
        <f t="shared" si="172"/>
        <v>2</v>
      </c>
      <c r="AX129" s="22" t="str">
        <f t="shared" si="173"/>
        <v>Minors</v>
      </c>
      <c r="AY129" s="23">
        <f t="shared" si="174"/>
        <v>2</v>
      </c>
      <c r="AZ129" s="23" t="str">
        <f t="shared" si="175"/>
        <v>Minors</v>
      </c>
      <c r="BA129" s="64">
        <f t="shared" si="176"/>
        <v>0</v>
      </c>
      <c r="BB129" s="65">
        <f t="shared" si="177"/>
        <v>0</v>
      </c>
      <c r="BC129" s="65">
        <f t="shared" si="178"/>
        <v>0</v>
      </c>
      <c r="BD129" s="65">
        <f t="shared" si="179"/>
        <v>0</v>
      </c>
      <c r="BE129" s="65">
        <f t="shared" si="180"/>
        <v>0</v>
      </c>
      <c r="BF129" s="65">
        <f t="shared" si="181"/>
        <v>0</v>
      </c>
      <c r="BG129" s="65">
        <f t="shared" si="182"/>
        <v>0</v>
      </c>
      <c r="BH129" s="65">
        <f t="shared" si="183"/>
        <v>0</v>
      </c>
      <c r="BI129" s="21">
        <f t="shared" si="184"/>
        <v>0</v>
      </c>
      <c r="BJ129" s="64">
        <f t="shared" si="185"/>
        <v>0</v>
      </c>
      <c r="BK129" s="65">
        <f t="shared" si="186"/>
        <v>0</v>
      </c>
      <c r="BL129" s="65">
        <f t="shared" si="187"/>
        <v>0</v>
      </c>
      <c r="BM129" s="65">
        <f t="shared" si="188"/>
        <v>0</v>
      </c>
      <c r="BN129" s="65">
        <f t="shared" si="189"/>
        <v>0</v>
      </c>
      <c r="BO129" s="65">
        <f t="shared" si="190"/>
        <v>0</v>
      </c>
      <c r="BP129" s="65">
        <f t="shared" si="191"/>
        <v>0</v>
      </c>
      <c r="BQ129" s="65">
        <f t="shared" si="192"/>
        <v>0</v>
      </c>
      <c r="BR129" s="21">
        <f t="shared" si="193"/>
        <v>0</v>
      </c>
      <c r="BS129" s="21">
        <f t="shared" si="194"/>
        <v>0</v>
      </c>
      <c r="BT129" s="24">
        <f t="shared" si="195"/>
        <v>1</v>
      </c>
      <c r="BU129" s="20" t="str">
        <f t="shared" si="196"/>
        <v/>
      </c>
      <c r="BV129" s="306" t="e">
        <f>IF(S129="-","-",VLOOKUP($A129,AMABat!$A$10:$AS$1137,BV$9,FALSE)-S129)</f>
        <v>#N/A</v>
      </c>
      <c r="BW129" s="306" t="e">
        <f>IF(T129="-","-",VLOOKUP($A129,AMABat!$A$10:$AS$1137,BW$9,FALSE)-T129)</f>
        <v>#N/A</v>
      </c>
      <c r="BX129" s="306" t="e">
        <f>IF(U129="-","-",VLOOKUP($A129,AMABat!$A$10:$AS$1137,BX$9,FALSE)-U129)</f>
        <v>#N/A</v>
      </c>
      <c r="BY129" s="306" t="e">
        <f>IF(V129="-","-",VLOOKUP($A129,AMABat!$A$10:$AS$1137,BY$9,FALSE)-V129)</f>
        <v>#N/A</v>
      </c>
      <c r="BZ129" s="306" t="e">
        <f>IF(W129="-","-",VLOOKUP($A129,AMABat!$A$10:$AS$1137,BZ$9,FALSE)-W129)</f>
        <v>#N/A</v>
      </c>
      <c r="CA129" s="306" t="e">
        <f>IF(X129="-","-",VLOOKUP($A129,AMABat!$A$10:$AS$1137,CA$9,FALSE)-X129)</f>
        <v>#N/A</v>
      </c>
      <c r="CB129" s="306" t="e">
        <f>IF(Y129="-","-",VLOOKUP($A129,AMABat!$A$10:$AS$1137,CB$9,FALSE)-Y129)</f>
        <v>#N/A</v>
      </c>
      <c r="CC129" s="306" t="e">
        <f>IF(Z129="-","-",VLOOKUP($A129,AMABat!$A$10:$AS$1137,CC$9,FALSE)-Z129)</f>
        <v>#N/A</v>
      </c>
      <c r="CD129" s="306" t="e">
        <f>IF(AA129="-","-",VLOOKUP($A129,AMABat!$A$10:$AS$1137,CD$9,FALSE)-AA129)</f>
        <v>#N/A</v>
      </c>
      <c r="CE129" s="306" t="e">
        <f>IF(AB129="-","-",VLOOKUP($A129,AMABat!$A$10:$AS$1137,CE$9,FALSE)-AB129)</f>
        <v>#N/A</v>
      </c>
      <c r="CF129" s="306" t="e">
        <f>IF(AC129="-","-",VLOOKUP($A129,AMABat!$A$10:$AS$1137,CF$9,FALSE)-AC129)</f>
        <v>#N/A</v>
      </c>
      <c r="CG129" s="306" t="e">
        <f>IF(AD129="-","-",VLOOKUP($A129,AMABat!$A$10:$AS$1137,CG$9,FALSE)-AD129)</f>
        <v>#N/A</v>
      </c>
      <c r="CH129" s="306" t="e">
        <f>IF(AE129="-","-",VLOOKUP($A129,AMABat!$A$10:$AS$1137,CH$9,FALSE)-AE129)</f>
        <v>#N/A</v>
      </c>
      <c r="CI129" s="306" t="e">
        <f>IF(AG129="-","-",VLOOKUP($A129,AMABat!$A$10:$AS$1137,CI$9,FALSE)-AG129)</f>
        <v>#N/A</v>
      </c>
      <c r="CJ129" s="306" t="str">
        <f>IF(AH129="-","-",VLOOKUP($A129,AMABat!$A$10:$AS$1137,CJ$9,FALSE)-AH129)</f>
        <v>-</v>
      </c>
      <c r="CK129" s="306" t="str">
        <f>IF(AI129="-","-",VLOOKUP($A129,AMABat!$A$10:$AS$1137,CK$9,FALSE)-AI129)</f>
        <v>-</v>
      </c>
      <c r="CL129" s="306" t="str">
        <f>IF(AJ129="-","-",VLOOKUP($A129,AMABat!$A$10:$AS$1137,CL$9,FALSE)-AJ129)</f>
        <v>-</v>
      </c>
      <c r="CM129" s="306" t="str">
        <f>IF(AK129="-","-",VLOOKUP($A129,AMABat!$A$10:$AS$1137,CM$9,FALSE)-AK129)</f>
        <v>-</v>
      </c>
      <c r="CN129" s="306" t="str">
        <f>IF(AL129="-","-",VLOOKUP($A129,AMABat!$A$10:$AS$1137,CN$9,FALSE)-AL129)</f>
        <v>-</v>
      </c>
      <c r="CO129" s="306" t="str">
        <f>IF(AM129="-","-",VLOOKUP($A129,AMABat!$A$10:$AS$1137,CO$9,FALSE)-AM129)</f>
        <v>-</v>
      </c>
      <c r="CP129" s="306" t="str">
        <f>IF(AN129="-","-",VLOOKUP($A129,AMABat!$A$10:$AS$1137,CP$9,FALSE)-AN129)</f>
        <v>-</v>
      </c>
      <c r="CQ129" s="306" t="e">
        <f>IF(AO129="-","-",VLOOKUP($A129,AMABat!$A$10:$AS$1137,CQ$9,FALSE)-AO129)</f>
        <v>#N/A</v>
      </c>
      <c r="CR129" s="306" t="e">
        <f>IF(AP129="-","-",VLOOKUP($A129,AMABat!$A$10:$AS$1137,CR$9,FALSE)-AP129)</f>
        <v>#N/A</v>
      </c>
      <c r="CS129" s="306" t="e">
        <f>IF(AQ129="-","-",VLOOKUP($A129,AMABat!$A$10:$AS$1137,CS$9,FALSE)-AQ129)</f>
        <v>#N/A</v>
      </c>
      <c r="CT129" s="306" t="e">
        <f t="shared" si="197"/>
        <v>#N/A</v>
      </c>
      <c r="CU129" s="306" t="e">
        <f t="shared" si="198"/>
        <v>#N/A</v>
      </c>
      <c r="CV129" s="306" t="e">
        <f t="shared" si="199"/>
        <v>#N/A</v>
      </c>
      <c r="CW129" s="306" t="e">
        <f t="shared" si="200"/>
        <v>#N/A</v>
      </c>
      <c r="CX129" s="306" t="e">
        <f t="shared" si="201"/>
        <v>#N/A</v>
      </c>
    </row>
    <row r="130" spans="1:102" x14ac:dyDescent="0.25">
      <c r="A130" s="306" t="str">
        <f t="shared" si="166"/>
        <v>Billy Allen</v>
      </c>
      <c r="B130" s="305"/>
      <c r="C130" s="305"/>
      <c r="D130" s="305" t="str">
        <f t="shared" si="167"/>
        <v>-</v>
      </c>
      <c r="E130" s="305" t="str">
        <f t="shared" si="168"/>
        <v>-</v>
      </c>
      <c r="F130" s="305" t="str">
        <f t="shared" si="169"/>
        <v>K</v>
      </c>
      <c r="G130" s="305" t="s">
        <v>76</v>
      </c>
      <c r="H130" s="305" t="s">
        <v>1193</v>
      </c>
      <c r="I130" s="305" t="s">
        <v>1194</v>
      </c>
      <c r="J130" s="305" t="s">
        <v>802</v>
      </c>
      <c r="K130" s="305" t="s">
        <v>277</v>
      </c>
      <c r="L130" s="305">
        <v>22</v>
      </c>
      <c r="M130" s="305" t="s">
        <v>83</v>
      </c>
      <c r="N130" s="305" t="s">
        <v>83</v>
      </c>
      <c r="O130" s="305" t="s">
        <v>816</v>
      </c>
      <c r="P130" s="388" t="s">
        <v>808</v>
      </c>
      <c r="Q130" s="305" t="s">
        <v>200</v>
      </c>
      <c r="R130" s="388" t="s">
        <v>200</v>
      </c>
      <c r="S130" s="305">
        <v>1</v>
      </c>
      <c r="T130" s="305">
        <v>2</v>
      </c>
      <c r="U130" s="305">
        <v>2</v>
      </c>
      <c r="V130" s="305">
        <v>2</v>
      </c>
      <c r="W130" s="388">
        <v>1</v>
      </c>
      <c r="X130" s="305">
        <v>2</v>
      </c>
      <c r="Y130" s="305">
        <v>3</v>
      </c>
      <c r="Z130" s="305">
        <v>2</v>
      </c>
      <c r="AA130" s="305">
        <v>4</v>
      </c>
      <c r="AB130" s="388">
        <v>3</v>
      </c>
      <c r="AC130" s="305">
        <v>9</v>
      </c>
      <c r="AD130" s="305">
        <v>10</v>
      </c>
      <c r="AE130" s="305">
        <v>1</v>
      </c>
      <c r="AF130" s="305">
        <v>1</v>
      </c>
      <c r="AG130" s="305" t="s">
        <v>32</v>
      </c>
      <c r="AH130" s="305" t="s">
        <v>32</v>
      </c>
      <c r="AI130" s="305" t="s">
        <v>32</v>
      </c>
      <c r="AJ130" s="305">
        <v>3</v>
      </c>
      <c r="AK130" s="305">
        <v>5</v>
      </c>
      <c r="AL130" s="305">
        <v>1</v>
      </c>
      <c r="AM130" s="305" t="s">
        <v>32</v>
      </c>
      <c r="AN130" s="388">
        <v>1</v>
      </c>
      <c r="AO130" s="305">
        <v>4</v>
      </c>
      <c r="AP130" s="305">
        <v>9</v>
      </c>
      <c r="AQ130" s="388">
        <v>7</v>
      </c>
      <c r="AR130" s="305" t="s">
        <v>32</v>
      </c>
      <c r="AS130" s="388" t="s">
        <v>33</v>
      </c>
      <c r="AT130" s="387" t="s">
        <v>529</v>
      </c>
      <c r="AU130" s="22">
        <f t="shared" si="170"/>
        <v>-0.83333333333333326</v>
      </c>
      <c r="AV130" s="23" t="str">
        <f t="shared" si="171"/>
        <v>Minors</v>
      </c>
      <c r="AW130" s="22">
        <f t="shared" si="172"/>
        <v>0.66666666666666652</v>
      </c>
      <c r="AX130" s="22" t="str">
        <f t="shared" si="173"/>
        <v>Minors</v>
      </c>
      <c r="AY130" s="23">
        <f t="shared" si="174"/>
        <v>0.66666666666666652</v>
      </c>
      <c r="AZ130" s="23" t="str">
        <f t="shared" si="175"/>
        <v>Minors</v>
      </c>
      <c r="BA130" s="64">
        <f t="shared" si="176"/>
        <v>0</v>
      </c>
      <c r="BB130" s="65">
        <f t="shared" si="177"/>
        <v>0</v>
      </c>
      <c r="BC130" s="65">
        <f t="shared" si="178"/>
        <v>0</v>
      </c>
      <c r="BD130" s="65">
        <f t="shared" si="179"/>
        <v>0</v>
      </c>
      <c r="BE130" s="65">
        <f t="shared" si="180"/>
        <v>0</v>
      </c>
      <c r="BF130" s="65">
        <f t="shared" si="181"/>
        <v>0</v>
      </c>
      <c r="BG130" s="65">
        <f t="shared" si="182"/>
        <v>0</v>
      </c>
      <c r="BH130" s="65">
        <f t="shared" si="183"/>
        <v>0</v>
      </c>
      <c r="BI130" s="21">
        <f t="shared" si="184"/>
        <v>0</v>
      </c>
      <c r="BJ130" s="64">
        <f t="shared" si="185"/>
        <v>0</v>
      </c>
      <c r="BK130" s="65">
        <f t="shared" si="186"/>
        <v>0</v>
      </c>
      <c r="BL130" s="65">
        <f t="shared" si="187"/>
        <v>0</v>
      </c>
      <c r="BM130" s="65">
        <f t="shared" si="188"/>
        <v>0</v>
      </c>
      <c r="BN130" s="65">
        <f t="shared" si="189"/>
        <v>0</v>
      </c>
      <c r="BO130" s="65">
        <f t="shared" si="190"/>
        <v>0</v>
      </c>
      <c r="BP130" s="65">
        <f t="shared" si="191"/>
        <v>0</v>
      </c>
      <c r="BQ130" s="65">
        <f t="shared" si="192"/>
        <v>0</v>
      </c>
      <c r="BR130" s="21">
        <f t="shared" si="193"/>
        <v>0</v>
      </c>
      <c r="BS130" s="21">
        <f t="shared" si="194"/>
        <v>2</v>
      </c>
      <c r="BT130" s="24">
        <f t="shared" si="195"/>
        <v>1</v>
      </c>
      <c r="BU130" s="20" t="str">
        <f t="shared" si="196"/>
        <v/>
      </c>
      <c r="BV130" s="306" t="e">
        <f>IF(S130="-","-",VLOOKUP($A130,AMABat!$A$10:$AS$1137,BV$9,FALSE)-S130)</f>
        <v>#N/A</v>
      </c>
      <c r="BW130" s="306" t="e">
        <f>IF(T130="-","-",VLOOKUP($A130,AMABat!$A$10:$AS$1137,BW$9,FALSE)-T130)</f>
        <v>#N/A</v>
      </c>
      <c r="BX130" s="306" t="e">
        <f>IF(U130="-","-",VLOOKUP($A130,AMABat!$A$10:$AS$1137,BX$9,FALSE)-U130)</f>
        <v>#N/A</v>
      </c>
      <c r="BY130" s="306" t="e">
        <f>IF(V130="-","-",VLOOKUP($A130,AMABat!$A$10:$AS$1137,BY$9,FALSE)-V130)</f>
        <v>#N/A</v>
      </c>
      <c r="BZ130" s="306" t="e">
        <f>IF(W130="-","-",VLOOKUP($A130,AMABat!$A$10:$AS$1137,BZ$9,FALSE)-W130)</f>
        <v>#N/A</v>
      </c>
      <c r="CA130" s="306" t="e">
        <f>IF(X130="-","-",VLOOKUP($A130,AMABat!$A$10:$AS$1137,CA$9,FALSE)-X130)</f>
        <v>#N/A</v>
      </c>
      <c r="CB130" s="306" t="e">
        <f>IF(Y130="-","-",VLOOKUP($A130,AMABat!$A$10:$AS$1137,CB$9,FALSE)-Y130)</f>
        <v>#N/A</v>
      </c>
      <c r="CC130" s="306" t="e">
        <f>IF(Z130="-","-",VLOOKUP($A130,AMABat!$A$10:$AS$1137,CC$9,FALSE)-Z130)</f>
        <v>#N/A</v>
      </c>
      <c r="CD130" s="306" t="e">
        <f>IF(AA130="-","-",VLOOKUP($A130,AMABat!$A$10:$AS$1137,CD$9,FALSE)-AA130)</f>
        <v>#N/A</v>
      </c>
      <c r="CE130" s="306" t="e">
        <f>IF(AB130="-","-",VLOOKUP($A130,AMABat!$A$10:$AS$1137,CE$9,FALSE)-AB130)</f>
        <v>#N/A</v>
      </c>
      <c r="CF130" s="306" t="e">
        <f>IF(AC130="-","-",VLOOKUP($A130,AMABat!$A$10:$AS$1137,CF$9,FALSE)-AC130)</f>
        <v>#N/A</v>
      </c>
      <c r="CG130" s="306" t="e">
        <f>IF(AD130="-","-",VLOOKUP($A130,AMABat!$A$10:$AS$1137,CG$9,FALSE)-AD130)</f>
        <v>#N/A</v>
      </c>
      <c r="CH130" s="306" t="e">
        <f>IF(AE130="-","-",VLOOKUP($A130,AMABat!$A$10:$AS$1137,CH$9,FALSE)-AE130)</f>
        <v>#N/A</v>
      </c>
      <c r="CI130" s="306" t="str">
        <f>IF(AG130="-","-",VLOOKUP($A130,AMABat!$A$10:$AS$1137,CI$9,FALSE)-AG130)</f>
        <v>-</v>
      </c>
      <c r="CJ130" s="306" t="str">
        <f>IF(AH130="-","-",VLOOKUP($A130,AMABat!$A$10:$AS$1137,CJ$9,FALSE)-AH130)</f>
        <v>-</v>
      </c>
      <c r="CK130" s="306" t="str">
        <f>IF(AI130="-","-",VLOOKUP($A130,AMABat!$A$10:$AS$1137,CK$9,FALSE)-AI130)</f>
        <v>-</v>
      </c>
      <c r="CL130" s="306" t="e">
        <f>IF(AJ130="-","-",VLOOKUP($A130,AMABat!$A$10:$AS$1137,CL$9,FALSE)-AJ130)</f>
        <v>#N/A</v>
      </c>
      <c r="CM130" s="306" t="e">
        <f>IF(AK130="-","-",VLOOKUP($A130,AMABat!$A$10:$AS$1137,CM$9,FALSE)-AK130)</f>
        <v>#N/A</v>
      </c>
      <c r="CN130" s="306" t="e">
        <f>IF(AL130="-","-",VLOOKUP($A130,AMABat!$A$10:$AS$1137,CN$9,FALSE)-AL130)</f>
        <v>#N/A</v>
      </c>
      <c r="CO130" s="306" t="str">
        <f>IF(AM130="-","-",VLOOKUP($A130,AMABat!$A$10:$AS$1137,CO$9,FALSE)-AM130)</f>
        <v>-</v>
      </c>
      <c r="CP130" s="306" t="e">
        <f>IF(AN130="-","-",VLOOKUP($A130,AMABat!$A$10:$AS$1137,CP$9,FALSE)-AN130)</f>
        <v>#N/A</v>
      </c>
      <c r="CQ130" s="306" t="e">
        <f>IF(AO130="-","-",VLOOKUP($A130,AMABat!$A$10:$AS$1137,CQ$9,FALSE)-AO130)</f>
        <v>#N/A</v>
      </c>
      <c r="CR130" s="306" t="e">
        <f>IF(AP130="-","-",VLOOKUP($A130,AMABat!$A$10:$AS$1137,CR$9,FALSE)-AP130)</f>
        <v>#N/A</v>
      </c>
      <c r="CS130" s="306" t="e">
        <f>IF(AQ130="-","-",VLOOKUP($A130,AMABat!$A$10:$AS$1137,CS$9,FALSE)-AQ130)</f>
        <v>#N/A</v>
      </c>
      <c r="CT130" s="306" t="e">
        <f t="shared" si="197"/>
        <v>#N/A</v>
      </c>
      <c r="CU130" s="306" t="e">
        <f t="shared" si="198"/>
        <v>#N/A</v>
      </c>
      <c r="CV130" s="306" t="e">
        <f t="shared" si="199"/>
        <v>#N/A</v>
      </c>
      <c r="CW130" s="306" t="e">
        <f t="shared" si="200"/>
        <v>#N/A</v>
      </c>
      <c r="CX130" s="306" t="e">
        <f t="shared" si="201"/>
        <v>#N/A</v>
      </c>
    </row>
    <row r="131" spans="1:102" x14ac:dyDescent="0.25">
      <c r="A131" s="306" t="str">
        <f t="shared" si="166"/>
        <v>Ánibal Cruz</v>
      </c>
      <c r="B131" s="305"/>
      <c r="C131" s="305"/>
      <c r="D131" s="305" t="str">
        <f t="shared" si="167"/>
        <v>-</v>
      </c>
      <c r="E131" s="305" t="str">
        <f t="shared" si="168"/>
        <v>-</v>
      </c>
      <c r="F131" s="305" t="str">
        <f t="shared" si="169"/>
        <v>K</v>
      </c>
      <c r="G131" s="305" t="s">
        <v>73</v>
      </c>
      <c r="H131" s="305" t="s">
        <v>890</v>
      </c>
      <c r="I131" s="305" t="s">
        <v>420</v>
      </c>
      <c r="J131" s="305" t="s">
        <v>810</v>
      </c>
      <c r="K131" s="305" t="s">
        <v>83</v>
      </c>
      <c r="L131" s="305">
        <v>19</v>
      </c>
      <c r="M131" s="305" t="s">
        <v>83</v>
      </c>
      <c r="N131" s="305" t="s">
        <v>83</v>
      </c>
      <c r="O131" s="305" t="s">
        <v>816</v>
      </c>
      <c r="P131" s="388" t="s">
        <v>816</v>
      </c>
      <c r="Q131" s="305" t="s">
        <v>200</v>
      </c>
      <c r="R131" s="388" t="s">
        <v>199</v>
      </c>
      <c r="S131" s="305">
        <v>1</v>
      </c>
      <c r="T131" s="305">
        <v>2</v>
      </c>
      <c r="U131" s="305">
        <v>2</v>
      </c>
      <c r="V131" s="305">
        <v>2</v>
      </c>
      <c r="W131" s="388">
        <v>1</v>
      </c>
      <c r="X131" s="305">
        <v>2</v>
      </c>
      <c r="Y131" s="305">
        <v>2</v>
      </c>
      <c r="Z131" s="305">
        <v>2</v>
      </c>
      <c r="AA131" s="305">
        <v>3</v>
      </c>
      <c r="AB131" s="388">
        <v>1</v>
      </c>
      <c r="AC131" s="305">
        <v>3</v>
      </c>
      <c r="AD131" s="305">
        <v>4</v>
      </c>
      <c r="AE131" s="305">
        <v>1</v>
      </c>
      <c r="AF131" s="305">
        <v>1</v>
      </c>
      <c r="AG131" s="305" t="s">
        <v>32</v>
      </c>
      <c r="AH131" s="305">
        <v>2</v>
      </c>
      <c r="AI131" s="305" t="s">
        <v>32</v>
      </c>
      <c r="AJ131" s="305" t="s">
        <v>32</v>
      </c>
      <c r="AK131" s="305" t="s">
        <v>32</v>
      </c>
      <c r="AL131" s="305" t="s">
        <v>32</v>
      </c>
      <c r="AM131" s="305" t="s">
        <v>32</v>
      </c>
      <c r="AN131" s="388" t="s">
        <v>32</v>
      </c>
      <c r="AO131" s="305">
        <v>1</v>
      </c>
      <c r="AP131" s="305">
        <v>5</v>
      </c>
      <c r="AQ131" s="388">
        <v>6</v>
      </c>
      <c r="AR131" s="305" t="s">
        <v>32</v>
      </c>
      <c r="AS131" s="388">
        <v>0</v>
      </c>
      <c r="AT131" s="387" t="s">
        <v>199</v>
      </c>
      <c r="AU131" s="22">
        <f t="shared" si="170"/>
        <v>-0.83333333333333326</v>
      </c>
      <c r="AV131" s="23" t="str">
        <f t="shared" si="171"/>
        <v>Minors</v>
      </c>
      <c r="AW131" s="22">
        <f t="shared" si="172"/>
        <v>0.33333333333333348</v>
      </c>
      <c r="AX131" s="22" t="str">
        <f t="shared" si="173"/>
        <v>Minors</v>
      </c>
      <c r="AY131" s="23">
        <f t="shared" si="174"/>
        <v>0.33333333333333348</v>
      </c>
      <c r="AZ131" s="23" t="str">
        <f t="shared" si="175"/>
        <v>Minors</v>
      </c>
      <c r="BA131" s="64">
        <f t="shared" si="176"/>
        <v>0</v>
      </c>
      <c r="BB131" s="65">
        <f t="shared" si="177"/>
        <v>0</v>
      </c>
      <c r="BC131" s="65">
        <f t="shared" si="178"/>
        <v>0</v>
      </c>
      <c r="BD131" s="65">
        <f t="shared" si="179"/>
        <v>0</v>
      </c>
      <c r="BE131" s="65">
        <f t="shared" si="180"/>
        <v>0</v>
      </c>
      <c r="BF131" s="65">
        <f t="shared" si="181"/>
        <v>0</v>
      </c>
      <c r="BG131" s="65">
        <f t="shared" si="182"/>
        <v>0</v>
      </c>
      <c r="BH131" s="65">
        <f t="shared" si="183"/>
        <v>0</v>
      </c>
      <c r="BI131" s="21">
        <f t="shared" si="184"/>
        <v>0</v>
      </c>
      <c r="BJ131" s="64">
        <f t="shared" si="185"/>
        <v>0</v>
      </c>
      <c r="BK131" s="65">
        <f t="shared" si="186"/>
        <v>0</v>
      </c>
      <c r="BL131" s="65">
        <f t="shared" si="187"/>
        <v>0</v>
      </c>
      <c r="BM131" s="65">
        <f t="shared" si="188"/>
        <v>0</v>
      </c>
      <c r="BN131" s="65">
        <f t="shared" si="189"/>
        <v>0</v>
      </c>
      <c r="BO131" s="65">
        <f t="shared" si="190"/>
        <v>0</v>
      </c>
      <c r="BP131" s="65">
        <f t="shared" si="191"/>
        <v>0</v>
      </c>
      <c r="BQ131" s="65">
        <f t="shared" si="192"/>
        <v>0</v>
      </c>
      <c r="BR131" s="21">
        <f t="shared" si="193"/>
        <v>0</v>
      </c>
      <c r="BS131" s="21">
        <f t="shared" si="194"/>
        <v>0</v>
      </c>
      <c r="BT131" s="24">
        <f t="shared" si="195"/>
        <v>0</v>
      </c>
      <c r="BU131" s="20" t="str">
        <f t="shared" si="196"/>
        <v/>
      </c>
      <c r="BV131" s="306" t="e">
        <f>IF(S131="-","-",VLOOKUP($A131,AMABat!$A$10:$AS$1137,BV$9,FALSE)-S131)</f>
        <v>#N/A</v>
      </c>
      <c r="BW131" s="306" t="e">
        <f>IF(T131="-","-",VLOOKUP($A131,AMABat!$A$10:$AS$1137,BW$9,FALSE)-T131)</f>
        <v>#N/A</v>
      </c>
      <c r="BX131" s="306" t="e">
        <f>IF(U131="-","-",VLOOKUP($A131,AMABat!$A$10:$AS$1137,BX$9,FALSE)-U131)</f>
        <v>#N/A</v>
      </c>
      <c r="BY131" s="306" t="e">
        <f>IF(V131="-","-",VLOOKUP($A131,AMABat!$A$10:$AS$1137,BY$9,FALSE)-V131)</f>
        <v>#N/A</v>
      </c>
      <c r="BZ131" s="306" t="e">
        <f>IF(W131="-","-",VLOOKUP($A131,AMABat!$A$10:$AS$1137,BZ$9,FALSE)-W131)</f>
        <v>#N/A</v>
      </c>
      <c r="CA131" s="306" t="e">
        <f>IF(X131="-","-",VLOOKUP($A131,AMABat!$A$10:$AS$1137,CA$9,FALSE)-X131)</f>
        <v>#N/A</v>
      </c>
      <c r="CB131" s="306" t="e">
        <f>IF(Y131="-","-",VLOOKUP($A131,AMABat!$A$10:$AS$1137,CB$9,FALSE)-Y131)</f>
        <v>#N/A</v>
      </c>
      <c r="CC131" s="306" t="e">
        <f>IF(Z131="-","-",VLOOKUP($A131,AMABat!$A$10:$AS$1137,CC$9,FALSE)-Z131)</f>
        <v>#N/A</v>
      </c>
      <c r="CD131" s="306" t="e">
        <f>IF(AA131="-","-",VLOOKUP($A131,AMABat!$A$10:$AS$1137,CD$9,FALSE)-AA131)</f>
        <v>#N/A</v>
      </c>
      <c r="CE131" s="306" t="e">
        <f>IF(AB131="-","-",VLOOKUP($A131,AMABat!$A$10:$AS$1137,CE$9,FALSE)-AB131)</f>
        <v>#N/A</v>
      </c>
      <c r="CF131" s="306" t="e">
        <f>IF(AC131="-","-",VLOOKUP($A131,AMABat!$A$10:$AS$1137,CF$9,FALSE)-AC131)</f>
        <v>#N/A</v>
      </c>
      <c r="CG131" s="306" t="e">
        <f>IF(AD131="-","-",VLOOKUP($A131,AMABat!$A$10:$AS$1137,CG$9,FALSE)-AD131)</f>
        <v>#N/A</v>
      </c>
      <c r="CH131" s="306" t="e">
        <f>IF(AE131="-","-",VLOOKUP($A131,AMABat!$A$10:$AS$1137,CH$9,FALSE)-AE131)</f>
        <v>#N/A</v>
      </c>
      <c r="CI131" s="306" t="str">
        <f>IF(AG131="-","-",VLOOKUP($A131,AMABat!$A$10:$AS$1137,CI$9,FALSE)-AG131)</f>
        <v>-</v>
      </c>
      <c r="CJ131" s="306" t="e">
        <f>IF(AH131="-","-",VLOOKUP($A131,AMABat!$A$10:$AS$1137,CJ$9,FALSE)-AH131)</f>
        <v>#N/A</v>
      </c>
      <c r="CK131" s="306" t="str">
        <f>IF(AI131="-","-",VLOOKUP($A131,AMABat!$A$10:$AS$1137,CK$9,FALSE)-AI131)</f>
        <v>-</v>
      </c>
      <c r="CL131" s="306" t="str">
        <f>IF(AJ131="-","-",VLOOKUP($A131,AMABat!$A$10:$AS$1137,CL$9,FALSE)-AJ131)</f>
        <v>-</v>
      </c>
      <c r="CM131" s="306" t="str">
        <f>IF(AK131="-","-",VLOOKUP($A131,AMABat!$A$10:$AS$1137,CM$9,FALSE)-AK131)</f>
        <v>-</v>
      </c>
      <c r="CN131" s="306" t="str">
        <f>IF(AL131="-","-",VLOOKUP($A131,AMABat!$A$10:$AS$1137,CN$9,FALSE)-AL131)</f>
        <v>-</v>
      </c>
      <c r="CO131" s="306" t="str">
        <f>IF(AM131="-","-",VLOOKUP($A131,AMABat!$A$10:$AS$1137,CO$9,FALSE)-AM131)</f>
        <v>-</v>
      </c>
      <c r="CP131" s="306" t="str">
        <f>IF(AN131="-","-",VLOOKUP($A131,AMABat!$A$10:$AS$1137,CP$9,FALSE)-AN131)</f>
        <v>-</v>
      </c>
      <c r="CQ131" s="306" t="e">
        <f>IF(AO131="-","-",VLOOKUP($A131,AMABat!$A$10:$AS$1137,CQ$9,FALSE)-AO131)</f>
        <v>#N/A</v>
      </c>
      <c r="CR131" s="306" t="e">
        <f>IF(AP131="-","-",VLOOKUP($A131,AMABat!$A$10:$AS$1137,CR$9,FALSE)-AP131)</f>
        <v>#N/A</v>
      </c>
      <c r="CS131" s="306" t="e">
        <f>IF(AQ131="-","-",VLOOKUP($A131,AMABat!$A$10:$AS$1137,CS$9,FALSE)-AQ131)</f>
        <v>#N/A</v>
      </c>
      <c r="CT131" s="306" t="e">
        <f t="shared" si="197"/>
        <v>#N/A</v>
      </c>
      <c r="CU131" s="306" t="e">
        <f t="shared" si="198"/>
        <v>#N/A</v>
      </c>
      <c r="CV131" s="306" t="e">
        <f t="shared" si="199"/>
        <v>#N/A</v>
      </c>
      <c r="CW131" s="306" t="e">
        <f t="shared" si="200"/>
        <v>#N/A</v>
      </c>
      <c r="CX131" s="306" t="e">
        <f t="shared" si="201"/>
        <v>#N/A</v>
      </c>
    </row>
    <row r="132" spans="1:102" x14ac:dyDescent="0.25">
      <c r="A132" s="306" t="str">
        <f t="shared" si="166"/>
        <v>José Velásquez</v>
      </c>
      <c r="B132" s="305"/>
      <c r="C132" s="305"/>
      <c r="D132" s="305" t="str">
        <f t="shared" si="167"/>
        <v>-</v>
      </c>
      <c r="E132" s="305" t="str">
        <f t="shared" si="168"/>
        <v>-</v>
      </c>
      <c r="F132" s="305" t="str">
        <f t="shared" si="169"/>
        <v>K</v>
      </c>
      <c r="G132" s="305" t="s">
        <v>74</v>
      </c>
      <c r="H132" s="305" t="s">
        <v>412</v>
      </c>
      <c r="I132" s="305" t="s">
        <v>907</v>
      </c>
      <c r="J132" s="305" t="s">
        <v>810</v>
      </c>
      <c r="K132" s="305" t="s">
        <v>83</v>
      </c>
      <c r="L132" s="305">
        <v>19</v>
      </c>
      <c r="M132" s="305" t="s">
        <v>83</v>
      </c>
      <c r="N132" s="305" t="s">
        <v>83</v>
      </c>
      <c r="O132" s="305" t="s">
        <v>816</v>
      </c>
      <c r="P132" s="388" t="s">
        <v>816</v>
      </c>
      <c r="Q132" s="305" t="s">
        <v>200</v>
      </c>
      <c r="R132" s="388" t="s">
        <v>200</v>
      </c>
      <c r="S132" s="305">
        <v>1</v>
      </c>
      <c r="T132" s="305">
        <v>2</v>
      </c>
      <c r="U132" s="305">
        <v>2</v>
      </c>
      <c r="V132" s="305">
        <v>2</v>
      </c>
      <c r="W132" s="388">
        <v>1</v>
      </c>
      <c r="X132" s="305">
        <v>1</v>
      </c>
      <c r="Y132" s="305">
        <v>2</v>
      </c>
      <c r="Z132" s="305">
        <v>2</v>
      </c>
      <c r="AA132" s="305">
        <v>4</v>
      </c>
      <c r="AB132" s="388">
        <v>1</v>
      </c>
      <c r="AC132" s="305">
        <v>3</v>
      </c>
      <c r="AD132" s="305">
        <v>2</v>
      </c>
      <c r="AE132" s="305">
        <v>1</v>
      </c>
      <c r="AF132" s="305">
        <v>1</v>
      </c>
      <c r="AG132" s="305" t="s">
        <v>32</v>
      </c>
      <c r="AH132" s="305" t="s">
        <v>32</v>
      </c>
      <c r="AI132" s="305">
        <v>1</v>
      </c>
      <c r="AJ132" s="305">
        <v>1</v>
      </c>
      <c r="AK132" s="305" t="s">
        <v>32</v>
      </c>
      <c r="AL132" s="305" t="s">
        <v>32</v>
      </c>
      <c r="AM132" s="305" t="s">
        <v>32</v>
      </c>
      <c r="AN132" s="388" t="s">
        <v>32</v>
      </c>
      <c r="AO132" s="305">
        <v>3</v>
      </c>
      <c r="AP132" s="305">
        <v>5</v>
      </c>
      <c r="AQ132" s="388">
        <v>6</v>
      </c>
      <c r="AR132" s="305" t="s">
        <v>32</v>
      </c>
      <c r="AS132" s="388">
        <v>0</v>
      </c>
      <c r="AT132" s="387" t="s">
        <v>779</v>
      </c>
      <c r="AU132" s="22">
        <f t="shared" si="170"/>
        <v>-0.83333333333333326</v>
      </c>
      <c r="AV132" s="23" t="str">
        <f t="shared" si="171"/>
        <v>Minors</v>
      </c>
      <c r="AW132" s="22">
        <f t="shared" si="172"/>
        <v>-0.16666666666666652</v>
      </c>
      <c r="AX132" s="22" t="str">
        <f t="shared" si="173"/>
        <v>Minors</v>
      </c>
      <c r="AY132" s="23">
        <f t="shared" si="174"/>
        <v>-0.16666666666666652</v>
      </c>
      <c r="AZ132" s="23" t="str">
        <f t="shared" si="175"/>
        <v>Minors</v>
      </c>
      <c r="BA132" s="64">
        <f t="shared" si="176"/>
        <v>0</v>
      </c>
      <c r="BB132" s="65">
        <f t="shared" si="177"/>
        <v>0</v>
      </c>
      <c r="BC132" s="65">
        <f t="shared" si="178"/>
        <v>0</v>
      </c>
      <c r="BD132" s="65">
        <f t="shared" si="179"/>
        <v>0</v>
      </c>
      <c r="BE132" s="65">
        <f t="shared" si="180"/>
        <v>0</v>
      </c>
      <c r="BF132" s="65">
        <f t="shared" si="181"/>
        <v>0</v>
      </c>
      <c r="BG132" s="65">
        <f t="shared" si="182"/>
        <v>0</v>
      </c>
      <c r="BH132" s="65">
        <f t="shared" si="183"/>
        <v>0</v>
      </c>
      <c r="BI132" s="21">
        <f t="shared" si="184"/>
        <v>0</v>
      </c>
      <c r="BJ132" s="64">
        <f t="shared" si="185"/>
        <v>0</v>
      </c>
      <c r="BK132" s="65">
        <f t="shared" si="186"/>
        <v>0</v>
      </c>
      <c r="BL132" s="65">
        <f t="shared" si="187"/>
        <v>0</v>
      </c>
      <c r="BM132" s="65">
        <f t="shared" si="188"/>
        <v>0</v>
      </c>
      <c r="BN132" s="65">
        <f t="shared" si="189"/>
        <v>0</v>
      </c>
      <c r="BO132" s="65">
        <f t="shared" si="190"/>
        <v>0</v>
      </c>
      <c r="BP132" s="65">
        <f t="shared" si="191"/>
        <v>0</v>
      </c>
      <c r="BQ132" s="65">
        <f t="shared" si="192"/>
        <v>0</v>
      </c>
      <c r="BR132" s="21">
        <f t="shared" si="193"/>
        <v>0</v>
      </c>
      <c r="BS132" s="21">
        <f t="shared" si="194"/>
        <v>0</v>
      </c>
      <c r="BT132" s="24">
        <f t="shared" si="195"/>
        <v>0</v>
      </c>
      <c r="BU132" s="20" t="str">
        <f t="shared" si="196"/>
        <v/>
      </c>
      <c r="BV132" s="306" t="e">
        <f>IF(S132="-","-",VLOOKUP($A132,AMABat!$A$10:$AS$1137,BV$9,FALSE)-S132)</f>
        <v>#N/A</v>
      </c>
      <c r="BW132" s="306" t="e">
        <f>IF(T132="-","-",VLOOKUP($A132,AMABat!$A$10:$AS$1137,BW$9,FALSE)-T132)</f>
        <v>#N/A</v>
      </c>
      <c r="BX132" s="306" t="e">
        <f>IF(U132="-","-",VLOOKUP($A132,AMABat!$A$10:$AS$1137,BX$9,FALSE)-U132)</f>
        <v>#N/A</v>
      </c>
      <c r="BY132" s="306" t="e">
        <f>IF(V132="-","-",VLOOKUP($A132,AMABat!$A$10:$AS$1137,BY$9,FALSE)-V132)</f>
        <v>#N/A</v>
      </c>
      <c r="BZ132" s="306" t="e">
        <f>IF(W132="-","-",VLOOKUP($A132,AMABat!$A$10:$AS$1137,BZ$9,FALSE)-W132)</f>
        <v>#N/A</v>
      </c>
      <c r="CA132" s="306" t="e">
        <f>IF(X132="-","-",VLOOKUP($A132,AMABat!$A$10:$AS$1137,CA$9,FALSE)-X132)</f>
        <v>#N/A</v>
      </c>
      <c r="CB132" s="306" t="e">
        <f>IF(Y132="-","-",VLOOKUP($A132,AMABat!$A$10:$AS$1137,CB$9,FALSE)-Y132)</f>
        <v>#N/A</v>
      </c>
      <c r="CC132" s="306" t="e">
        <f>IF(Z132="-","-",VLOOKUP($A132,AMABat!$A$10:$AS$1137,CC$9,FALSE)-Z132)</f>
        <v>#N/A</v>
      </c>
      <c r="CD132" s="306" t="e">
        <f>IF(AA132="-","-",VLOOKUP($A132,AMABat!$A$10:$AS$1137,CD$9,FALSE)-AA132)</f>
        <v>#N/A</v>
      </c>
      <c r="CE132" s="306" t="e">
        <f>IF(AB132="-","-",VLOOKUP($A132,AMABat!$A$10:$AS$1137,CE$9,FALSE)-AB132)</f>
        <v>#N/A</v>
      </c>
      <c r="CF132" s="306" t="e">
        <f>IF(AC132="-","-",VLOOKUP($A132,AMABat!$A$10:$AS$1137,CF$9,FALSE)-AC132)</f>
        <v>#N/A</v>
      </c>
      <c r="CG132" s="306" t="e">
        <f>IF(AD132="-","-",VLOOKUP($A132,AMABat!$A$10:$AS$1137,CG$9,FALSE)-AD132)</f>
        <v>#N/A</v>
      </c>
      <c r="CH132" s="306" t="e">
        <f>IF(AE132="-","-",VLOOKUP($A132,AMABat!$A$10:$AS$1137,CH$9,FALSE)-AE132)</f>
        <v>#N/A</v>
      </c>
      <c r="CI132" s="306" t="str">
        <f>IF(AG132="-","-",VLOOKUP($A132,AMABat!$A$10:$AS$1137,CI$9,FALSE)-AG132)</f>
        <v>-</v>
      </c>
      <c r="CJ132" s="306" t="str">
        <f>IF(AH132="-","-",VLOOKUP($A132,AMABat!$A$10:$AS$1137,CJ$9,FALSE)-AH132)</f>
        <v>-</v>
      </c>
      <c r="CK132" s="306" t="e">
        <f>IF(AI132="-","-",VLOOKUP($A132,AMABat!$A$10:$AS$1137,CK$9,FALSE)-AI132)</f>
        <v>#N/A</v>
      </c>
      <c r="CL132" s="306" t="e">
        <f>IF(AJ132="-","-",VLOOKUP($A132,AMABat!$A$10:$AS$1137,CL$9,FALSE)-AJ132)</f>
        <v>#N/A</v>
      </c>
      <c r="CM132" s="306" t="str">
        <f>IF(AK132="-","-",VLOOKUP($A132,AMABat!$A$10:$AS$1137,CM$9,FALSE)-AK132)</f>
        <v>-</v>
      </c>
      <c r="CN132" s="306" t="str">
        <f>IF(AL132="-","-",VLOOKUP($A132,AMABat!$A$10:$AS$1137,CN$9,FALSE)-AL132)</f>
        <v>-</v>
      </c>
      <c r="CO132" s="306" t="str">
        <f>IF(AM132="-","-",VLOOKUP($A132,AMABat!$A$10:$AS$1137,CO$9,FALSE)-AM132)</f>
        <v>-</v>
      </c>
      <c r="CP132" s="306" t="str">
        <f>IF(AN132="-","-",VLOOKUP($A132,AMABat!$A$10:$AS$1137,CP$9,FALSE)-AN132)</f>
        <v>-</v>
      </c>
      <c r="CQ132" s="306" t="e">
        <f>IF(AO132="-","-",VLOOKUP($A132,AMABat!$A$10:$AS$1137,CQ$9,FALSE)-AO132)</f>
        <v>#N/A</v>
      </c>
      <c r="CR132" s="306" t="e">
        <f>IF(AP132="-","-",VLOOKUP($A132,AMABat!$A$10:$AS$1137,CR$9,FALSE)-AP132)</f>
        <v>#N/A</v>
      </c>
      <c r="CS132" s="306" t="e">
        <f>IF(AQ132="-","-",VLOOKUP($A132,AMABat!$A$10:$AS$1137,CS$9,FALSE)-AQ132)</f>
        <v>#N/A</v>
      </c>
      <c r="CT132" s="306" t="e">
        <f t="shared" si="197"/>
        <v>#N/A</v>
      </c>
      <c r="CU132" s="306" t="e">
        <f t="shared" si="198"/>
        <v>#N/A</v>
      </c>
      <c r="CV132" s="306" t="e">
        <f t="shared" si="199"/>
        <v>#N/A</v>
      </c>
      <c r="CW132" s="306" t="e">
        <f t="shared" si="200"/>
        <v>#N/A</v>
      </c>
      <c r="CX132" s="306" t="e">
        <f t="shared" si="201"/>
        <v>#N/A</v>
      </c>
    </row>
    <row r="133" spans="1:102" x14ac:dyDescent="0.25">
      <c r="A133" s="306" t="str">
        <f t="shared" si="166"/>
        <v>Chang-wei Xú</v>
      </c>
      <c r="B133" s="305"/>
      <c r="C133" s="305"/>
      <c r="D133" s="305" t="str">
        <f t="shared" si="167"/>
        <v>-</v>
      </c>
      <c r="E133" s="305" t="str">
        <f t="shared" si="168"/>
        <v>-</v>
      </c>
      <c r="F133" s="305" t="str">
        <f t="shared" si="169"/>
        <v>K</v>
      </c>
      <c r="G133" s="305" t="s">
        <v>79</v>
      </c>
      <c r="H133" s="305" t="s">
        <v>1200</v>
      </c>
      <c r="I133" s="305" t="s">
        <v>1201</v>
      </c>
      <c r="J133" s="305" t="s">
        <v>763</v>
      </c>
      <c r="K133" s="305" t="s">
        <v>16</v>
      </c>
      <c r="L133" s="305">
        <v>16</v>
      </c>
      <c r="M133" s="305" t="s">
        <v>82</v>
      </c>
      <c r="N133" s="305" t="s">
        <v>82</v>
      </c>
      <c r="O133" s="305" t="s">
        <v>816</v>
      </c>
      <c r="P133" s="388" t="s">
        <v>773</v>
      </c>
      <c r="Q133" s="305" t="s">
        <v>201</v>
      </c>
      <c r="R133" s="388" t="s">
        <v>199</v>
      </c>
      <c r="S133" s="305">
        <v>1</v>
      </c>
      <c r="T133" s="305">
        <v>1</v>
      </c>
      <c r="U133" s="305">
        <v>2</v>
      </c>
      <c r="V133" s="305">
        <v>1</v>
      </c>
      <c r="W133" s="388">
        <v>1</v>
      </c>
      <c r="X133" s="305">
        <v>3</v>
      </c>
      <c r="Y133" s="305">
        <v>6</v>
      </c>
      <c r="Z133" s="305">
        <v>7</v>
      </c>
      <c r="AA133" s="305">
        <v>4</v>
      </c>
      <c r="AB133" s="388">
        <v>3</v>
      </c>
      <c r="AC133" s="305">
        <v>5</v>
      </c>
      <c r="AD133" s="305">
        <v>7</v>
      </c>
      <c r="AE133" s="305">
        <v>1</v>
      </c>
      <c r="AF133" s="305">
        <v>1</v>
      </c>
      <c r="AG133" s="305" t="s">
        <v>32</v>
      </c>
      <c r="AH133" s="305">
        <v>1</v>
      </c>
      <c r="AI133" s="305" t="s">
        <v>32</v>
      </c>
      <c r="AJ133" s="305" t="s">
        <v>32</v>
      </c>
      <c r="AK133" s="305" t="s">
        <v>32</v>
      </c>
      <c r="AL133" s="305">
        <v>1</v>
      </c>
      <c r="AM133" s="305" t="s">
        <v>32</v>
      </c>
      <c r="AN133" s="388">
        <v>1</v>
      </c>
      <c r="AO133" s="305">
        <v>6</v>
      </c>
      <c r="AP133" s="305">
        <v>5</v>
      </c>
      <c r="AQ133" s="388">
        <v>5</v>
      </c>
      <c r="AR133" s="305" t="s">
        <v>32</v>
      </c>
      <c r="AS133" s="388" t="s">
        <v>33</v>
      </c>
      <c r="AT133" s="387" t="s">
        <v>199</v>
      </c>
      <c r="AU133" s="22">
        <f t="shared" si="170"/>
        <v>-1.1666666666666667</v>
      </c>
      <c r="AV133" s="23" t="str">
        <f t="shared" si="171"/>
        <v>Minors</v>
      </c>
      <c r="AW133" s="22">
        <f t="shared" si="172"/>
        <v>3.166666666666667</v>
      </c>
      <c r="AX133" s="22" t="str">
        <f t="shared" si="173"/>
        <v>Minors</v>
      </c>
      <c r="AY133" s="23">
        <f t="shared" si="174"/>
        <v>3.166666666666667</v>
      </c>
      <c r="AZ133" s="23" t="str">
        <f t="shared" si="175"/>
        <v>Minors</v>
      </c>
      <c r="BA133" s="64">
        <f t="shared" si="176"/>
        <v>0</v>
      </c>
      <c r="BB133" s="65">
        <f t="shared" si="177"/>
        <v>0</v>
      </c>
      <c r="BC133" s="65">
        <f t="shared" si="178"/>
        <v>0</v>
      </c>
      <c r="BD133" s="65">
        <f t="shared" si="179"/>
        <v>0</v>
      </c>
      <c r="BE133" s="65">
        <f t="shared" si="180"/>
        <v>0</v>
      </c>
      <c r="BF133" s="65">
        <f t="shared" si="181"/>
        <v>0</v>
      </c>
      <c r="BG133" s="65">
        <f t="shared" si="182"/>
        <v>0</v>
      </c>
      <c r="BH133" s="65">
        <f t="shared" si="183"/>
        <v>0</v>
      </c>
      <c r="BI133" s="21">
        <f t="shared" si="184"/>
        <v>0</v>
      </c>
      <c r="BJ133" s="64">
        <f t="shared" si="185"/>
        <v>0</v>
      </c>
      <c r="BK133" s="65">
        <f t="shared" si="186"/>
        <v>0</v>
      </c>
      <c r="BL133" s="65">
        <f t="shared" si="187"/>
        <v>0</v>
      </c>
      <c r="BM133" s="65">
        <f t="shared" si="188"/>
        <v>0</v>
      </c>
      <c r="BN133" s="65">
        <f t="shared" si="189"/>
        <v>0</v>
      </c>
      <c r="BO133" s="65">
        <f t="shared" si="190"/>
        <v>0</v>
      </c>
      <c r="BP133" s="65">
        <f t="shared" si="191"/>
        <v>0</v>
      </c>
      <c r="BQ133" s="65">
        <f t="shared" si="192"/>
        <v>0</v>
      </c>
      <c r="BR133" s="21">
        <f t="shared" si="193"/>
        <v>0</v>
      </c>
      <c r="BS133" s="21">
        <f t="shared" si="194"/>
        <v>0</v>
      </c>
      <c r="BT133" s="24">
        <f t="shared" si="195"/>
        <v>0</v>
      </c>
      <c r="BU133" s="20" t="str">
        <f t="shared" si="196"/>
        <v/>
      </c>
      <c r="BV133" s="306" t="e">
        <f>IF(S133="-","-",VLOOKUP($A133,AMABat!$A$10:$AS$1137,BV$9,FALSE)-S133)</f>
        <v>#N/A</v>
      </c>
      <c r="BW133" s="306" t="e">
        <f>IF(T133="-","-",VLOOKUP($A133,AMABat!$A$10:$AS$1137,BW$9,FALSE)-T133)</f>
        <v>#N/A</v>
      </c>
      <c r="BX133" s="306" t="e">
        <f>IF(U133="-","-",VLOOKUP($A133,AMABat!$A$10:$AS$1137,BX$9,FALSE)-U133)</f>
        <v>#N/A</v>
      </c>
      <c r="BY133" s="306" t="e">
        <f>IF(V133="-","-",VLOOKUP($A133,AMABat!$A$10:$AS$1137,BY$9,FALSE)-V133)</f>
        <v>#N/A</v>
      </c>
      <c r="BZ133" s="306" t="e">
        <f>IF(W133="-","-",VLOOKUP($A133,AMABat!$A$10:$AS$1137,BZ$9,FALSE)-W133)</f>
        <v>#N/A</v>
      </c>
      <c r="CA133" s="306" t="e">
        <f>IF(X133="-","-",VLOOKUP($A133,AMABat!$A$10:$AS$1137,CA$9,FALSE)-X133)</f>
        <v>#N/A</v>
      </c>
      <c r="CB133" s="306" t="e">
        <f>IF(Y133="-","-",VLOOKUP($A133,AMABat!$A$10:$AS$1137,CB$9,FALSE)-Y133)</f>
        <v>#N/A</v>
      </c>
      <c r="CC133" s="306" t="e">
        <f>IF(Z133="-","-",VLOOKUP($A133,AMABat!$A$10:$AS$1137,CC$9,FALSE)-Z133)</f>
        <v>#N/A</v>
      </c>
      <c r="CD133" s="306" t="e">
        <f>IF(AA133="-","-",VLOOKUP($A133,AMABat!$A$10:$AS$1137,CD$9,FALSE)-AA133)</f>
        <v>#N/A</v>
      </c>
      <c r="CE133" s="306" t="e">
        <f>IF(AB133="-","-",VLOOKUP($A133,AMABat!$A$10:$AS$1137,CE$9,FALSE)-AB133)</f>
        <v>#N/A</v>
      </c>
      <c r="CF133" s="306" t="e">
        <f>IF(AC133="-","-",VLOOKUP($A133,AMABat!$A$10:$AS$1137,CF$9,FALSE)-AC133)</f>
        <v>#N/A</v>
      </c>
      <c r="CG133" s="306" t="e">
        <f>IF(AD133="-","-",VLOOKUP($A133,AMABat!$A$10:$AS$1137,CG$9,FALSE)-AD133)</f>
        <v>#N/A</v>
      </c>
      <c r="CH133" s="306" t="e">
        <f>IF(AE133="-","-",VLOOKUP($A133,AMABat!$A$10:$AS$1137,CH$9,FALSE)-AE133)</f>
        <v>#N/A</v>
      </c>
      <c r="CI133" s="306" t="str">
        <f>IF(AG133="-","-",VLOOKUP($A133,AMABat!$A$10:$AS$1137,CI$9,FALSE)-AG133)</f>
        <v>-</v>
      </c>
      <c r="CJ133" s="306" t="e">
        <f>IF(AH133="-","-",VLOOKUP($A133,AMABat!$A$10:$AS$1137,CJ$9,FALSE)-AH133)</f>
        <v>#N/A</v>
      </c>
      <c r="CK133" s="306" t="str">
        <f>IF(AI133="-","-",VLOOKUP($A133,AMABat!$A$10:$AS$1137,CK$9,FALSE)-AI133)</f>
        <v>-</v>
      </c>
      <c r="CL133" s="306" t="str">
        <f>IF(AJ133="-","-",VLOOKUP($A133,AMABat!$A$10:$AS$1137,CL$9,FALSE)-AJ133)</f>
        <v>-</v>
      </c>
      <c r="CM133" s="306" t="str">
        <f>IF(AK133="-","-",VLOOKUP($A133,AMABat!$A$10:$AS$1137,CM$9,FALSE)-AK133)</f>
        <v>-</v>
      </c>
      <c r="CN133" s="306" t="e">
        <f>IF(AL133="-","-",VLOOKUP($A133,AMABat!$A$10:$AS$1137,CN$9,FALSE)-AL133)</f>
        <v>#N/A</v>
      </c>
      <c r="CO133" s="306" t="str">
        <f>IF(AM133="-","-",VLOOKUP($A133,AMABat!$A$10:$AS$1137,CO$9,FALSE)-AM133)</f>
        <v>-</v>
      </c>
      <c r="CP133" s="306" t="e">
        <f>IF(AN133="-","-",VLOOKUP($A133,AMABat!$A$10:$AS$1137,CP$9,FALSE)-AN133)</f>
        <v>#N/A</v>
      </c>
      <c r="CQ133" s="306" t="e">
        <f>IF(AO133="-","-",VLOOKUP($A133,AMABat!$A$10:$AS$1137,CQ$9,FALSE)-AO133)</f>
        <v>#N/A</v>
      </c>
      <c r="CR133" s="306" t="e">
        <f>IF(AP133="-","-",VLOOKUP($A133,AMABat!$A$10:$AS$1137,CR$9,FALSE)-AP133)</f>
        <v>#N/A</v>
      </c>
      <c r="CS133" s="306" t="e">
        <f>IF(AQ133="-","-",VLOOKUP($A133,AMABat!$A$10:$AS$1137,CS$9,FALSE)-AQ133)</f>
        <v>#N/A</v>
      </c>
      <c r="CT133" s="306" t="e">
        <f t="shared" si="197"/>
        <v>#N/A</v>
      </c>
      <c r="CU133" s="306" t="e">
        <f t="shared" si="198"/>
        <v>#N/A</v>
      </c>
      <c r="CV133" s="306" t="e">
        <f t="shared" si="199"/>
        <v>#N/A</v>
      </c>
      <c r="CW133" s="306" t="e">
        <f t="shared" si="200"/>
        <v>#N/A</v>
      </c>
      <c r="CX133" s="306" t="e">
        <f t="shared" si="201"/>
        <v>#N/A</v>
      </c>
    </row>
    <row r="134" spans="1:102" x14ac:dyDescent="0.25">
      <c r="A134" s="306" t="str">
        <f t="shared" si="166"/>
        <v>Júlio Yánez</v>
      </c>
      <c r="B134" s="305"/>
      <c r="C134" s="305"/>
      <c r="D134" s="305" t="str">
        <f t="shared" si="167"/>
        <v>-</v>
      </c>
      <c r="E134" s="305" t="str">
        <f t="shared" si="168"/>
        <v>-</v>
      </c>
      <c r="F134" s="305" t="str">
        <f t="shared" si="169"/>
        <v>K</v>
      </c>
      <c r="G134" s="305" t="s">
        <v>79</v>
      </c>
      <c r="H134" s="305" t="s">
        <v>1202</v>
      </c>
      <c r="I134" s="305" t="s">
        <v>1203</v>
      </c>
      <c r="J134" s="305" t="s">
        <v>763</v>
      </c>
      <c r="K134" s="305" t="s">
        <v>16</v>
      </c>
      <c r="L134" s="305">
        <v>16</v>
      </c>
      <c r="M134" s="305" t="s">
        <v>82</v>
      </c>
      <c r="N134" s="305" t="s">
        <v>82</v>
      </c>
      <c r="O134" s="305" t="s">
        <v>816</v>
      </c>
      <c r="P134" s="388" t="s">
        <v>808</v>
      </c>
      <c r="Q134" s="305" t="s">
        <v>200</v>
      </c>
      <c r="R134" s="388" t="s">
        <v>200</v>
      </c>
      <c r="S134" s="305">
        <v>1</v>
      </c>
      <c r="T134" s="305">
        <v>1</v>
      </c>
      <c r="U134" s="305">
        <v>2</v>
      </c>
      <c r="V134" s="305">
        <v>1</v>
      </c>
      <c r="W134" s="388">
        <v>1</v>
      </c>
      <c r="X134" s="305">
        <v>3</v>
      </c>
      <c r="Y134" s="305">
        <v>5</v>
      </c>
      <c r="Z134" s="305">
        <v>6</v>
      </c>
      <c r="AA134" s="305">
        <v>5</v>
      </c>
      <c r="AB134" s="388">
        <v>2</v>
      </c>
      <c r="AC134" s="305">
        <v>5</v>
      </c>
      <c r="AD134" s="305">
        <v>7</v>
      </c>
      <c r="AE134" s="305">
        <v>1</v>
      </c>
      <c r="AF134" s="305">
        <v>1</v>
      </c>
      <c r="AG134" s="305" t="s">
        <v>32</v>
      </c>
      <c r="AH134" s="305">
        <v>1</v>
      </c>
      <c r="AI134" s="305" t="s">
        <v>32</v>
      </c>
      <c r="AJ134" s="305" t="s">
        <v>32</v>
      </c>
      <c r="AK134" s="305" t="s">
        <v>32</v>
      </c>
      <c r="AL134" s="305">
        <v>1</v>
      </c>
      <c r="AM134" s="305" t="s">
        <v>32</v>
      </c>
      <c r="AN134" s="388">
        <v>1</v>
      </c>
      <c r="AO134" s="305">
        <v>4</v>
      </c>
      <c r="AP134" s="305">
        <v>3</v>
      </c>
      <c r="AQ134" s="388">
        <v>4</v>
      </c>
      <c r="AR134" s="305" t="s">
        <v>32</v>
      </c>
      <c r="AS134" s="388" t="s">
        <v>33</v>
      </c>
      <c r="AT134" s="387" t="s">
        <v>529</v>
      </c>
      <c r="AU134" s="22">
        <f t="shared" si="170"/>
        <v>-1.1666666666666667</v>
      </c>
      <c r="AV134" s="23" t="str">
        <f t="shared" si="171"/>
        <v>Minors</v>
      </c>
      <c r="AW134" s="22">
        <f t="shared" si="172"/>
        <v>3.166666666666667</v>
      </c>
      <c r="AX134" s="22" t="str">
        <f t="shared" si="173"/>
        <v>Minors</v>
      </c>
      <c r="AY134" s="23">
        <f t="shared" si="174"/>
        <v>3.166666666666667</v>
      </c>
      <c r="AZ134" s="23" t="str">
        <f t="shared" si="175"/>
        <v>Minors</v>
      </c>
      <c r="BA134" s="64">
        <f t="shared" si="176"/>
        <v>0</v>
      </c>
      <c r="BB134" s="65">
        <f t="shared" si="177"/>
        <v>0</v>
      </c>
      <c r="BC134" s="65">
        <f t="shared" si="178"/>
        <v>0</v>
      </c>
      <c r="BD134" s="65">
        <f t="shared" si="179"/>
        <v>0</v>
      </c>
      <c r="BE134" s="65">
        <f t="shared" si="180"/>
        <v>0</v>
      </c>
      <c r="BF134" s="65">
        <f t="shared" si="181"/>
        <v>0</v>
      </c>
      <c r="BG134" s="65">
        <f t="shared" si="182"/>
        <v>0</v>
      </c>
      <c r="BH134" s="65">
        <f t="shared" si="183"/>
        <v>0</v>
      </c>
      <c r="BI134" s="21">
        <f t="shared" si="184"/>
        <v>0</v>
      </c>
      <c r="BJ134" s="64">
        <f t="shared" si="185"/>
        <v>0</v>
      </c>
      <c r="BK134" s="65">
        <f t="shared" si="186"/>
        <v>0</v>
      </c>
      <c r="BL134" s="65">
        <f t="shared" si="187"/>
        <v>0</v>
      </c>
      <c r="BM134" s="65">
        <f t="shared" si="188"/>
        <v>0</v>
      </c>
      <c r="BN134" s="65">
        <f t="shared" si="189"/>
        <v>0</v>
      </c>
      <c r="BO134" s="65">
        <f t="shared" si="190"/>
        <v>0</v>
      </c>
      <c r="BP134" s="65">
        <f t="shared" si="191"/>
        <v>0</v>
      </c>
      <c r="BQ134" s="65">
        <f t="shared" si="192"/>
        <v>0</v>
      </c>
      <c r="BR134" s="21">
        <f t="shared" si="193"/>
        <v>0</v>
      </c>
      <c r="BS134" s="21">
        <f t="shared" si="194"/>
        <v>0</v>
      </c>
      <c r="BT134" s="24">
        <f t="shared" si="195"/>
        <v>0</v>
      </c>
      <c r="BU134" s="20" t="str">
        <f t="shared" si="196"/>
        <v/>
      </c>
      <c r="BV134" s="306" t="e">
        <f>IF(S134="-","-",VLOOKUP($A134,AMABat!$A$10:$AS$1137,BV$9,FALSE)-S134)</f>
        <v>#N/A</v>
      </c>
      <c r="BW134" s="306" t="e">
        <f>IF(T134="-","-",VLOOKUP($A134,AMABat!$A$10:$AS$1137,BW$9,FALSE)-T134)</f>
        <v>#N/A</v>
      </c>
      <c r="BX134" s="306" t="e">
        <f>IF(U134="-","-",VLOOKUP($A134,AMABat!$A$10:$AS$1137,BX$9,FALSE)-U134)</f>
        <v>#N/A</v>
      </c>
      <c r="BY134" s="306" t="e">
        <f>IF(V134="-","-",VLOOKUP($A134,AMABat!$A$10:$AS$1137,BY$9,FALSE)-V134)</f>
        <v>#N/A</v>
      </c>
      <c r="BZ134" s="306" t="e">
        <f>IF(W134="-","-",VLOOKUP($A134,AMABat!$A$10:$AS$1137,BZ$9,FALSE)-W134)</f>
        <v>#N/A</v>
      </c>
      <c r="CA134" s="306" t="e">
        <f>IF(X134="-","-",VLOOKUP($A134,AMABat!$A$10:$AS$1137,CA$9,FALSE)-X134)</f>
        <v>#N/A</v>
      </c>
      <c r="CB134" s="306" t="e">
        <f>IF(Y134="-","-",VLOOKUP($A134,AMABat!$A$10:$AS$1137,CB$9,FALSE)-Y134)</f>
        <v>#N/A</v>
      </c>
      <c r="CC134" s="306" t="e">
        <f>IF(Z134="-","-",VLOOKUP($A134,AMABat!$A$10:$AS$1137,CC$9,FALSE)-Z134)</f>
        <v>#N/A</v>
      </c>
      <c r="CD134" s="306" t="e">
        <f>IF(AA134="-","-",VLOOKUP($A134,AMABat!$A$10:$AS$1137,CD$9,FALSE)-AA134)</f>
        <v>#N/A</v>
      </c>
      <c r="CE134" s="306" t="e">
        <f>IF(AB134="-","-",VLOOKUP($A134,AMABat!$A$10:$AS$1137,CE$9,FALSE)-AB134)</f>
        <v>#N/A</v>
      </c>
      <c r="CF134" s="306" t="e">
        <f>IF(AC134="-","-",VLOOKUP($A134,AMABat!$A$10:$AS$1137,CF$9,FALSE)-AC134)</f>
        <v>#N/A</v>
      </c>
      <c r="CG134" s="306" t="e">
        <f>IF(AD134="-","-",VLOOKUP($A134,AMABat!$A$10:$AS$1137,CG$9,FALSE)-AD134)</f>
        <v>#N/A</v>
      </c>
      <c r="CH134" s="306" t="e">
        <f>IF(AE134="-","-",VLOOKUP($A134,AMABat!$A$10:$AS$1137,CH$9,FALSE)-AE134)</f>
        <v>#N/A</v>
      </c>
      <c r="CI134" s="306" t="str">
        <f>IF(AG134="-","-",VLOOKUP($A134,AMABat!$A$10:$AS$1137,CI$9,FALSE)-AG134)</f>
        <v>-</v>
      </c>
      <c r="CJ134" s="306" t="e">
        <f>IF(AH134="-","-",VLOOKUP($A134,AMABat!$A$10:$AS$1137,CJ$9,FALSE)-AH134)</f>
        <v>#N/A</v>
      </c>
      <c r="CK134" s="306" t="str">
        <f>IF(AI134="-","-",VLOOKUP($A134,AMABat!$A$10:$AS$1137,CK$9,FALSE)-AI134)</f>
        <v>-</v>
      </c>
      <c r="CL134" s="306" t="str">
        <f>IF(AJ134="-","-",VLOOKUP($A134,AMABat!$A$10:$AS$1137,CL$9,FALSE)-AJ134)</f>
        <v>-</v>
      </c>
      <c r="CM134" s="306" t="str">
        <f>IF(AK134="-","-",VLOOKUP($A134,AMABat!$A$10:$AS$1137,CM$9,FALSE)-AK134)</f>
        <v>-</v>
      </c>
      <c r="CN134" s="306" t="e">
        <f>IF(AL134="-","-",VLOOKUP($A134,AMABat!$A$10:$AS$1137,CN$9,FALSE)-AL134)</f>
        <v>#N/A</v>
      </c>
      <c r="CO134" s="306" t="str">
        <f>IF(AM134="-","-",VLOOKUP($A134,AMABat!$A$10:$AS$1137,CO$9,FALSE)-AM134)</f>
        <v>-</v>
      </c>
      <c r="CP134" s="306" t="e">
        <f>IF(AN134="-","-",VLOOKUP($A134,AMABat!$A$10:$AS$1137,CP$9,FALSE)-AN134)</f>
        <v>#N/A</v>
      </c>
      <c r="CQ134" s="306" t="e">
        <f>IF(AO134="-","-",VLOOKUP($A134,AMABat!$A$10:$AS$1137,CQ$9,FALSE)-AO134)</f>
        <v>#N/A</v>
      </c>
      <c r="CR134" s="306" t="e">
        <f>IF(AP134="-","-",VLOOKUP($A134,AMABat!$A$10:$AS$1137,CR$9,FALSE)-AP134)</f>
        <v>#N/A</v>
      </c>
      <c r="CS134" s="306" t="e">
        <f>IF(AQ134="-","-",VLOOKUP($A134,AMABat!$A$10:$AS$1137,CS$9,FALSE)-AQ134)</f>
        <v>#N/A</v>
      </c>
      <c r="CT134" s="306" t="e">
        <f t="shared" si="197"/>
        <v>#N/A</v>
      </c>
      <c r="CU134" s="306" t="e">
        <f t="shared" si="198"/>
        <v>#N/A</v>
      </c>
      <c r="CV134" s="306" t="e">
        <f t="shared" si="199"/>
        <v>#N/A</v>
      </c>
      <c r="CW134" s="306" t="e">
        <f t="shared" si="200"/>
        <v>#N/A</v>
      </c>
      <c r="CX134" s="306" t="e">
        <f t="shared" si="201"/>
        <v>#N/A</v>
      </c>
    </row>
    <row r="135" spans="1:102" x14ac:dyDescent="0.25">
      <c r="A135" s="306" t="str">
        <f t="shared" si="166"/>
        <v>Félix Díaz</v>
      </c>
      <c r="B135" s="305"/>
      <c r="C135" s="305"/>
      <c r="D135" s="305" t="str">
        <f t="shared" si="167"/>
        <v>-</v>
      </c>
      <c r="E135" s="305" t="str">
        <f t="shared" si="168"/>
        <v>-</v>
      </c>
      <c r="F135" s="305" t="str">
        <f t="shared" si="169"/>
        <v>K</v>
      </c>
      <c r="G135" s="305" t="s">
        <v>73</v>
      </c>
      <c r="H135" s="305" t="s">
        <v>891</v>
      </c>
      <c r="I135" s="305" t="s">
        <v>493</v>
      </c>
      <c r="J135" s="305" t="s">
        <v>763</v>
      </c>
      <c r="K135" s="305" t="s">
        <v>16</v>
      </c>
      <c r="L135" s="305">
        <v>17</v>
      </c>
      <c r="M135" s="305" t="s">
        <v>83</v>
      </c>
      <c r="N135" s="305" t="s">
        <v>83</v>
      </c>
      <c r="O135" s="305" t="s">
        <v>816</v>
      </c>
      <c r="P135" s="388" t="s">
        <v>808</v>
      </c>
      <c r="Q135" s="305" t="s">
        <v>200</v>
      </c>
      <c r="R135" s="388" t="s">
        <v>200</v>
      </c>
      <c r="S135" s="305">
        <v>1</v>
      </c>
      <c r="T135" s="305">
        <v>2</v>
      </c>
      <c r="U135" s="305">
        <v>2</v>
      </c>
      <c r="V135" s="305">
        <v>1</v>
      </c>
      <c r="W135" s="388">
        <v>1</v>
      </c>
      <c r="X135" s="305">
        <v>3</v>
      </c>
      <c r="Y135" s="305">
        <v>3</v>
      </c>
      <c r="Z135" s="305">
        <v>4</v>
      </c>
      <c r="AA135" s="305">
        <v>4</v>
      </c>
      <c r="AB135" s="388">
        <v>4</v>
      </c>
      <c r="AC135" s="305">
        <v>2</v>
      </c>
      <c r="AD135" s="305">
        <v>3</v>
      </c>
      <c r="AE135" s="305">
        <v>1</v>
      </c>
      <c r="AF135" s="305">
        <v>1</v>
      </c>
      <c r="AG135" s="305" t="s">
        <v>32</v>
      </c>
      <c r="AH135" s="305">
        <v>3</v>
      </c>
      <c r="AI135" s="305" t="s">
        <v>32</v>
      </c>
      <c r="AJ135" s="305" t="s">
        <v>32</v>
      </c>
      <c r="AK135" s="305" t="s">
        <v>32</v>
      </c>
      <c r="AL135" s="305" t="s">
        <v>32</v>
      </c>
      <c r="AM135" s="305" t="s">
        <v>32</v>
      </c>
      <c r="AN135" s="388" t="s">
        <v>32</v>
      </c>
      <c r="AO135" s="305">
        <v>1</v>
      </c>
      <c r="AP135" s="305">
        <v>1</v>
      </c>
      <c r="AQ135" s="388">
        <v>1</v>
      </c>
      <c r="AR135" s="305" t="s">
        <v>32</v>
      </c>
      <c r="AS135" s="388" t="s">
        <v>33</v>
      </c>
      <c r="AT135" s="387" t="s">
        <v>199</v>
      </c>
      <c r="AU135" s="22">
        <f t="shared" si="170"/>
        <v>-1.1666666666666667</v>
      </c>
      <c r="AV135" s="23" t="str">
        <f t="shared" si="171"/>
        <v>Minors</v>
      </c>
      <c r="AW135" s="22">
        <f t="shared" si="172"/>
        <v>2.1666666666666665</v>
      </c>
      <c r="AX135" s="22" t="str">
        <f t="shared" si="173"/>
        <v>Minors</v>
      </c>
      <c r="AY135" s="23">
        <f t="shared" si="174"/>
        <v>2.1666666666666665</v>
      </c>
      <c r="AZ135" s="23" t="str">
        <f t="shared" si="175"/>
        <v>Minors</v>
      </c>
      <c r="BA135" s="64">
        <f t="shared" si="176"/>
        <v>0</v>
      </c>
      <c r="BB135" s="65">
        <f t="shared" si="177"/>
        <v>0</v>
      </c>
      <c r="BC135" s="65">
        <f t="shared" si="178"/>
        <v>0</v>
      </c>
      <c r="BD135" s="65">
        <f t="shared" si="179"/>
        <v>0</v>
      </c>
      <c r="BE135" s="65">
        <f t="shared" si="180"/>
        <v>0</v>
      </c>
      <c r="BF135" s="65">
        <f t="shared" si="181"/>
        <v>0</v>
      </c>
      <c r="BG135" s="65">
        <f t="shared" si="182"/>
        <v>0</v>
      </c>
      <c r="BH135" s="65">
        <f t="shared" si="183"/>
        <v>0</v>
      </c>
      <c r="BI135" s="21">
        <f t="shared" si="184"/>
        <v>0</v>
      </c>
      <c r="BJ135" s="64">
        <f t="shared" si="185"/>
        <v>0</v>
      </c>
      <c r="BK135" s="65">
        <f t="shared" si="186"/>
        <v>0</v>
      </c>
      <c r="BL135" s="65">
        <f t="shared" si="187"/>
        <v>0</v>
      </c>
      <c r="BM135" s="65">
        <f t="shared" si="188"/>
        <v>0</v>
      </c>
      <c r="BN135" s="65">
        <f t="shared" si="189"/>
        <v>0</v>
      </c>
      <c r="BO135" s="65">
        <f t="shared" si="190"/>
        <v>0</v>
      </c>
      <c r="BP135" s="65">
        <f t="shared" si="191"/>
        <v>0</v>
      </c>
      <c r="BQ135" s="65">
        <f t="shared" si="192"/>
        <v>0</v>
      </c>
      <c r="BR135" s="21">
        <f t="shared" si="193"/>
        <v>0</v>
      </c>
      <c r="BS135" s="21">
        <f t="shared" si="194"/>
        <v>0</v>
      </c>
      <c r="BT135" s="24">
        <f t="shared" si="195"/>
        <v>0</v>
      </c>
      <c r="BU135" s="20" t="str">
        <f t="shared" si="196"/>
        <v/>
      </c>
      <c r="BV135" s="306" t="e">
        <f>IF(S135="-","-",VLOOKUP($A135,AMABat!$A$10:$AS$1137,BV$9,FALSE)-S135)</f>
        <v>#N/A</v>
      </c>
      <c r="BW135" s="306" t="e">
        <f>IF(T135="-","-",VLOOKUP($A135,AMABat!$A$10:$AS$1137,BW$9,FALSE)-T135)</f>
        <v>#N/A</v>
      </c>
      <c r="BX135" s="306" t="e">
        <f>IF(U135="-","-",VLOOKUP($A135,AMABat!$A$10:$AS$1137,BX$9,FALSE)-U135)</f>
        <v>#N/A</v>
      </c>
      <c r="BY135" s="306" t="e">
        <f>IF(V135="-","-",VLOOKUP($A135,AMABat!$A$10:$AS$1137,BY$9,FALSE)-V135)</f>
        <v>#N/A</v>
      </c>
      <c r="BZ135" s="306" t="e">
        <f>IF(W135="-","-",VLOOKUP($A135,AMABat!$A$10:$AS$1137,BZ$9,FALSE)-W135)</f>
        <v>#N/A</v>
      </c>
      <c r="CA135" s="306" t="e">
        <f>IF(X135="-","-",VLOOKUP($A135,AMABat!$A$10:$AS$1137,CA$9,FALSE)-X135)</f>
        <v>#N/A</v>
      </c>
      <c r="CB135" s="306" t="e">
        <f>IF(Y135="-","-",VLOOKUP($A135,AMABat!$A$10:$AS$1137,CB$9,FALSE)-Y135)</f>
        <v>#N/A</v>
      </c>
      <c r="CC135" s="306" t="e">
        <f>IF(Z135="-","-",VLOOKUP($A135,AMABat!$A$10:$AS$1137,CC$9,FALSE)-Z135)</f>
        <v>#N/A</v>
      </c>
      <c r="CD135" s="306" t="e">
        <f>IF(AA135="-","-",VLOOKUP($A135,AMABat!$A$10:$AS$1137,CD$9,FALSE)-AA135)</f>
        <v>#N/A</v>
      </c>
      <c r="CE135" s="306" t="e">
        <f>IF(AB135="-","-",VLOOKUP($A135,AMABat!$A$10:$AS$1137,CE$9,FALSE)-AB135)</f>
        <v>#N/A</v>
      </c>
      <c r="CF135" s="306" t="e">
        <f>IF(AC135="-","-",VLOOKUP($A135,AMABat!$A$10:$AS$1137,CF$9,FALSE)-AC135)</f>
        <v>#N/A</v>
      </c>
      <c r="CG135" s="306" t="e">
        <f>IF(AD135="-","-",VLOOKUP($A135,AMABat!$A$10:$AS$1137,CG$9,FALSE)-AD135)</f>
        <v>#N/A</v>
      </c>
      <c r="CH135" s="306" t="e">
        <f>IF(AE135="-","-",VLOOKUP($A135,AMABat!$A$10:$AS$1137,CH$9,FALSE)-AE135)</f>
        <v>#N/A</v>
      </c>
      <c r="CI135" s="306" t="str">
        <f>IF(AG135="-","-",VLOOKUP($A135,AMABat!$A$10:$AS$1137,CI$9,FALSE)-AG135)</f>
        <v>-</v>
      </c>
      <c r="CJ135" s="306" t="e">
        <f>IF(AH135="-","-",VLOOKUP($A135,AMABat!$A$10:$AS$1137,CJ$9,FALSE)-AH135)</f>
        <v>#N/A</v>
      </c>
      <c r="CK135" s="306" t="str">
        <f>IF(AI135="-","-",VLOOKUP($A135,AMABat!$A$10:$AS$1137,CK$9,FALSE)-AI135)</f>
        <v>-</v>
      </c>
      <c r="CL135" s="306" t="str">
        <f>IF(AJ135="-","-",VLOOKUP($A135,AMABat!$A$10:$AS$1137,CL$9,FALSE)-AJ135)</f>
        <v>-</v>
      </c>
      <c r="CM135" s="306" t="str">
        <f>IF(AK135="-","-",VLOOKUP($A135,AMABat!$A$10:$AS$1137,CM$9,FALSE)-AK135)</f>
        <v>-</v>
      </c>
      <c r="CN135" s="306" t="str">
        <f>IF(AL135="-","-",VLOOKUP($A135,AMABat!$A$10:$AS$1137,CN$9,FALSE)-AL135)</f>
        <v>-</v>
      </c>
      <c r="CO135" s="306" t="str">
        <f>IF(AM135="-","-",VLOOKUP($A135,AMABat!$A$10:$AS$1137,CO$9,FALSE)-AM135)</f>
        <v>-</v>
      </c>
      <c r="CP135" s="306" t="str">
        <f>IF(AN135="-","-",VLOOKUP($A135,AMABat!$A$10:$AS$1137,CP$9,FALSE)-AN135)</f>
        <v>-</v>
      </c>
      <c r="CQ135" s="306" t="e">
        <f>IF(AO135="-","-",VLOOKUP($A135,AMABat!$A$10:$AS$1137,CQ$9,FALSE)-AO135)</f>
        <v>#N/A</v>
      </c>
      <c r="CR135" s="306" t="e">
        <f>IF(AP135="-","-",VLOOKUP($A135,AMABat!$A$10:$AS$1137,CR$9,FALSE)-AP135)</f>
        <v>#N/A</v>
      </c>
      <c r="CS135" s="306" t="e">
        <f>IF(AQ135="-","-",VLOOKUP($A135,AMABat!$A$10:$AS$1137,CS$9,FALSE)-AQ135)</f>
        <v>#N/A</v>
      </c>
      <c r="CT135" s="306" t="e">
        <f t="shared" si="197"/>
        <v>#N/A</v>
      </c>
      <c r="CU135" s="306" t="e">
        <f t="shared" si="198"/>
        <v>#N/A</v>
      </c>
      <c r="CV135" s="306" t="e">
        <f t="shared" si="199"/>
        <v>#N/A</v>
      </c>
      <c r="CW135" s="306" t="e">
        <f t="shared" si="200"/>
        <v>#N/A</v>
      </c>
      <c r="CX135" s="306" t="e">
        <f t="shared" si="201"/>
        <v>#N/A</v>
      </c>
    </row>
    <row r="136" spans="1:102" x14ac:dyDescent="0.25">
      <c r="A136" s="306" t="str">
        <f t="shared" si="166"/>
        <v>Micheal Ford</v>
      </c>
      <c r="B136" s="305"/>
      <c r="C136" s="305"/>
      <c r="D136" s="305" t="str">
        <f t="shared" si="167"/>
        <v>-</v>
      </c>
      <c r="E136" s="305" t="str">
        <f t="shared" si="168"/>
        <v>-</v>
      </c>
      <c r="F136" s="305" t="str">
        <f t="shared" si="169"/>
        <v>K</v>
      </c>
      <c r="G136" s="305" t="s">
        <v>78</v>
      </c>
      <c r="H136" s="305" t="s">
        <v>1139</v>
      </c>
      <c r="I136" s="305" t="s">
        <v>926</v>
      </c>
      <c r="J136" s="305" t="s">
        <v>810</v>
      </c>
      <c r="K136" s="305" t="s">
        <v>83</v>
      </c>
      <c r="L136" s="305">
        <v>19</v>
      </c>
      <c r="M136" s="305" t="s">
        <v>83</v>
      </c>
      <c r="N136" s="305" t="s">
        <v>82</v>
      </c>
      <c r="O136" s="305" t="s">
        <v>816</v>
      </c>
      <c r="P136" s="388" t="s">
        <v>808</v>
      </c>
      <c r="Q136" s="305" t="s">
        <v>201</v>
      </c>
      <c r="R136" s="388" t="s">
        <v>200</v>
      </c>
      <c r="S136" s="305">
        <v>1</v>
      </c>
      <c r="T136" s="305">
        <v>1</v>
      </c>
      <c r="U136" s="305">
        <v>2</v>
      </c>
      <c r="V136" s="305">
        <v>1</v>
      </c>
      <c r="W136" s="388">
        <v>1</v>
      </c>
      <c r="X136" s="305">
        <v>3</v>
      </c>
      <c r="Y136" s="305">
        <v>4</v>
      </c>
      <c r="Z136" s="305">
        <v>3</v>
      </c>
      <c r="AA136" s="305">
        <v>4</v>
      </c>
      <c r="AB136" s="388">
        <v>2</v>
      </c>
      <c r="AC136" s="305">
        <v>5</v>
      </c>
      <c r="AD136" s="305">
        <v>7</v>
      </c>
      <c r="AE136" s="305">
        <v>1</v>
      </c>
      <c r="AF136" s="305">
        <v>1</v>
      </c>
      <c r="AG136" s="305" t="s">
        <v>32</v>
      </c>
      <c r="AH136" s="305" t="s">
        <v>32</v>
      </c>
      <c r="AI136" s="305" t="s">
        <v>32</v>
      </c>
      <c r="AJ136" s="305" t="s">
        <v>32</v>
      </c>
      <c r="AK136" s="305" t="s">
        <v>32</v>
      </c>
      <c r="AL136" s="305">
        <v>3</v>
      </c>
      <c r="AM136" s="305">
        <v>3</v>
      </c>
      <c r="AN136" s="388" t="s">
        <v>32</v>
      </c>
      <c r="AO136" s="305">
        <v>8</v>
      </c>
      <c r="AP136" s="305">
        <v>6</v>
      </c>
      <c r="AQ136" s="388">
        <v>7</v>
      </c>
      <c r="AR136" s="305" t="s">
        <v>32</v>
      </c>
      <c r="AS136" s="388" t="s">
        <v>33</v>
      </c>
      <c r="AT136" s="387" t="s">
        <v>529</v>
      </c>
      <c r="AU136" s="22">
        <f t="shared" si="170"/>
        <v>-1.1666666666666667</v>
      </c>
      <c r="AV136" s="23" t="str">
        <f t="shared" si="171"/>
        <v>Minors</v>
      </c>
      <c r="AW136" s="22">
        <f t="shared" si="172"/>
        <v>1.8333333333333335</v>
      </c>
      <c r="AX136" s="22" t="str">
        <f t="shared" si="173"/>
        <v>Minors</v>
      </c>
      <c r="AY136" s="23">
        <f t="shared" si="174"/>
        <v>1.8333333333333335</v>
      </c>
      <c r="AZ136" s="23" t="str">
        <f t="shared" si="175"/>
        <v>Minors</v>
      </c>
      <c r="BA136" s="64">
        <f t="shared" si="176"/>
        <v>0</v>
      </c>
      <c r="BB136" s="65">
        <f t="shared" si="177"/>
        <v>0</v>
      </c>
      <c r="BC136" s="65">
        <f t="shared" si="178"/>
        <v>0</v>
      </c>
      <c r="BD136" s="65">
        <f t="shared" si="179"/>
        <v>0</v>
      </c>
      <c r="BE136" s="65">
        <f t="shared" si="180"/>
        <v>0</v>
      </c>
      <c r="BF136" s="65">
        <f t="shared" si="181"/>
        <v>0</v>
      </c>
      <c r="BG136" s="65">
        <f t="shared" si="182"/>
        <v>0</v>
      </c>
      <c r="BH136" s="65">
        <f t="shared" si="183"/>
        <v>0</v>
      </c>
      <c r="BI136" s="21">
        <f t="shared" si="184"/>
        <v>0</v>
      </c>
      <c r="BJ136" s="64">
        <f t="shared" si="185"/>
        <v>0</v>
      </c>
      <c r="BK136" s="65">
        <f t="shared" si="186"/>
        <v>0</v>
      </c>
      <c r="BL136" s="65">
        <f t="shared" si="187"/>
        <v>0</v>
      </c>
      <c r="BM136" s="65">
        <f t="shared" si="188"/>
        <v>0</v>
      </c>
      <c r="BN136" s="65">
        <f t="shared" si="189"/>
        <v>0</v>
      </c>
      <c r="BO136" s="65">
        <f t="shared" si="190"/>
        <v>0</v>
      </c>
      <c r="BP136" s="65">
        <f t="shared" si="191"/>
        <v>0</v>
      </c>
      <c r="BQ136" s="65">
        <f t="shared" si="192"/>
        <v>0</v>
      </c>
      <c r="BR136" s="21">
        <f t="shared" si="193"/>
        <v>0</v>
      </c>
      <c r="BS136" s="21">
        <f t="shared" si="194"/>
        <v>2</v>
      </c>
      <c r="BT136" s="24">
        <f t="shared" si="195"/>
        <v>0</v>
      </c>
      <c r="BU136" s="20" t="str">
        <f t="shared" si="196"/>
        <v/>
      </c>
      <c r="BV136" s="306">
        <f>IF(S136="-","-",VLOOKUP($A136,AMABat!$A$10:$AS$1137,BV$9,FALSE)-S136)</f>
        <v>0</v>
      </c>
      <c r="BW136" s="306">
        <f>IF(T136="-","-",VLOOKUP($A136,AMABat!$A$10:$AS$1137,BW$9,FALSE)-T136)</f>
        <v>0</v>
      </c>
      <c r="BX136" s="306">
        <f>IF(U136="-","-",VLOOKUP($A136,AMABat!$A$10:$AS$1137,BX$9,FALSE)-U136)</f>
        <v>0</v>
      </c>
      <c r="BY136" s="306">
        <f>IF(V136="-","-",VLOOKUP($A136,AMABat!$A$10:$AS$1137,BY$9,FALSE)-V136)</f>
        <v>1</v>
      </c>
      <c r="BZ136" s="306">
        <f>IF(W136="-","-",VLOOKUP($A136,AMABat!$A$10:$AS$1137,BZ$9,FALSE)-W136)</f>
        <v>0</v>
      </c>
      <c r="CA136" s="306">
        <f>IF(X136="-","-",VLOOKUP($A136,AMABat!$A$10:$AS$1137,CA$9,FALSE)-X136)</f>
        <v>0</v>
      </c>
      <c r="CB136" s="306">
        <f>IF(Y136="-","-",VLOOKUP($A136,AMABat!$A$10:$AS$1137,CB$9,FALSE)-Y136)</f>
        <v>0</v>
      </c>
      <c r="CC136" s="306">
        <f>IF(Z136="-","-",VLOOKUP($A136,AMABat!$A$10:$AS$1137,CC$9,FALSE)-Z136)</f>
        <v>1</v>
      </c>
      <c r="CD136" s="306">
        <f>IF(AA136="-","-",VLOOKUP($A136,AMABat!$A$10:$AS$1137,CD$9,FALSE)-AA136)</f>
        <v>1</v>
      </c>
      <c r="CE136" s="306">
        <f>IF(AB136="-","-",VLOOKUP($A136,AMABat!$A$10:$AS$1137,CE$9,FALSE)-AB136)</f>
        <v>1</v>
      </c>
      <c r="CF136" s="306">
        <f>IF(AC136="-","-",VLOOKUP($A136,AMABat!$A$10:$AS$1137,CF$9,FALSE)-AC136)</f>
        <v>0</v>
      </c>
      <c r="CG136" s="306">
        <f>IF(AD136="-","-",VLOOKUP($A136,AMABat!$A$10:$AS$1137,CG$9,FALSE)-AD136)</f>
        <v>0</v>
      </c>
      <c r="CH136" s="306">
        <f>IF(AE136="-","-",VLOOKUP($A136,AMABat!$A$10:$AS$1137,CH$9,FALSE)-AE136)</f>
        <v>0</v>
      </c>
      <c r="CI136" s="306" t="str">
        <f>IF(AG136="-","-",VLOOKUP($A136,AMABat!$A$10:$AS$1137,CI$9,FALSE)-AG136)</f>
        <v>-</v>
      </c>
      <c r="CJ136" s="306" t="str">
        <f>IF(AH136="-","-",VLOOKUP($A136,AMABat!$A$10:$AS$1137,CJ$9,FALSE)-AH136)</f>
        <v>-</v>
      </c>
      <c r="CK136" s="306" t="str">
        <f>IF(AI136="-","-",VLOOKUP($A136,AMABat!$A$10:$AS$1137,CK$9,FALSE)-AI136)</f>
        <v>-</v>
      </c>
      <c r="CL136" s="306" t="str">
        <f>IF(AJ136="-","-",VLOOKUP($A136,AMABat!$A$10:$AS$1137,CL$9,FALSE)-AJ136)</f>
        <v>-</v>
      </c>
      <c r="CM136" s="306" t="str">
        <f>IF(AK136="-","-",VLOOKUP($A136,AMABat!$A$10:$AS$1137,CM$9,FALSE)-AK136)</f>
        <v>-</v>
      </c>
      <c r="CN136" s="306" t="e">
        <f>IF(AL136="-","-",VLOOKUP($A136,AMABat!$A$10:$AS$1137,CN$9,FALSE)-AL136)</f>
        <v>#VALUE!</v>
      </c>
      <c r="CO136" s="306">
        <f>IF(AM136="-","-",VLOOKUP($A136,AMABat!$A$10:$AS$1137,CO$9,FALSE)-AM136)</f>
        <v>0</v>
      </c>
      <c r="CP136" s="306" t="str">
        <f>IF(AN136="-","-",VLOOKUP($A136,AMABat!$A$10:$AS$1137,CP$9,FALSE)-AN136)</f>
        <v>-</v>
      </c>
      <c r="CQ136" s="306" t="e">
        <f>IF(AO136="-","-",VLOOKUP($A136,AMABat!$A$10:$AS$1137,CQ$9,FALSE)-AO136)</f>
        <v>#VALUE!</v>
      </c>
      <c r="CR136" s="306">
        <f>IF(AP136="-","-",VLOOKUP($A136,AMABat!$A$10:$AS$1137,CR$9,FALSE)-AP136)</f>
        <v>2</v>
      </c>
      <c r="CS136" s="306">
        <f>IF(AQ136="-","-",VLOOKUP($A136,AMABat!$A$10:$AS$1137,CS$9,FALSE)-AQ136)</f>
        <v>-1</v>
      </c>
      <c r="CT136" s="306">
        <f t="shared" si="197"/>
        <v>1</v>
      </c>
      <c r="CU136" s="306">
        <f t="shared" si="198"/>
        <v>3</v>
      </c>
      <c r="CV136" s="306" t="e">
        <f t="shared" si="199"/>
        <v>#VALUE!</v>
      </c>
      <c r="CW136" s="306" t="e">
        <f t="shared" si="200"/>
        <v>#VALUE!</v>
      </c>
      <c r="CX136" s="306" t="e">
        <f t="shared" si="201"/>
        <v>#VALUE!</v>
      </c>
    </row>
    <row r="137" spans="1:102" x14ac:dyDescent="0.25">
      <c r="A137" s="306" t="str">
        <f t="shared" si="166"/>
        <v>Yunes Kirimi</v>
      </c>
      <c r="B137" s="305"/>
      <c r="C137" s="305"/>
      <c r="D137" s="305" t="str">
        <f t="shared" si="167"/>
        <v>-</v>
      </c>
      <c r="E137" s="305" t="str">
        <f t="shared" si="168"/>
        <v>-</v>
      </c>
      <c r="F137" s="305" t="str">
        <f t="shared" si="169"/>
        <v>K</v>
      </c>
      <c r="G137" s="305" t="s">
        <v>78</v>
      </c>
      <c r="H137" s="305" t="s">
        <v>896</v>
      </c>
      <c r="I137" s="305" t="s">
        <v>897</v>
      </c>
      <c r="J137" s="305" t="s">
        <v>763</v>
      </c>
      <c r="K137" s="305" t="s">
        <v>16</v>
      </c>
      <c r="L137" s="305">
        <v>16</v>
      </c>
      <c r="M137" s="305" t="s">
        <v>82</v>
      </c>
      <c r="N137" s="305" t="s">
        <v>82</v>
      </c>
      <c r="O137" s="305" t="s">
        <v>816</v>
      </c>
      <c r="P137" s="388" t="s">
        <v>808</v>
      </c>
      <c r="Q137" s="305" t="s">
        <v>200</v>
      </c>
      <c r="R137" s="388" t="s">
        <v>200</v>
      </c>
      <c r="S137" s="305">
        <v>1</v>
      </c>
      <c r="T137" s="305">
        <v>1</v>
      </c>
      <c r="U137" s="305">
        <v>2</v>
      </c>
      <c r="V137" s="305">
        <v>1</v>
      </c>
      <c r="W137" s="388">
        <v>1</v>
      </c>
      <c r="X137" s="305">
        <v>3</v>
      </c>
      <c r="Y137" s="305">
        <v>3</v>
      </c>
      <c r="Z137" s="305">
        <v>4</v>
      </c>
      <c r="AA137" s="305">
        <v>3</v>
      </c>
      <c r="AB137" s="388">
        <v>4</v>
      </c>
      <c r="AC137" s="305">
        <v>5</v>
      </c>
      <c r="AD137" s="305">
        <v>7</v>
      </c>
      <c r="AE137" s="305">
        <v>1</v>
      </c>
      <c r="AF137" s="305">
        <v>1</v>
      </c>
      <c r="AG137" s="305" t="s">
        <v>32</v>
      </c>
      <c r="AH137" s="305" t="s">
        <v>32</v>
      </c>
      <c r="AI137" s="305" t="s">
        <v>32</v>
      </c>
      <c r="AJ137" s="305" t="s">
        <v>32</v>
      </c>
      <c r="AK137" s="305" t="s">
        <v>32</v>
      </c>
      <c r="AL137" s="305">
        <v>1</v>
      </c>
      <c r="AM137" s="305">
        <v>1</v>
      </c>
      <c r="AN137" s="388">
        <v>1</v>
      </c>
      <c r="AO137" s="305">
        <v>7</v>
      </c>
      <c r="AP137" s="305">
        <v>5</v>
      </c>
      <c r="AQ137" s="388">
        <v>4</v>
      </c>
      <c r="AR137" s="305" t="s">
        <v>32</v>
      </c>
      <c r="AS137" s="388" t="s">
        <v>33</v>
      </c>
      <c r="AT137" s="387" t="s">
        <v>529</v>
      </c>
      <c r="AU137" s="22">
        <f t="shared" si="170"/>
        <v>-1.1666666666666667</v>
      </c>
      <c r="AV137" s="23" t="str">
        <f t="shared" si="171"/>
        <v>Minors</v>
      </c>
      <c r="AW137" s="22">
        <f t="shared" si="172"/>
        <v>1.8333333333333335</v>
      </c>
      <c r="AX137" s="22" t="str">
        <f t="shared" si="173"/>
        <v>Minors</v>
      </c>
      <c r="AY137" s="23">
        <f t="shared" si="174"/>
        <v>1.8333333333333335</v>
      </c>
      <c r="AZ137" s="23" t="str">
        <f t="shared" si="175"/>
        <v>Minors</v>
      </c>
      <c r="BA137" s="64">
        <f t="shared" si="176"/>
        <v>0</v>
      </c>
      <c r="BB137" s="65">
        <f t="shared" si="177"/>
        <v>0</v>
      </c>
      <c r="BC137" s="65">
        <f t="shared" si="178"/>
        <v>0</v>
      </c>
      <c r="BD137" s="65">
        <f t="shared" si="179"/>
        <v>0</v>
      </c>
      <c r="BE137" s="65">
        <f t="shared" si="180"/>
        <v>0</v>
      </c>
      <c r="BF137" s="65">
        <f t="shared" si="181"/>
        <v>0</v>
      </c>
      <c r="BG137" s="65">
        <f t="shared" si="182"/>
        <v>0</v>
      </c>
      <c r="BH137" s="65">
        <f t="shared" si="183"/>
        <v>0</v>
      </c>
      <c r="BI137" s="21">
        <f t="shared" si="184"/>
        <v>0</v>
      </c>
      <c r="BJ137" s="64">
        <f t="shared" si="185"/>
        <v>0</v>
      </c>
      <c r="BK137" s="65">
        <f t="shared" si="186"/>
        <v>0</v>
      </c>
      <c r="BL137" s="65">
        <f t="shared" si="187"/>
        <v>0</v>
      </c>
      <c r="BM137" s="65">
        <f t="shared" si="188"/>
        <v>0</v>
      </c>
      <c r="BN137" s="65">
        <f t="shared" si="189"/>
        <v>0</v>
      </c>
      <c r="BO137" s="65">
        <f t="shared" si="190"/>
        <v>0</v>
      </c>
      <c r="BP137" s="65">
        <f t="shared" si="191"/>
        <v>0</v>
      </c>
      <c r="BQ137" s="65">
        <f t="shared" si="192"/>
        <v>0</v>
      </c>
      <c r="BR137" s="21">
        <f t="shared" si="193"/>
        <v>0</v>
      </c>
      <c r="BS137" s="21">
        <f t="shared" si="194"/>
        <v>0</v>
      </c>
      <c r="BT137" s="24">
        <f t="shared" si="195"/>
        <v>0</v>
      </c>
      <c r="BU137" s="20" t="str">
        <f t="shared" si="196"/>
        <v/>
      </c>
      <c r="BV137" s="306" t="e">
        <f>IF(S137="-","-",VLOOKUP($A137,AMABat!$A$10:$AS$1137,BV$9,FALSE)-S137)</f>
        <v>#N/A</v>
      </c>
      <c r="BW137" s="306" t="e">
        <f>IF(T137="-","-",VLOOKUP($A137,AMABat!$A$10:$AS$1137,BW$9,FALSE)-T137)</f>
        <v>#N/A</v>
      </c>
      <c r="BX137" s="306" t="e">
        <f>IF(U137="-","-",VLOOKUP($A137,AMABat!$A$10:$AS$1137,BX$9,FALSE)-U137)</f>
        <v>#N/A</v>
      </c>
      <c r="BY137" s="306" t="e">
        <f>IF(V137="-","-",VLOOKUP($A137,AMABat!$A$10:$AS$1137,BY$9,FALSE)-V137)</f>
        <v>#N/A</v>
      </c>
      <c r="BZ137" s="306" t="e">
        <f>IF(W137="-","-",VLOOKUP($A137,AMABat!$A$10:$AS$1137,BZ$9,FALSE)-W137)</f>
        <v>#N/A</v>
      </c>
      <c r="CA137" s="306" t="e">
        <f>IF(X137="-","-",VLOOKUP($A137,AMABat!$A$10:$AS$1137,CA$9,FALSE)-X137)</f>
        <v>#N/A</v>
      </c>
      <c r="CB137" s="306" t="e">
        <f>IF(Y137="-","-",VLOOKUP($A137,AMABat!$A$10:$AS$1137,CB$9,FALSE)-Y137)</f>
        <v>#N/A</v>
      </c>
      <c r="CC137" s="306" t="e">
        <f>IF(Z137="-","-",VLOOKUP($A137,AMABat!$A$10:$AS$1137,CC$9,FALSE)-Z137)</f>
        <v>#N/A</v>
      </c>
      <c r="CD137" s="306" t="e">
        <f>IF(AA137="-","-",VLOOKUP($A137,AMABat!$A$10:$AS$1137,CD$9,FALSE)-AA137)</f>
        <v>#N/A</v>
      </c>
      <c r="CE137" s="306" t="e">
        <f>IF(AB137="-","-",VLOOKUP($A137,AMABat!$A$10:$AS$1137,CE$9,FALSE)-AB137)</f>
        <v>#N/A</v>
      </c>
      <c r="CF137" s="306" t="e">
        <f>IF(AC137="-","-",VLOOKUP($A137,AMABat!$A$10:$AS$1137,CF$9,FALSE)-AC137)</f>
        <v>#N/A</v>
      </c>
      <c r="CG137" s="306" t="e">
        <f>IF(AD137="-","-",VLOOKUP($A137,AMABat!$A$10:$AS$1137,CG$9,FALSE)-AD137)</f>
        <v>#N/A</v>
      </c>
      <c r="CH137" s="306" t="e">
        <f>IF(AE137="-","-",VLOOKUP($A137,AMABat!$A$10:$AS$1137,CH$9,FALSE)-AE137)</f>
        <v>#N/A</v>
      </c>
      <c r="CI137" s="306" t="str">
        <f>IF(AG137="-","-",VLOOKUP($A137,AMABat!$A$10:$AS$1137,CI$9,FALSE)-AG137)</f>
        <v>-</v>
      </c>
      <c r="CJ137" s="306" t="str">
        <f>IF(AH137="-","-",VLOOKUP($A137,AMABat!$A$10:$AS$1137,CJ$9,FALSE)-AH137)</f>
        <v>-</v>
      </c>
      <c r="CK137" s="306" t="str">
        <f>IF(AI137="-","-",VLOOKUP($A137,AMABat!$A$10:$AS$1137,CK$9,FALSE)-AI137)</f>
        <v>-</v>
      </c>
      <c r="CL137" s="306" t="str">
        <f>IF(AJ137="-","-",VLOOKUP($A137,AMABat!$A$10:$AS$1137,CL$9,FALSE)-AJ137)</f>
        <v>-</v>
      </c>
      <c r="CM137" s="306" t="str">
        <f>IF(AK137="-","-",VLOOKUP($A137,AMABat!$A$10:$AS$1137,CM$9,FALSE)-AK137)</f>
        <v>-</v>
      </c>
      <c r="CN137" s="306" t="e">
        <f>IF(AL137="-","-",VLOOKUP($A137,AMABat!$A$10:$AS$1137,CN$9,FALSE)-AL137)</f>
        <v>#N/A</v>
      </c>
      <c r="CO137" s="306" t="e">
        <f>IF(AM137="-","-",VLOOKUP($A137,AMABat!$A$10:$AS$1137,CO$9,FALSE)-AM137)</f>
        <v>#N/A</v>
      </c>
      <c r="CP137" s="306" t="e">
        <f>IF(AN137="-","-",VLOOKUP($A137,AMABat!$A$10:$AS$1137,CP$9,FALSE)-AN137)</f>
        <v>#N/A</v>
      </c>
      <c r="CQ137" s="306" t="e">
        <f>IF(AO137="-","-",VLOOKUP($A137,AMABat!$A$10:$AS$1137,CQ$9,FALSE)-AO137)</f>
        <v>#N/A</v>
      </c>
      <c r="CR137" s="306" t="e">
        <f>IF(AP137="-","-",VLOOKUP($A137,AMABat!$A$10:$AS$1137,CR$9,FALSE)-AP137)</f>
        <v>#N/A</v>
      </c>
      <c r="CS137" s="306" t="e">
        <f>IF(AQ137="-","-",VLOOKUP($A137,AMABat!$A$10:$AS$1137,CS$9,FALSE)-AQ137)</f>
        <v>#N/A</v>
      </c>
      <c r="CT137" s="306" t="e">
        <f t="shared" si="197"/>
        <v>#N/A</v>
      </c>
      <c r="CU137" s="306" t="e">
        <f t="shared" si="198"/>
        <v>#N/A</v>
      </c>
      <c r="CV137" s="306" t="e">
        <f t="shared" si="199"/>
        <v>#N/A</v>
      </c>
      <c r="CW137" s="306" t="e">
        <f t="shared" si="200"/>
        <v>#N/A</v>
      </c>
      <c r="CX137" s="306" t="e">
        <f t="shared" si="201"/>
        <v>#N/A</v>
      </c>
    </row>
    <row r="138" spans="1:102" x14ac:dyDescent="0.25">
      <c r="A138" s="306" t="str">
        <f t="shared" si="166"/>
        <v>Luis Miranda</v>
      </c>
      <c r="B138" s="305"/>
      <c r="C138" s="305"/>
      <c r="D138" s="305" t="str">
        <f t="shared" si="167"/>
        <v>-</v>
      </c>
      <c r="E138" s="305" t="str">
        <f t="shared" si="168"/>
        <v>-</v>
      </c>
      <c r="F138" s="305" t="str">
        <f t="shared" si="169"/>
        <v>K</v>
      </c>
      <c r="G138" s="305" t="s">
        <v>74</v>
      </c>
      <c r="H138" s="305" t="s">
        <v>521</v>
      </c>
      <c r="I138" s="305" t="s">
        <v>432</v>
      </c>
      <c r="J138" s="305" t="s">
        <v>763</v>
      </c>
      <c r="K138" s="305" t="s">
        <v>16</v>
      </c>
      <c r="L138" s="305">
        <v>17</v>
      </c>
      <c r="M138" s="305" t="s">
        <v>82</v>
      </c>
      <c r="N138" s="305" t="s">
        <v>83</v>
      </c>
      <c r="O138" s="305" t="s">
        <v>816</v>
      </c>
      <c r="P138" s="388" t="s">
        <v>803</v>
      </c>
      <c r="Q138" s="305" t="s">
        <v>199</v>
      </c>
      <c r="R138" s="388" t="s">
        <v>200</v>
      </c>
      <c r="S138" s="305">
        <v>1</v>
      </c>
      <c r="T138" s="305">
        <v>1</v>
      </c>
      <c r="U138" s="305">
        <v>2</v>
      </c>
      <c r="V138" s="305">
        <v>1</v>
      </c>
      <c r="W138" s="388">
        <v>1</v>
      </c>
      <c r="X138" s="305">
        <v>3</v>
      </c>
      <c r="Y138" s="305">
        <v>3</v>
      </c>
      <c r="Z138" s="305">
        <v>2</v>
      </c>
      <c r="AA138" s="305">
        <v>5</v>
      </c>
      <c r="AB138" s="388">
        <v>4</v>
      </c>
      <c r="AC138" s="305">
        <v>3</v>
      </c>
      <c r="AD138" s="305">
        <v>3</v>
      </c>
      <c r="AE138" s="305">
        <v>1</v>
      </c>
      <c r="AF138" s="305">
        <v>1</v>
      </c>
      <c r="AG138" s="305" t="s">
        <v>32</v>
      </c>
      <c r="AH138" s="305" t="s">
        <v>32</v>
      </c>
      <c r="AI138" s="305">
        <v>1</v>
      </c>
      <c r="AJ138" s="305" t="s">
        <v>32</v>
      </c>
      <c r="AK138" s="305" t="s">
        <v>32</v>
      </c>
      <c r="AL138" s="305" t="s">
        <v>32</v>
      </c>
      <c r="AM138" s="305" t="s">
        <v>32</v>
      </c>
      <c r="AN138" s="388" t="s">
        <v>32</v>
      </c>
      <c r="AO138" s="305">
        <v>3</v>
      </c>
      <c r="AP138" s="305">
        <v>3</v>
      </c>
      <c r="AQ138" s="388">
        <v>2</v>
      </c>
      <c r="AR138" s="305" t="s">
        <v>32</v>
      </c>
      <c r="AS138" s="388" t="s">
        <v>33</v>
      </c>
      <c r="AT138" s="387" t="s">
        <v>529</v>
      </c>
      <c r="AU138" s="22">
        <f t="shared" si="170"/>
        <v>-1.1666666666666667</v>
      </c>
      <c r="AV138" s="23" t="str">
        <f t="shared" si="171"/>
        <v>Minors</v>
      </c>
      <c r="AW138" s="22">
        <f t="shared" si="172"/>
        <v>1.8333333333333335</v>
      </c>
      <c r="AX138" s="22" t="str">
        <f t="shared" si="173"/>
        <v>Minors</v>
      </c>
      <c r="AY138" s="23">
        <f t="shared" si="174"/>
        <v>1.8333333333333335</v>
      </c>
      <c r="AZ138" s="23" t="str">
        <f t="shared" si="175"/>
        <v>Minors</v>
      </c>
      <c r="BA138" s="64">
        <f t="shared" si="176"/>
        <v>0</v>
      </c>
      <c r="BB138" s="65">
        <f t="shared" si="177"/>
        <v>0</v>
      </c>
      <c r="BC138" s="65">
        <f t="shared" si="178"/>
        <v>0</v>
      </c>
      <c r="BD138" s="65">
        <f t="shared" si="179"/>
        <v>0</v>
      </c>
      <c r="BE138" s="65">
        <f t="shared" si="180"/>
        <v>0</v>
      </c>
      <c r="BF138" s="65">
        <f t="shared" si="181"/>
        <v>0</v>
      </c>
      <c r="BG138" s="65">
        <f t="shared" si="182"/>
        <v>0</v>
      </c>
      <c r="BH138" s="65">
        <f t="shared" si="183"/>
        <v>0</v>
      </c>
      <c r="BI138" s="21">
        <f t="shared" si="184"/>
        <v>0</v>
      </c>
      <c r="BJ138" s="64">
        <f t="shared" si="185"/>
        <v>0</v>
      </c>
      <c r="BK138" s="65">
        <f t="shared" si="186"/>
        <v>0</v>
      </c>
      <c r="BL138" s="65">
        <f t="shared" si="187"/>
        <v>0</v>
      </c>
      <c r="BM138" s="65">
        <f t="shared" si="188"/>
        <v>0</v>
      </c>
      <c r="BN138" s="65">
        <f t="shared" si="189"/>
        <v>0</v>
      </c>
      <c r="BO138" s="65">
        <f t="shared" si="190"/>
        <v>0</v>
      </c>
      <c r="BP138" s="65">
        <f t="shared" si="191"/>
        <v>0</v>
      </c>
      <c r="BQ138" s="65">
        <f t="shared" si="192"/>
        <v>0</v>
      </c>
      <c r="BR138" s="21">
        <f t="shared" si="193"/>
        <v>0</v>
      </c>
      <c r="BS138" s="21">
        <f t="shared" si="194"/>
        <v>0</v>
      </c>
      <c r="BT138" s="24">
        <f t="shared" si="195"/>
        <v>0</v>
      </c>
      <c r="BU138" s="20" t="str">
        <f t="shared" si="196"/>
        <v/>
      </c>
      <c r="BV138" s="306" t="e">
        <f>IF(S138="-","-",VLOOKUP($A138,AMABat!$A$10:$AS$1137,BV$9,FALSE)-S138)</f>
        <v>#N/A</v>
      </c>
      <c r="BW138" s="306" t="e">
        <f>IF(T138="-","-",VLOOKUP($A138,AMABat!$A$10:$AS$1137,BW$9,FALSE)-T138)</f>
        <v>#N/A</v>
      </c>
      <c r="BX138" s="306" t="e">
        <f>IF(U138="-","-",VLOOKUP($A138,AMABat!$A$10:$AS$1137,BX$9,FALSE)-U138)</f>
        <v>#N/A</v>
      </c>
      <c r="BY138" s="306" t="e">
        <f>IF(V138="-","-",VLOOKUP($A138,AMABat!$A$10:$AS$1137,BY$9,FALSE)-V138)</f>
        <v>#N/A</v>
      </c>
      <c r="BZ138" s="306" t="e">
        <f>IF(W138="-","-",VLOOKUP($A138,AMABat!$A$10:$AS$1137,BZ$9,FALSE)-W138)</f>
        <v>#N/A</v>
      </c>
      <c r="CA138" s="306" t="e">
        <f>IF(X138="-","-",VLOOKUP($A138,AMABat!$A$10:$AS$1137,CA$9,FALSE)-X138)</f>
        <v>#N/A</v>
      </c>
      <c r="CB138" s="306" t="e">
        <f>IF(Y138="-","-",VLOOKUP($A138,AMABat!$A$10:$AS$1137,CB$9,FALSE)-Y138)</f>
        <v>#N/A</v>
      </c>
      <c r="CC138" s="306" t="e">
        <f>IF(Z138="-","-",VLOOKUP($A138,AMABat!$A$10:$AS$1137,CC$9,FALSE)-Z138)</f>
        <v>#N/A</v>
      </c>
      <c r="CD138" s="306" t="e">
        <f>IF(AA138="-","-",VLOOKUP($A138,AMABat!$A$10:$AS$1137,CD$9,FALSE)-AA138)</f>
        <v>#N/A</v>
      </c>
      <c r="CE138" s="306" t="e">
        <f>IF(AB138="-","-",VLOOKUP($A138,AMABat!$A$10:$AS$1137,CE$9,FALSE)-AB138)</f>
        <v>#N/A</v>
      </c>
      <c r="CF138" s="306" t="e">
        <f>IF(AC138="-","-",VLOOKUP($A138,AMABat!$A$10:$AS$1137,CF$9,FALSE)-AC138)</f>
        <v>#N/A</v>
      </c>
      <c r="CG138" s="306" t="e">
        <f>IF(AD138="-","-",VLOOKUP($A138,AMABat!$A$10:$AS$1137,CG$9,FALSE)-AD138)</f>
        <v>#N/A</v>
      </c>
      <c r="CH138" s="306" t="e">
        <f>IF(AE138="-","-",VLOOKUP($A138,AMABat!$A$10:$AS$1137,CH$9,FALSE)-AE138)</f>
        <v>#N/A</v>
      </c>
      <c r="CI138" s="306" t="str">
        <f>IF(AG138="-","-",VLOOKUP($A138,AMABat!$A$10:$AS$1137,CI$9,FALSE)-AG138)</f>
        <v>-</v>
      </c>
      <c r="CJ138" s="306" t="str">
        <f>IF(AH138="-","-",VLOOKUP($A138,AMABat!$A$10:$AS$1137,CJ$9,FALSE)-AH138)</f>
        <v>-</v>
      </c>
      <c r="CK138" s="306" t="e">
        <f>IF(AI138="-","-",VLOOKUP($A138,AMABat!$A$10:$AS$1137,CK$9,FALSE)-AI138)</f>
        <v>#N/A</v>
      </c>
      <c r="CL138" s="306" t="str">
        <f>IF(AJ138="-","-",VLOOKUP($A138,AMABat!$A$10:$AS$1137,CL$9,FALSE)-AJ138)</f>
        <v>-</v>
      </c>
      <c r="CM138" s="306" t="str">
        <f>IF(AK138="-","-",VLOOKUP($A138,AMABat!$A$10:$AS$1137,CM$9,FALSE)-AK138)</f>
        <v>-</v>
      </c>
      <c r="CN138" s="306" t="str">
        <f>IF(AL138="-","-",VLOOKUP($A138,AMABat!$A$10:$AS$1137,CN$9,FALSE)-AL138)</f>
        <v>-</v>
      </c>
      <c r="CO138" s="306" t="str">
        <f>IF(AM138="-","-",VLOOKUP($A138,AMABat!$A$10:$AS$1137,CO$9,FALSE)-AM138)</f>
        <v>-</v>
      </c>
      <c r="CP138" s="306" t="str">
        <f>IF(AN138="-","-",VLOOKUP($A138,AMABat!$A$10:$AS$1137,CP$9,FALSE)-AN138)</f>
        <v>-</v>
      </c>
      <c r="CQ138" s="306" t="e">
        <f>IF(AO138="-","-",VLOOKUP($A138,AMABat!$A$10:$AS$1137,CQ$9,FALSE)-AO138)</f>
        <v>#N/A</v>
      </c>
      <c r="CR138" s="306" t="e">
        <f>IF(AP138="-","-",VLOOKUP($A138,AMABat!$A$10:$AS$1137,CR$9,FALSE)-AP138)</f>
        <v>#N/A</v>
      </c>
      <c r="CS138" s="306" t="e">
        <f>IF(AQ138="-","-",VLOOKUP($A138,AMABat!$A$10:$AS$1137,CS$9,FALSE)-AQ138)</f>
        <v>#N/A</v>
      </c>
      <c r="CT138" s="306" t="e">
        <f t="shared" si="197"/>
        <v>#N/A</v>
      </c>
      <c r="CU138" s="306" t="e">
        <f t="shared" si="198"/>
        <v>#N/A</v>
      </c>
      <c r="CV138" s="306" t="e">
        <f t="shared" si="199"/>
        <v>#N/A</v>
      </c>
      <c r="CW138" s="306" t="e">
        <f t="shared" si="200"/>
        <v>#N/A</v>
      </c>
      <c r="CX138" s="306" t="e">
        <f t="shared" si="201"/>
        <v>#N/A</v>
      </c>
    </row>
    <row r="139" spans="1:102" x14ac:dyDescent="0.25">
      <c r="A139" s="306" t="str">
        <f t="shared" si="166"/>
        <v>Alejandro Vázquez</v>
      </c>
      <c r="B139" s="305"/>
      <c r="C139" s="305"/>
      <c r="D139" s="305" t="str">
        <f t="shared" si="167"/>
        <v>-</v>
      </c>
      <c r="E139" s="305" t="str">
        <f t="shared" si="168"/>
        <v>-</v>
      </c>
      <c r="F139" s="305" t="str">
        <f t="shared" si="169"/>
        <v>K</v>
      </c>
      <c r="G139" s="305" t="s">
        <v>78</v>
      </c>
      <c r="H139" s="305" t="s">
        <v>839</v>
      </c>
      <c r="I139" s="305" t="s">
        <v>1140</v>
      </c>
      <c r="J139" s="305" t="s">
        <v>763</v>
      </c>
      <c r="K139" s="305" t="s">
        <v>16</v>
      </c>
      <c r="L139" s="305">
        <v>17</v>
      </c>
      <c r="M139" s="305" t="s">
        <v>83</v>
      </c>
      <c r="N139" s="305" t="s">
        <v>83</v>
      </c>
      <c r="O139" s="305" t="s">
        <v>816</v>
      </c>
      <c r="P139" s="388" t="s">
        <v>808</v>
      </c>
      <c r="Q139" s="305" t="s">
        <v>201</v>
      </c>
      <c r="R139" s="388" t="s">
        <v>199</v>
      </c>
      <c r="S139" s="305">
        <v>1</v>
      </c>
      <c r="T139" s="305">
        <v>1</v>
      </c>
      <c r="U139" s="305">
        <v>2</v>
      </c>
      <c r="V139" s="305">
        <v>1</v>
      </c>
      <c r="W139" s="388">
        <v>1</v>
      </c>
      <c r="X139" s="305">
        <v>2</v>
      </c>
      <c r="Y139" s="305">
        <v>5</v>
      </c>
      <c r="Z139" s="305">
        <v>5</v>
      </c>
      <c r="AA139" s="305">
        <v>4</v>
      </c>
      <c r="AB139" s="388">
        <v>1</v>
      </c>
      <c r="AC139" s="305">
        <v>4</v>
      </c>
      <c r="AD139" s="305">
        <v>6</v>
      </c>
      <c r="AE139" s="305">
        <v>1</v>
      </c>
      <c r="AF139" s="305">
        <v>1</v>
      </c>
      <c r="AG139" s="305" t="s">
        <v>32</v>
      </c>
      <c r="AH139" s="305" t="s">
        <v>32</v>
      </c>
      <c r="AI139" s="305" t="s">
        <v>32</v>
      </c>
      <c r="AJ139" s="305" t="s">
        <v>32</v>
      </c>
      <c r="AK139" s="305" t="s">
        <v>32</v>
      </c>
      <c r="AL139" s="305">
        <v>1</v>
      </c>
      <c r="AM139" s="305">
        <v>1</v>
      </c>
      <c r="AN139" s="388">
        <v>1</v>
      </c>
      <c r="AO139" s="305">
        <v>7</v>
      </c>
      <c r="AP139" s="305">
        <v>6</v>
      </c>
      <c r="AQ139" s="388">
        <v>7</v>
      </c>
      <c r="AR139" s="305" t="s">
        <v>32</v>
      </c>
      <c r="AS139" s="388" t="s">
        <v>33</v>
      </c>
      <c r="AT139" s="387" t="s">
        <v>529</v>
      </c>
      <c r="AU139" s="22">
        <f t="shared" si="170"/>
        <v>-1.1666666666666667</v>
      </c>
      <c r="AV139" s="23" t="str">
        <f t="shared" si="171"/>
        <v>Minors</v>
      </c>
      <c r="AW139" s="22">
        <f t="shared" si="172"/>
        <v>1.6666666666666665</v>
      </c>
      <c r="AX139" s="22" t="str">
        <f t="shared" si="173"/>
        <v>Minors</v>
      </c>
      <c r="AY139" s="23">
        <f t="shared" si="174"/>
        <v>1.6666666666666665</v>
      </c>
      <c r="AZ139" s="23" t="str">
        <f t="shared" si="175"/>
        <v>Minors</v>
      </c>
      <c r="BA139" s="64">
        <f t="shared" si="176"/>
        <v>0</v>
      </c>
      <c r="BB139" s="65">
        <f t="shared" si="177"/>
        <v>0</v>
      </c>
      <c r="BC139" s="65">
        <f t="shared" si="178"/>
        <v>0</v>
      </c>
      <c r="BD139" s="65">
        <f t="shared" si="179"/>
        <v>0</v>
      </c>
      <c r="BE139" s="65">
        <f t="shared" si="180"/>
        <v>0</v>
      </c>
      <c r="BF139" s="65">
        <f t="shared" si="181"/>
        <v>0</v>
      </c>
      <c r="BG139" s="65">
        <f t="shared" si="182"/>
        <v>0</v>
      </c>
      <c r="BH139" s="65">
        <f t="shared" si="183"/>
        <v>0</v>
      </c>
      <c r="BI139" s="21">
        <f t="shared" si="184"/>
        <v>0</v>
      </c>
      <c r="BJ139" s="64">
        <f t="shared" si="185"/>
        <v>0</v>
      </c>
      <c r="BK139" s="65">
        <f t="shared" si="186"/>
        <v>0</v>
      </c>
      <c r="BL139" s="65">
        <f t="shared" si="187"/>
        <v>0</v>
      </c>
      <c r="BM139" s="65">
        <f t="shared" si="188"/>
        <v>0</v>
      </c>
      <c r="BN139" s="65">
        <f t="shared" si="189"/>
        <v>0</v>
      </c>
      <c r="BO139" s="65">
        <f t="shared" si="190"/>
        <v>0</v>
      </c>
      <c r="BP139" s="65">
        <f t="shared" si="191"/>
        <v>0</v>
      </c>
      <c r="BQ139" s="65">
        <f t="shared" si="192"/>
        <v>0</v>
      </c>
      <c r="BR139" s="21">
        <f t="shared" si="193"/>
        <v>0</v>
      </c>
      <c r="BS139" s="21">
        <f t="shared" si="194"/>
        <v>1</v>
      </c>
      <c r="BT139" s="24">
        <f t="shared" si="195"/>
        <v>0</v>
      </c>
      <c r="BU139" s="20" t="str">
        <f t="shared" si="196"/>
        <v/>
      </c>
      <c r="BV139" s="306" t="e">
        <f>IF(S139="-","-",VLOOKUP($A139,AMABat!$A$10:$AS$1137,BV$9,FALSE)-S139)</f>
        <v>#N/A</v>
      </c>
      <c r="BW139" s="306" t="e">
        <f>IF(T139="-","-",VLOOKUP($A139,AMABat!$A$10:$AS$1137,BW$9,FALSE)-T139)</f>
        <v>#N/A</v>
      </c>
      <c r="BX139" s="306" t="e">
        <f>IF(U139="-","-",VLOOKUP($A139,AMABat!$A$10:$AS$1137,BX$9,FALSE)-U139)</f>
        <v>#N/A</v>
      </c>
      <c r="BY139" s="306" t="e">
        <f>IF(V139="-","-",VLOOKUP($A139,AMABat!$A$10:$AS$1137,BY$9,FALSE)-V139)</f>
        <v>#N/A</v>
      </c>
      <c r="BZ139" s="306" t="e">
        <f>IF(W139="-","-",VLOOKUP($A139,AMABat!$A$10:$AS$1137,BZ$9,FALSE)-W139)</f>
        <v>#N/A</v>
      </c>
      <c r="CA139" s="306" t="e">
        <f>IF(X139="-","-",VLOOKUP($A139,AMABat!$A$10:$AS$1137,CA$9,FALSE)-X139)</f>
        <v>#N/A</v>
      </c>
      <c r="CB139" s="306" t="e">
        <f>IF(Y139="-","-",VLOOKUP($A139,AMABat!$A$10:$AS$1137,CB$9,FALSE)-Y139)</f>
        <v>#N/A</v>
      </c>
      <c r="CC139" s="306" t="e">
        <f>IF(Z139="-","-",VLOOKUP($A139,AMABat!$A$10:$AS$1137,CC$9,FALSE)-Z139)</f>
        <v>#N/A</v>
      </c>
      <c r="CD139" s="306" t="e">
        <f>IF(AA139="-","-",VLOOKUP($A139,AMABat!$A$10:$AS$1137,CD$9,FALSE)-AA139)</f>
        <v>#N/A</v>
      </c>
      <c r="CE139" s="306" t="e">
        <f>IF(AB139="-","-",VLOOKUP($A139,AMABat!$A$10:$AS$1137,CE$9,FALSE)-AB139)</f>
        <v>#N/A</v>
      </c>
      <c r="CF139" s="306" t="e">
        <f>IF(AC139="-","-",VLOOKUP($A139,AMABat!$A$10:$AS$1137,CF$9,FALSE)-AC139)</f>
        <v>#N/A</v>
      </c>
      <c r="CG139" s="306" t="e">
        <f>IF(AD139="-","-",VLOOKUP($A139,AMABat!$A$10:$AS$1137,CG$9,FALSE)-AD139)</f>
        <v>#N/A</v>
      </c>
      <c r="CH139" s="306" t="e">
        <f>IF(AE139="-","-",VLOOKUP($A139,AMABat!$A$10:$AS$1137,CH$9,FALSE)-AE139)</f>
        <v>#N/A</v>
      </c>
      <c r="CI139" s="306" t="str">
        <f>IF(AG139="-","-",VLOOKUP($A139,AMABat!$A$10:$AS$1137,CI$9,FALSE)-AG139)</f>
        <v>-</v>
      </c>
      <c r="CJ139" s="306" t="str">
        <f>IF(AH139="-","-",VLOOKUP($A139,AMABat!$A$10:$AS$1137,CJ$9,FALSE)-AH139)</f>
        <v>-</v>
      </c>
      <c r="CK139" s="306" t="str">
        <f>IF(AI139="-","-",VLOOKUP($A139,AMABat!$A$10:$AS$1137,CK$9,FALSE)-AI139)</f>
        <v>-</v>
      </c>
      <c r="CL139" s="306" t="str">
        <f>IF(AJ139="-","-",VLOOKUP($A139,AMABat!$A$10:$AS$1137,CL$9,FALSE)-AJ139)</f>
        <v>-</v>
      </c>
      <c r="CM139" s="306" t="str">
        <f>IF(AK139="-","-",VLOOKUP($A139,AMABat!$A$10:$AS$1137,CM$9,FALSE)-AK139)</f>
        <v>-</v>
      </c>
      <c r="CN139" s="306" t="e">
        <f>IF(AL139="-","-",VLOOKUP($A139,AMABat!$A$10:$AS$1137,CN$9,FALSE)-AL139)</f>
        <v>#N/A</v>
      </c>
      <c r="CO139" s="306" t="e">
        <f>IF(AM139="-","-",VLOOKUP($A139,AMABat!$A$10:$AS$1137,CO$9,FALSE)-AM139)</f>
        <v>#N/A</v>
      </c>
      <c r="CP139" s="306" t="e">
        <f>IF(AN139="-","-",VLOOKUP($A139,AMABat!$A$10:$AS$1137,CP$9,FALSE)-AN139)</f>
        <v>#N/A</v>
      </c>
      <c r="CQ139" s="306" t="e">
        <f>IF(AO139="-","-",VLOOKUP($A139,AMABat!$A$10:$AS$1137,CQ$9,FALSE)-AO139)</f>
        <v>#N/A</v>
      </c>
      <c r="CR139" s="306" t="e">
        <f>IF(AP139="-","-",VLOOKUP($A139,AMABat!$A$10:$AS$1137,CR$9,FALSE)-AP139)</f>
        <v>#N/A</v>
      </c>
      <c r="CS139" s="306" t="e">
        <f>IF(AQ139="-","-",VLOOKUP($A139,AMABat!$A$10:$AS$1137,CS$9,FALSE)-AQ139)</f>
        <v>#N/A</v>
      </c>
      <c r="CT139" s="306" t="e">
        <f t="shared" si="197"/>
        <v>#N/A</v>
      </c>
      <c r="CU139" s="306" t="e">
        <f t="shared" si="198"/>
        <v>#N/A</v>
      </c>
      <c r="CV139" s="306" t="e">
        <f t="shared" si="199"/>
        <v>#N/A</v>
      </c>
      <c r="CW139" s="306" t="e">
        <f t="shared" si="200"/>
        <v>#N/A</v>
      </c>
      <c r="CX139" s="306" t="e">
        <f t="shared" si="201"/>
        <v>#N/A</v>
      </c>
    </row>
    <row r="140" spans="1:102" x14ac:dyDescent="0.25">
      <c r="A140" s="306" t="str">
        <f t="shared" si="166"/>
        <v>Domingo Gallegos</v>
      </c>
      <c r="B140" s="305"/>
      <c r="C140" s="305"/>
      <c r="D140" s="305" t="str">
        <f t="shared" si="167"/>
        <v>-</v>
      </c>
      <c r="E140" s="305" t="str">
        <f t="shared" si="168"/>
        <v>-</v>
      </c>
      <c r="F140" s="305" t="str">
        <f t="shared" si="169"/>
        <v>K</v>
      </c>
      <c r="G140" s="305" t="s">
        <v>74</v>
      </c>
      <c r="H140" s="305" t="s">
        <v>463</v>
      </c>
      <c r="I140" s="305" t="s">
        <v>815</v>
      </c>
      <c r="J140" s="305" t="s">
        <v>810</v>
      </c>
      <c r="K140" s="305" t="s">
        <v>83</v>
      </c>
      <c r="L140" s="305">
        <v>19</v>
      </c>
      <c r="M140" s="305" t="s">
        <v>83</v>
      </c>
      <c r="N140" s="305" t="s">
        <v>83</v>
      </c>
      <c r="O140" s="305" t="s">
        <v>816</v>
      </c>
      <c r="P140" s="388" t="s">
        <v>808</v>
      </c>
      <c r="Q140" s="305" t="s">
        <v>200</v>
      </c>
      <c r="R140" s="388" t="s">
        <v>199</v>
      </c>
      <c r="S140" s="305">
        <v>1</v>
      </c>
      <c r="T140" s="305">
        <v>1</v>
      </c>
      <c r="U140" s="305">
        <v>2</v>
      </c>
      <c r="V140" s="305">
        <v>1</v>
      </c>
      <c r="W140" s="388">
        <v>2</v>
      </c>
      <c r="X140" s="305">
        <v>3</v>
      </c>
      <c r="Y140" s="305">
        <v>4</v>
      </c>
      <c r="Z140" s="305">
        <v>3</v>
      </c>
      <c r="AA140" s="305">
        <v>3</v>
      </c>
      <c r="AB140" s="388">
        <v>5</v>
      </c>
      <c r="AC140" s="305">
        <v>7</v>
      </c>
      <c r="AD140" s="305">
        <v>6</v>
      </c>
      <c r="AE140" s="305">
        <v>1</v>
      </c>
      <c r="AF140" s="305">
        <v>1</v>
      </c>
      <c r="AG140" s="305" t="s">
        <v>32</v>
      </c>
      <c r="AH140" s="305" t="s">
        <v>32</v>
      </c>
      <c r="AI140" s="305">
        <v>1</v>
      </c>
      <c r="AJ140" s="305">
        <v>3</v>
      </c>
      <c r="AK140" s="305" t="s">
        <v>32</v>
      </c>
      <c r="AL140" s="305" t="s">
        <v>32</v>
      </c>
      <c r="AM140" s="305" t="s">
        <v>32</v>
      </c>
      <c r="AN140" s="388" t="s">
        <v>32</v>
      </c>
      <c r="AO140" s="305">
        <v>2</v>
      </c>
      <c r="AP140" s="305">
        <v>1</v>
      </c>
      <c r="AQ140" s="388">
        <v>2</v>
      </c>
      <c r="AR140" s="305" t="s">
        <v>32</v>
      </c>
      <c r="AS140" s="388" t="s">
        <v>33</v>
      </c>
      <c r="AT140" s="387" t="s">
        <v>199</v>
      </c>
      <c r="AU140" s="22">
        <f t="shared" si="170"/>
        <v>-1.1666666666666667</v>
      </c>
      <c r="AV140" s="23" t="str">
        <f t="shared" si="171"/>
        <v>Minors</v>
      </c>
      <c r="AW140" s="22">
        <f t="shared" si="172"/>
        <v>1.5</v>
      </c>
      <c r="AX140" s="22" t="str">
        <f t="shared" si="173"/>
        <v>Minors</v>
      </c>
      <c r="AY140" s="23">
        <f t="shared" si="174"/>
        <v>1.5</v>
      </c>
      <c r="AZ140" s="23" t="str">
        <f t="shared" si="175"/>
        <v>Minors</v>
      </c>
      <c r="BA140" s="64">
        <f t="shared" si="176"/>
        <v>0</v>
      </c>
      <c r="BB140" s="65">
        <f t="shared" si="177"/>
        <v>0</v>
      </c>
      <c r="BC140" s="65">
        <f t="shared" si="178"/>
        <v>0</v>
      </c>
      <c r="BD140" s="65">
        <f t="shared" si="179"/>
        <v>0</v>
      </c>
      <c r="BE140" s="65">
        <f t="shared" si="180"/>
        <v>0</v>
      </c>
      <c r="BF140" s="65">
        <f t="shared" si="181"/>
        <v>0</v>
      </c>
      <c r="BG140" s="65">
        <f t="shared" si="182"/>
        <v>0</v>
      </c>
      <c r="BH140" s="65">
        <f t="shared" si="183"/>
        <v>0</v>
      </c>
      <c r="BI140" s="21">
        <f t="shared" si="184"/>
        <v>0</v>
      </c>
      <c r="BJ140" s="64">
        <f t="shared" si="185"/>
        <v>0</v>
      </c>
      <c r="BK140" s="65">
        <f t="shared" si="186"/>
        <v>0</v>
      </c>
      <c r="BL140" s="65">
        <f t="shared" si="187"/>
        <v>0</v>
      </c>
      <c r="BM140" s="65">
        <f t="shared" si="188"/>
        <v>0</v>
      </c>
      <c r="BN140" s="65">
        <f t="shared" si="189"/>
        <v>0</v>
      </c>
      <c r="BO140" s="65">
        <f t="shared" si="190"/>
        <v>0</v>
      </c>
      <c r="BP140" s="65">
        <f t="shared" si="191"/>
        <v>0</v>
      </c>
      <c r="BQ140" s="65">
        <f t="shared" si="192"/>
        <v>0</v>
      </c>
      <c r="BR140" s="21">
        <f t="shared" si="193"/>
        <v>0</v>
      </c>
      <c r="BS140" s="21">
        <f t="shared" si="194"/>
        <v>0</v>
      </c>
      <c r="BT140" s="24">
        <f t="shared" si="195"/>
        <v>0</v>
      </c>
      <c r="BU140" s="20" t="str">
        <f t="shared" si="196"/>
        <v/>
      </c>
      <c r="BV140" s="306">
        <f>IF(S140="-","-",VLOOKUP($A140,AMABat!$A$10:$AS$1137,BV$9,FALSE)-S140)</f>
        <v>1</v>
      </c>
      <c r="BW140" s="306">
        <f>IF(T140="-","-",VLOOKUP($A140,AMABat!$A$10:$AS$1137,BW$9,FALSE)-T140)</f>
        <v>2</v>
      </c>
      <c r="BX140" s="306">
        <f>IF(U140="-","-",VLOOKUP($A140,AMABat!$A$10:$AS$1137,BX$9,FALSE)-U140)</f>
        <v>0</v>
      </c>
      <c r="BY140" s="306">
        <f>IF(V140="-","-",VLOOKUP($A140,AMABat!$A$10:$AS$1137,BY$9,FALSE)-V140)</f>
        <v>0</v>
      </c>
      <c r="BZ140" s="306">
        <f>IF(W140="-","-",VLOOKUP($A140,AMABat!$A$10:$AS$1137,BZ$9,FALSE)-W140)</f>
        <v>0</v>
      </c>
      <c r="CA140" s="306">
        <f>IF(X140="-","-",VLOOKUP($A140,AMABat!$A$10:$AS$1137,CA$9,FALSE)-X140)</f>
        <v>1</v>
      </c>
      <c r="CB140" s="306">
        <f>IF(Y140="-","-",VLOOKUP($A140,AMABat!$A$10:$AS$1137,CB$9,FALSE)-Y140)</f>
        <v>1</v>
      </c>
      <c r="CC140" s="306">
        <f>IF(Z140="-","-",VLOOKUP($A140,AMABat!$A$10:$AS$1137,CC$9,FALSE)-Z140)</f>
        <v>0</v>
      </c>
      <c r="CD140" s="306">
        <f>IF(AA140="-","-",VLOOKUP($A140,AMABat!$A$10:$AS$1137,CD$9,FALSE)-AA140)</f>
        <v>1</v>
      </c>
      <c r="CE140" s="306">
        <f>IF(AB140="-","-",VLOOKUP($A140,AMABat!$A$10:$AS$1137,CE$9,FALSE)-AB140)</f>
        <v>1</v>
      </c>
      <c r="CF140" s="306">
        <f>IF(AC140="-","-",VLOOKUP($A140,AMABat!$A$10:$AS$1137,CF$9,FALSE)-AC140)</f>
        <v>0</v>
      </c>
      <c r="CG140" s="306">
        <f>IF(AD140="-","-",VLOOKUP($A140,AMABat!$A$10:$AS$1137,CG$9,FALSE)-AD140)</f>
        <v>0</v>
      </c>
      <c r="CH140" s="306">
        <f>IF(AE140="-","-",VLOOKUP($A140,AMABat!$A$10:$AS$1137,CH$9,FALSE)-AE140)</f>
        <v>0</v>
      </c>
      <c r="CI140" s="306" t="str">
        <f>IF(AG140="-","-",VLOOKUP($A140,AMABat!$A$10:$AS$1137,CI$9,FALSE)-AG140)</f>
        <v>-</v>
      </c>
      <c r="CJ140" s="306" t="str">
        <f>IF(AH140="-","-",VLOOKUP($A140,AMABat!$A$10:$AS$1137,CJ$9,FALSE)-AH140)</f>
        <v>-</v>
      </c>
      <c r="CK140" s="306" t="e">
        <f>IF(AI140="-","-",VLOOKUP($A140,AMABat!$A$10:$AS$1137,CK$9,FALSE)-AI140)</f>
        <v>#VALUE!</v>
      </c>
      <c r="CL140" s="306">
        <f>IF(AJ140="-","-",VLOOKUP($A140,AMABat!$A$10:$AS$1137,CL$9,FALSE)-AJ140)</f>
        <v>-2</v>
      </c>
      <c r="CM140" s="306" t="str">
        <f>IF(AK140="-","-",VLOOKUP($A140,AMABat!$A$10:$AS$1137,CM$9,FALSE)-AK140)</f>
        <v>-</v>
      </c>
      <c r="CN140" s="306" t="str">
        <f>IF(AL140="-","-",VLOOKUP($A140,AMABat!$A$10:$AS$1137,CN$9,FALSE)-AL140)</f>
        <v>-</v>
      </c>
      <c r="CO140" s="306" t="str">
        <f>IF(AM140="-","-",VLOOKUP($A140,AMABat!$A$10:$AS$1137,CO$9,FALSE)-AM140)</f>
        <v>-</v>
      </c>
      <c r="CP140" s="306" t="str">
        <f>IF(AN140="-","-",VLOOKUP($A140,AMABat!$A$10:$AS$1137,CP$9,FALSE)-AN140)</f>
        <v>-</v>
      </c>
      <c r="CQ140" s="306" t="e">
        <f>IF(AO140="-","-",VLOOKUP($A140,AMABat!$A$10:$AS$1137,CQ$9,FALSE)-AO140)</f>
        <v>#VALUE!</v>
      </c>
      <c r="CR140" s="306">
        <f>IF(AP140="-","-",VLOOKUP($A140,AMABat!$A$10:$AS$1137,CR$9,FALSE)-AP140)</f>
        <v>1</v>
      </c>
      <c r="CS140" s="306">
        <f>IF(AQ140="-","-",VLOOKUP($A140,AMABat!$A$10:$AS$1137,CS$9,FALSE)-AQ140)</f>
        <v>-1</v>
      </c>
      <c r="CT140" s="306">
        <f t="shared" si="197"/>
        <v>3</v>
      </c>
      <c r="CU140" s="306">
        <f t="shared" si="198"/>
        <v>4</v>
      </c>
      <c r="CV140" s="306" t="e">
        <f t="shared" si="199"/>
        <v>#VALUE!</v>
      </c>
      <c r="CW140" s="306" t="e">
        <f t="shared" si="200"/>
        <v>#VALUE!</v>
      </c>
      <c r="CX140" s="306" t="e">
        <f t="shared" si="201"/>
        <v>#VALUE!</v>
      </c>
    </row>
    <row r="141" spans="1:102" x14ac:dyDescent="0.25">
      <c r="A141" s="306" t="str">
        <f t="shared" si="166"/>
        <v>Juan Valdéz</v>
      </c>
      <c r="B141" s="305"/>
      <c r="C141" s="305"/>
      <c r="D141" s="305" t="str">
        <f t="shared" si="167"/>
        <v>-</v>
      </c>
      <c r="E141" s="305" t="str">
        <f t="shared" si="168"/>
        <v>-</v>
      </c>
      <c r="F141" s="305" t="str">
        <f t="shared" si="169"/>
        <v>K</v>
      </c>
      <c r="G141" s="305" t="s">
        <v>78</v>
      </c>
      <c r="H141" s="305" t="s">
        <v>400</v>
      </c>
      <c r="I141" s="305" t="s">
        <v>477</v>
      </c>
      <c r="J141" s="305" t="s">
        <v>763</v>
      </c>
      <c r="K141" s="305" t="s">
        <v>16</v>
      </c>
      <c r="L141" s="305">
        <v>17</v>
      </c>
      <c r="M141" s="305" t="s">
        <v>82</v>
      </c>
      <c r="N141" s="305" t="s">
        <v>83</v>
      </c>
      <c r="O141" s="305" t="s">
        <v>816</v>
      </c>
      <c r="P141" s="388" t="s">
        <v>808</v>
      </c>
      <c r="Q141" s="305" t="s">
        <v>200</v>
      </c>
      <c r="R141" s="388" t="s">
        <v>200</v>
      </c>
      <c r="S141" s="305">
        <v>1</v>
      </c>
      <c r="T141" s="305">
        <v>3</v>
      </c>
      <c r="U141" s="305">
        <v>2</v>
      </c>
      <c r="V141" s="305">
        <v>1</v>
      </c>
      <c r="W141" s="388">
        <v>3</v>
      </c>
      <c r="X141" s="305">
        <v>3</v>
      </c>
      <c r="Y141" s="305">
        <v>6</v>
      </c>
      <c r="Z141" s="305">
        <v>3</v>
      </c>
      <c r="AA141" s="305">
        <v>2</v>
      </c>
      <c r="AB141" s="388">
        <v>5</v>
      </c>
      <c r="AC141" s="305">
        <v>4</v>
      </c>
      <c r="AD141" s="305">
        <v>6</v>
      </c>
      <c r="AE141" s="305">
        <v>1</v>
      </c>
      <c r="AF141" s="305">
        <v>1</v>
      </c>
      <c r="AG141" s="305" t="s">
        <v>32</v>
      </c>
      <c r="AH141" s="305" t="s">
        <v>32</v>
      </c>
      <c r="AI141" s="305">
        <v>2</v>
      </c>
      <c r="AJ141" s="305" t="s">
        <v>32</v>
      </c>
      <c r="AK141" s="305" t="s">
        <v>32</v>
      </c>
      <c r="AL141" s="305">
        <v>3</v>
      </c>
      <c r="AM141" s="305">
        <v>3</v>
      </c>
      <c r="AN141" s="388">
        <v>3</v>
      </c>
      <c r="AO141" s="305">
        <v>8</v>
      </c>
      <c r="AP141" s="305">
        <v>7</v>
      </c>
      <c r="AQ141" s="388">
        <v>9</v>
      </c>
      <c r="AR141" s="305" t="s">
        <v>32</v>
      </c>
      <c r="AS141" s="388" t="s">
        <v>33</v>
      </c>
      <c r="AT141" s="387" t="s">
        <v>529</v>
      </c>
      <c r="AU141" s="22">
        <f t="shared" si="170"/>
        <v>-1.1666666666666667</v>
      </c>
      <c r="AV141" s="23" t="str">
        <f t="shared" si="171"/>
        <v>Minors</v>
      </c>
      <c r="AW141" s="22">
        <f t="shared" si="172"/>
        <v>1.1666666666666665</v>
      </c>
      <c r="AX141" s="22" t="str">
        <f t="shared" si="173"/>
        <v>Minors</v>
      </c>
      <c r="AY141" s="23">
        <f t="shared" si="174"/>
        <v>1.1666666666666665</v>
      </c>
      <c r="AZ141" s="23" t="str">
        <f t="shared" si="175"/>
        <v>Minors</v>
      </c>
      <c r="BA141" s="64">
        <f t="shared" si="176"/>
        <v>0</v>
      </c>
      <c r="BB141" s="65">
        <f t="shared" si="177"/>
        <v>0</v>
      </c>
      <c r="BC141" s="65">
        <f t="shared" si="178"/>
        <v>0</v>
      </c>
      <c r="BD141" s="65">
        <f t="shared" si="179"/>
        <v>0</v>
      </c>
      <c r="BE141" s="65">
        <f t="shared" si="180"/>
        <v>0</v>
      </c>
      <c r="BF141" s="65">
        <f t="shared" si="181"/>
        <v>0</v>
      </c>
      <c r="BG141" s="65">
        <f t="shared" si="182"/>
        <v>0</v>
      </c>
      <c r="BH141" s="65">
        <f t="shared" si="183"/>
        <v>0</v>
      </c>
      <c r="BI141" s="21">
        <f t="shared" si="184"/>
        <v>0</v>
      </c>
      <c r="BJ141" s="64">
        <f t="shared" si="185"/>
        <v>0</v>
      </c>
      <c r="BK141" s="65">
        <f t="shared" si="186"/>
        <v>0</v>
      </c>
      <c r="BL141" s="65">
        <f t="shared" si="187"/>
        <v>0</v>
      </c>
      <c r="BM141" s="65">
        <f t="shared" si="188"/>
        <v>0</v>
      </c>
      <c r="BN141" s="65">
        <f t="shared" si="189"/>
        <v>0</v>
      </c>
      <c r="BO141" s="65">
        <f t="shared" si="190"/>
        <v>0</v>
      </c>
      <c r="BP141" s="65">
        <f t="shared" si="191"/>
        <v>0</v>
      </c>
      <c r="BQ141" s="65">
        <f t="shared" si="192"/>
        <v>0</v>
      </c>
      <c r="BR141" s="21">
        <f t="shared" si="193"/>
        <v>0</v>
      </c>
      <c r="BS141" s="21">
        <f t="shared" si="194"/>
        <v>4</v>
      </c>
      <c r="BT141" s="24">
        <f t="shared" si="195"/>
        <v>0</v>
      </c>
      <c r="BU141" s="20" t="str">
        <f t="shared" si="196"/>
        <v/>
      </c>
      <c r="BV141" s="306" t="e">
        <f>IF(S141="-","-",VLOOKUP($A141,AMABat!$A$10:$AS$1137,BV$9,FALSE)-S141)</f>
        <v>#N/A</v>
      </c>
      <c r="BW141" s="306" t="e">
        <f>IF(T141="-","-",VLOOKUP($A141,AMABat!$A$10:$AS$1137,BW$9,FALSE)-T141)</f>
        <v>#N/A</v>
      </c>
      <c r="BX141" s="306" t="e">
        <f>IF(U141="-","-",VLOOKUP($A141,AMABat!$A$10:$AS$1137,BX$9,FALSE)-U141)</f>
        <v>#N/A</v>
      </c>
      <c r="BY141" s="306" t="e">
        <f>IF(V141="-","-",VLOOKUP($A141,AMABat!$A$10:$AS$1137,BY$9,FALSE)-V141)</f>
        <v>#N/A</v>
      </c>
      <c r="BZ141" s="306" t="e">
        <f>IF(W141="-","-",VLOOKUP($A141,AMABat!$A$10:$AS$1137,BZ$9,FALSE)-W141)</f>
        <v>#N/A</v>
      </c>
      <c r="CA141" s="306" t="e">
        <f>IF(X141="-","-",VLOOKUP($A141,AMABat!$A$10:$AS$1137,CA$9,FALSE)-X141)</f>
        <v>#N/A</v>
      </c>
      <c r="CB141" s="306" t="e">
        <f>IF(Y141="-","-",VLOOKUP($A141,AMABat!$A$10:$AS$1137,CB$9,FALSE)-Y141)</f>
        <v>#N/A</v>
      </c>
      <c r="CC141" s="306" t="e">
        <f>IF(Z141="-","-",VLOOKUP($A141,AMABat!$A$10:$AS$1137,CC$9,FALSE)-Z141)</f>
        <v>#N/A</v>
      </c>
      <c r="CD141" s="306" t="e">
        <f>IF(AA141="-","-",VLOOKUP($A141,AMABat!$A$10:$AS$1137,CD$9,FALSE)-AA141)</f>
        <v>#N/A</v>
      </c>
      <c r="CE141" s="306" t="e">
        <f>IF(AB141="-","-",VLOOKUP($A141,AMABat!$A$10:$AS$1137,CE$9,FALSE)-AB141)</f>
        <v>#N/A</v>
      </c>
      <c r="CF141" s="306" t="e">
        <f>IF(AC141="-","-",VLOOKUP($A141,AMABat!$A$10:$AS$1137,CF$9,FALSE)-AC141)</f>
        <v>#N/A</v>
      </c>
      <c r="CG141" s="306" t="e">
        <f>IF(AD141="-","-",VLOOKUP($A141,AMABat!$A$10:$AS$1137,CG$9,FALSE)-AD141)</f>
        <v>#N/A</v>
      </c>
      <c r="CH141" s="306" t="e">
        <f>IF(AE141="-","-",VLOOKUP($A141,AMABat!$A$10:$AS$1137,CH$9,FALSE)-AE141)</f>
        <v>#N/A</v>
      </c>
      <c r="CI141" s="306" t="str">
        <f>IF(AG141="-","-",VLOOKUP($A141,AMABat!$A$10:$AS$1137,CI$9,FALSE)-AG141)</f>
        <v>-</v>
      </c>
      <c r="CJ141" s="306" t="str">
        <f>IF(AH141="-","-",VLOOKUP($A141,AMABat!$A$10:$AS$1137,CJ$9,FALSE)-AH141)</f>
        <v>-</v>
      </c>
      <c r="CK141" s="306" t="e">
        <f>IF(AI141="-","-",VLOOKUP($A141,AMABat!$A$10:$AS$1137,CK$9,FALSE)-AI141)</f>
        <v>#N/A</v>
      </c>
      <c r="CL141" s="306" t="str">
        <f>IF(AJ141="-","-",VLOOKUP($A141,AMABat!$A$10:$AS$1137,CL$9,FALSE)-AJ141)</f>
        <v>-</v>
      </c>
      <c r="CM141" s="306" t="str">
        <f>IF(AK141="-","-",VLOOKUP($A141,AMABat!$A$10:$AS$1137,CM$9,FALSE)-AK141)</f>
        <v>-</v>
      </c>
      <c r="CN141" s="306" t="e">
        <f>IF(AL141="-","-",VLOOKUP($A141,AMABat!$A$10:$AS$1137,CN$9,FALSE)-AL141)</f>
        <v>#N/A</v>
      </c>
      <c r="CO141" s="306" t="e">
        <f>IF(AM141="-","-",VLOOKUP($A141,AMABat!$A$10:$AS$1137,CO$9,FALSE)-AM141)</f>
        <v>#N/A</v>
      </c>
      <c r="CP141" s="306" t="e">
        <f>IF(AN141="-","-",VLOOKUP($A141,AMABat!$A$10:$AS$1137,CP$9,FALSE)-AN141)</f>
        <v>#N/A</v>
      </c>
      <c r="CQ141" s="306" t="e">
        <f>IF(AO141="-","-",VLOOKUP($A141,AMABat!$A$10:$AS$1137,CQ$9,FALSE)-AO141)</f>
        <v>#N/A</v>
      </c>
      <c r="CR141" s="306" t="e">
        <f>IF(AP141="-","-",VLOOKUP($A141,AMABat!$A$10:$AS$1137,CR$9,FALSE)-AP141)</f>
        <v>#N/A</v>
      </c>
      <c r="CS141" s="306" t="e">
        <f>IF(AQ141="-","-",VLOOKUP($A141,AMABat!$A$10:$AS$1137,CS$9,FALSE)-AQ141)</f>
        <v>#N/A</v>
      </c>
      <c r="CT141" s="306" t="e">
        <f t="shared" si="197"/>
        <v>#N/A</v>
      </c>
      <c r="CU141" s="306" t="e">
        <f t="shared" si="198"/>
        <v>#N/A</v>
      </c>
      <c r="CV141" s="306" t="e">
        <f t="shared" si="199"/>
        <v>#N/A</v>
      </c>
      <c r="CW141" s="306" t="e">
        <f t="shared" si="200"/>
        <v>#N/A</v>
      </c>
      <c r="CX141" s="306" t="e">
        <f t="shared" si="201"/>
        <v>#N/A</v>
      </c>
    </row>
    <row r="142" spans="1:102" x14ac:dyDescent="0.25">
      <c r="A142" s="306" t="str">
        <f t="shared" si="166"/>
        <v>Shi-kai Tong</v>
      </c>
      <c r="B142" s="305"/>
      <c r="C142" s="305"/>
      <c r="D142" s="305" t="str">
        <f t="shared" si="167"/>
        <v>-</v>
      </c>
      <c r="E142" s="305" t="str">
        <f t="shared" si="168"/>
        <v>-</v>
      </c>
      <c r="F142" s="305" t="str">
        <f t="shared" si="169"/>
        <v>K</v>
      </c>
      <c r="G142" s="305" t="s">
        <v>71</v>
      </c>
      <c r="H142" s="305" t="s">
        <v>1198</v>
      </c>
      <c r="I142" s="305" t="s">
        <v>1199</v>
      </c>
      <c r="J142" s="305" t="s">
        <v>763</v>
      </c>
      <c r="K142" s="305" t="s">
        <v>16</v>
      </c>
      <c r="L142" s="305">
        <v>15</v>
      </c>
      <c r="M142" s="305" t="s">
        <v>83</v>
      </c>
      <c r="N142" s="305" t="s">
        <v>83</v>
      </c>
      <c r="O142" s="305" t="s">
        <v>816</v>
      </c>
      <c r="P142" s="388" t="s">
        <v>803</v>
      </c>
      <c r="Q142" s="305" t="s">
        <v>200</v>
      </c>
      <c r="R142" s="388" t="s">
        <v>200</v>
      </c>
      <c r="S142" s="305">
        <v>1</v>
      </c>
      <c r="T142" s="305">
        <v>1</v>
      </c>
      <c r="U142" s="305">
        <v>2</v>
      </c>
      <c r="V142" s="305">
        <v>1</v>
      </c>
      <c r="W142" s="388">
        <v>1</v>
      </c>
      <c r="X142" s="305">
        <v>2</v>
      </c>
      <c r="Y142" s="305">
        <v>2</v>
      </c>
      <c r="Z142" s="305">
        <v>2</v>
      </c>
      <c r="AA142" s="305">
        <v>5</v>
      </c>
      <c r="AB142" s="388">
        <v>3</v>
      </c>
      <c r="AC142" s="305">
        <v>4</v>
      </c>
      <c r="AD142" s="305">
        <v>3</v>
      </c>
      <c r="AE142" s="305">
        <v>4</v>
      </c>
      <c r="AF142" s="305">
        <v>5</v>
      </c>
      <c r="AG142" s="305" t="s">
        <v>32</v>
      </c>
      <c r="AH142" s="305" t="s">
        <v>32</v>
      </c>
      <c r="AI142" s="305" t="s">
        <v>32</v>
      </c>
      <c r="AJ142" s="305" t="s">
        <v>32</v>
      </c>
      <c r="AK142" s="305" t="s">
        <v>32</v>
      </c>
      <c r="AL142" s="305" t="s">
        <v>32</v>
      </c>
      <c r="AM142" s="305" t="s">
        <v>32</v>
      </c>
      <c r="AN142" s="388" t="s">
        <v>32</v>
      </c>
      <c r="AO142" s="305">
        <v>1</v>
      </c>
      <c r="AP142" s="305">
        <v>2</v>
      </c>
      <c r="AQ142" s="388">
        <v>1</v>
      </c>
      <c r="AR142" s="305" t="s">
        <v>32</v>
      </c>
      <c r="AS142" s="388" t="s">
        <v>33</v>
      </c>
      <c r="AT142" s="387" t="s">
        <v>779</v>
      </c>
      <c r="AU142" s="22">
        <f t="shared" si="170"/>
        <v>-1.1666666666666667</v>
      </c>
      <c r="AV142" s="23" t="str">
        <f t="shared" si="171"/>
        <v>Minors</v>
      </c>
      <c r="AW142" s="22">
        <f t="shared" si="172"/>
        <v>1</v>
      </c>
      <c r="AX142" s="22" t="str">
        <f t="shared" si="173"/>
        <v>Minors</v>
      </c>
      <c r="AY142" s="23">
        <f t="shared" si="174"/>
        <v>1</v>
      </c>
      <c r="AZ142" s="23" t="str">
        <f t="shared" si="175"/>
        <v>Minors</v>
      </c>
      <c r="BA142" s="64">
        <f t="shared" si="176"/>
        <v>0</v>
      </c>
      <c r="BB142" s="65">
        <f t="shared" si="177"/>
        <v>0</v>
      </c>
      <c r="BC142" s="65">
        <f t="shared" si="178"/>
        <v>0</v>
      </c>
      <c r="BD142" s="65">
        <f t="shared" si="179"/>
        <v>0</v>
      </c>
      <c r="BE142" s="65">
        <f t="shared" si="180"/>
        <v>0</v>
      </c>
      <c r="BF142" s="65">
        <f t="shared" si="181"/>
        <v>0</v>
      </c>
      <c r="BG142" s="65">
        <f t="shared" si="182"/>
        <v>0</v>
      </c>
      <c r="BH142" s="65">
        <f t="shared" si="183"/>
        <v>0</v>
      </c>
      <c r="BI142" s="21">
        <f t="shared" si="184"/>
        <v>0</v>
      </c>
      <c r="BJ142" s="64">
        <f t="shared" si="185"/>
        <v>0</v>
      </c>
      <c r="BK142" s="65">
        <f t="shared" si="186"/>
        <v>0</v>
      </c>
      <c r="BL142" s="65">
        <f t="shared" si="187"/>
        <v>0</v>
      </c>
      <c r="BM142" s="65">
        <f t="shared" si="188"/>
        <v>0</v>
      </c>
      <c r="BN142" s="65">
        <f t="shared" si="189"/>
        <v>0</v>
      </c>
      <c r="BO142" s="65">
        <f t="shared" si="190"/>
        <v>0</v>
      </c>
      <c r="BP142" s="65">
        <f t="shared" si="191"/>
        <v>0</v>
      </c>
      <c r="BQ142" s="65">
        <f t="shared" si="192"/>
        <v>0</v>
      </c>
      <c r="BR142" s="21">
        <f t="shared" si="193"/>
        <v>0</v>
      </c>
      <c r="BS142" s="21">
        <f t="shared" si="194"/>
        <v>0</v>
      </c>
      <c r="BT142" s="24">
        <f t="shared" si="195"/>
        <v>0</v>
      </c>
      <c r="BU142" s="20" t="str">
        <f t="shared" si="196"/>
        <v/>
      </c>
      <c r="BV142" s="306" t="e">
        <f>IF(S142="-","-",VLOOKUP($A142,AMABat!$A$10:$AS$1137,BV$9,FALSE)-S142)</f>
        <v>#N/A</v>
      </c>
      <c r="BW142" s="306" t="e">
        <f>IF(T142="-","-",VLOOKUP($A142,AMABat!$A$10:$AS$1137,BW$9,FALSE)-T142)</f>
        <v>#N/A</v>
      </c>
      <c r="BX142" s="306" t="e">
        <f>IF(U142="-","-",VLOOKUP($A142,AMABat!$A$10:$AS$1137,BX$9,FALSE)-U142)</f>
        <v>#N/A</v>
      </c>
      <c r="BY142" s="306" t="e">
        <f>IF(V142="-","-",VLOOKUP($A142,AMABat!$A$10:$AS$1137,BY$9,FALSE)-V142)</f>
        <v>#N/A</v>
      </c>
      <c r="BZ142" s="306" t="e">
        <f>IF(W142="-","-",VLOOKUP($A142,AMABat!$A$10:$AS$1137,BZ$9,FALSE)-W142)</f>
        <v>#N/A</v>
      </c>
      <c r="CA142" s="306" t="e">
        <f>IF(X142="-","-",VLOOKUP($A142,AMABat!$A$10:$AS$1137,CA$9,FALSE)-X142)</f>
        <v>#N/A</v>
      </c>
      <c r="CB142" s="306" t="e">
        <f>IF(Y142="-","-",VLOOKUP($A142,AMABat!$A$10:$AS$1137,CB$9,FALSE)-Y142)</f>
        <v>#N/A</v>
      </c>
      <c r="CC142" s="306" t="e">
        <f>IF(Z142="-","-",VLOOKUP($A142,AMABat!$A$10:$AS$1137,CC$9,FALSE)-Z142)</f>
        <v>#N/A</v>
      </c>
      <c r="CD142" s="306" t="e">
        <f>IF(AA142="-","-",VLOOKUP($A142,AMABat!$A$10:$AS$1137,CD$9,FALSE)-AA142)</f>
        <v>#N/A</v>
      </c>
      <c r="CE142" s="306" t="e">
        <f>IF(AB142="-","-",VLOOKUP($A142,AMABat!$A$10:$AS$1137,CE$9,FALSE)-AB142)</f>
        <v>#N/A</v>
      </c>
      <c r="CF142" s="306" t="e">
        <f>IF(AC142="-","-",VLOOKUP($A142,AMABat!$A$10:$AS$1137,CF$9,FALSE)-AC142)</f>
        <v>#N/A</v>
      </c>
      <c r="CG142" s="306" t="e">
        <f>IF(AD142="-","-",VLOOKUP($A142,AMABat!$A$10:$AS$1137,CG$9,FALSE)-AD142)</f>
        <v>#N/A</v>
      </c>
      <c r="CH142" s="306" t="e">
        <f>IF(AE142="-","-",VLOOKUP($A142,AMABat!$A$10:$AS$1137,CH$9,FALSE)-AE142)</f>
        <v>#N/A</v>
      </c>
      <c r="CI142" s="306" t="str">
        <f>IF(AG142="-","-",VLOOKUP($A142,AMABat!$A$10:$AS$1137,CI$9,FALSE)-AG142)</f>
        <v>-</v>
      </c>
      <c r="CJ142" s="306" t="str">
        <f>IF(AH142="-","-",VLOOKUP($A142,AMABat!$A$10:$AS$1137,CJ$9,FALSE)-AH142)</f>
        <v>-</v>
      </c>
      <c r="CK142" s="306" t="str">
        <f>IF(AI142="-","-",VLOOKUP($A142,AMABat!$A$10:$AS$1137,CK$9,FALSE)-AI142)</f>
        <v>-</v>
      </c>
      <c r="CL142" s="306" t="str">
        <f>IF(AJ142="-","-",VLOOKUP($A142,AMABat!$A$10:$AS$1137,CL$9,FALSE)-AJ142)</f>
        <v>-</v>
      </c>
      <c r="CM142" s="306" t="str">
        <f>IF(AK142="-","-",VLOOKUP($A142,AMABat!$A$10:$AS$1137,CM$9,FALSE)-AK142)</f>
        <v>-</v>
      </c>
      <c r="CN142" s="306" t="str">
        <f>IF(AL142="-","-",VLOOKUP($A142,AMABat!$A$10:$AS$1137,CN$9,FALSE)-AL142)</f>
        <v>-</v>
      </c>
      <c r="CO142" s="306" t="str">
        <f>IF(AM142="-","-",VLOOKUP($A142,AMABat!$A$10:$AS$1137,CO$9,FALSE)-AM142)</f>
        <v>-</v>
      </c>
      <c r="CP142" s="306" t="str">
        <f>IF(AN142="-","-",VLOOKUP($A142,AMABat!$A$10:$AS$1137,CP$9,FALSE)-AN142)</f>
        <v>-</v>
      </c>
      <c r="CQ142" s="306" t="e">
        <f>IF(AO142="-","-",VLOOKUP($A142,AMABat!$A$10:$AS$1137,CQ$9,FALSE)-AO142)</f>
        <v>#N/A</v>
      </c>
      <c r="CR142" s="306" t="e">
        <f>IF(AP142="-","-",VLOOKUP($A142,AMABat!$A$10:$AS$1137,CR$9,FALSE)-AP142)</f>
        <v>#N/A</v>
      </c>
      <c r="CS142" s="306" t="e">
        <f>IF(AQ142="-","-",VLOOKUP($A142,AMABat!$A$10:$AS$1137,CS$9,FALSE)-AQ142)</f>
        <v>#N/A</v>
      </c>
      <c r="CT142" s="306" t="e">
        <f t="shared" si="197"/>
        <v>#N/A</v>
      </c>
      <c r="CU142" s="306" t="e">
        <f t="shared" si="198"/>
        <v>#N/A</v>
      </c>
      <c r="CV142" s="306" t="e">
        <f t="shared" si="199"/>
        <v>#N/A</v>
      </c>
      <c r="CW142" s="306" t="e">
        <f t="shared" si="200"/>
        <v>#N/A</v>
      </c>
      <c r="CX142" s="306" t="e">
        <f t="shared" si="201"/>
        <v>#N/A</v>
      </c>
    </row>
    <row r="143" spans="1:102" x14ac:dyDescent="0.25">
      <c r="A143" s="306" t="str">
        <f t="shared" si="166"/>
        <v>Ramón González</v>
      </c>
      <c r="B143" s="305"/>
      <c r="C143" s="305"/>
      <c r="D143" s="305" t="str">
        <f t="shared" si="167"/>
        <v>-</v>
      </c>
      <c r="E143" s="305" t="str">
        <f t="shared" si="168"/>
        <v>-</v>
      </c>
      <c r="F143" s="305" t="str">
        <f t="shared" si="169"/>
        <v>K</v>
      </c>
      <c r="G143" s="305" t="s">
        <v>74</v>
      </c>
      <c r="H143" s="305" t="s">
        <v>497</v>
      </c>
      <c r="I143" s="305" t="s">
        <v>725</v>
      </c>
      <c r="J143" s="305" t="s">
        <v>763</v>
      </c>
      <c r="K143" s="305" t="s">
        <v>16</v>
      </c>
      <c r="L143" s="305">
        <v>18</v>
      </c>
      <c r="M143" s="305" t="s">
        <v>83</v>
      </c>
      <c r="N143" s="305" t="s">
        <v>83</v>
      </c>
      <c r="O143" s="305" t="s">
        <v>816</v>
      </c>
      <c r="P143" s="388" t="s">
        <v>816</v>
      </c>
      <c r="Q143" s="305" t="s">
        <v>201</v>
      </c>
      <c r="R143" s="388" t="s">
        <v>201</v>
      </c>
      <c r="S143" s="305">
        <v>1</v>
      </c>
      <c r="T143" s="305">
        <v>2</v>
      </c>
      <c r="U143" s="305">
        <v>2</v>
      </c>
      <c r="V143" s="305">
        <v>1</v>
      </c>
      <c r="W143" s="388">
        <v>1</v>
      </c>
      <c r="X143" s="305">
        <v>2</v>
      </c>
      <c r="Y143" s="305">
        <v>3</v>
      </c>
      <c r="Z143" s="305">
        <v>2</v>
      </c>
      <c r="AA143" s="305">
        <v>4</v>
      </c>
      <c r="AB143" s="388">
        <v>2</v>
      </c>
      <c r="AC143" s="305">
        <v>3</v>
      </c>
      <c r="AD143" s="305">
        <v>2</v>
      </c>
      <c r="AE143" s="305">
        <v>1</v>
      </c>
      <c r="AF143" s="305">
        <v>1</v>
      </c>
      <c r="AG143" s="305" t="s">
        <v>32</v>
      </c>
      <c r="AH143" s="305" t="s">
        <v>32</v>
      </c>
      <c r="AI143" s="305">
        <v>2</v>
      </c>
      <c r="AJ143" s="305" t="s">
        <v>32</v>
      </c>
      <c r="AK143" s="305" t="s">
        <v>32</v>
      </c>
      <c r="AL143" s="305" t="s">
        <v>32</v>
      </c>
      <c r="AM143" s="305" t="s">
        <v>32</v>
      </c>
      <c r="AN143" s="388" t="s">
        <v>32</v>
      </c>
      <c r="AO143" s="305">
        <v>8</v>
      </c>
      <c r="AP143" s="305">
        <v>5</v>
      </c>
      <c r="AQ143" s="388">
        <v>7</v>
      </c>
      <c r="AR143" s="305" t="s">
        <v>32</v>
      </c>
      <c r="AS143" s="388" t="s">
        <v>33</v>
      </c>
      <c r="AT143" s="387" t="s">
        <v>199</v>
      </c>
      <c r="AU143" s="22">
        <f t="shared" si="170"/>
        <v>-1.1666666666666667</v>
      </c>
      <c r="AV143" s="23" t="str">
        <f t="shared" si="171"/>
        <v>Minors</v>
      </c>
      <c r="AW143" s="22">
        <f t="shared" si="172"/>
        <v>0.66666666666666652</v>
      </c>
      <c r="AX143" s="22" t="str">
        <f t="shared" si="173"/>
        <v>Minors</v>
      </c>
      <c r="AY143" s="23">
        <f t="shared" si="174"/>
        <v>0.66666666666666652</v>
      </c>
      <c r="AZ143" s="23" t="str">
        <f t="shared" si="175"/>
        <v>Minors</v>
      </c>
      <c r="BA143" s="64">
        <f t="shared" si="176"/>
        <v>0</v>
      </c>
      <c r="BB143" s="65">
        <f t="shared" si="177"/>
        <v>0</v>
      </c>
      <c r="BC143" s="65">
        <f t="shared" si="178"/>
        <v>0</v>
      </c>
      <c r="BD143" s="65">
        <f t="shared" si="179"/>
        <v>0</v>
      </c>
      <c r="BE143" s="65">
        <f t="shared" si="180"/>
        <v>0</v>
      </c>
      <c r="BF143" s="65">
        <f t="shared" si="181"/>
        <v>0</v>
      </c>
      <c r="BG143" s="65">
        <f t="shared" si="182"/>
        <v>0</v>
      </c>
      <c r="BH143" s="65">
        <f t="shared" si="183"/>
        <v>0</v>
      </c>
      <c r="BI143" s="21">
        <f t="shared" si="184"/>
        <v>0</v>
      </c>
      <c r="BJ143" s="64">
        <f t="shared" si="185"/>
        <v>0</v>
      </c>
      <c r="BK143" s="65">
        <f t="shared" si="186"/>
        <v>0</v>
      </c>
      <c r="BL143" s="65">
        <f t="shared" si="187"/>
        <v>0</v>
      </c>
      <c r="BM143" s="65">
        <f t="shared" si="188"/>
        <v>0</v>
      </c>
      <c r="BN143" s="65">
        <f t="shared" si="189"/>
        <v>0</v>
      </c>
      <c r="BO143" s="65">
        <f t="shared" si="190"/>
        <v>0</v>
      </c>
      <c r="BP143" s="65">
        <f t="shared" si="191"/>
        <v>0</v>
      </c>
      <c r="BQ143" s="65">
        <f t="shared" si="192"/>
        <v>0</v>
      </c>
      <c r="BR143" s="21">
        <f t="shared" si="193"/>
        <v>0</v>
      </c>
      <c r="BS143" s="21">
        <f t="shared" si="194"/>
        <v>2</v>
      </c>
      <c r="BT143" s="24">
        <f t="shared" si="195"/>
        <v>0</v>
      </c>
      <c r="BU143" s="20" t="str">
        <f t="shared" si="196"/>
        <v/>
      </c>
      <c r="BV143" s="306" t="e">
        <f>IF(S143="-","-",VLOOKUP($A143,AMABat!$A$10:$AS$1137,BV$9,FALSE)-S143)</f>
        <v>#N/A</v>
      </c>
      <c r="BW143" s="306" t="e">
        <f>IF(T143="-","-",VLOOKUP($A143,AMABat!$A$10:$AS$1137,BW$9,FALSE)-T143)</f>
        <v>#N/A</v>
      </c>
      <c r="BX143" s="306" t="e">
        <f>IF(U143="-","-",VLOOKUP($A143,AMABat!$A$10:$AS$1137,BX$9,FALSE)-U143)</f>
        <v>#N/A</v>
      </c>
      <c r="BY143" s="306" t="e">
        <f>IF(V143="-","-",VLOOKUP($A143,AMABat!$A$10:$AS$1137,BY$9,FALSE)-V143)</f>
        <v>#N/A</v>
      </c>
      <c r="BZ143" s="306" t="e">
        <f>IF(W143="-","-",VLOOKUP($A143,AMABat!$A$10:$AS$1137,BZ$9,FALSE)-W143)</f>
        <v>#N/A</v>
      </c>
      <c r="CA143" s="306" t="e">
        <f>IF(X143="-","-",VLOOKUP($A143,AMABat!$A$10:$AS$1137,CA$9,FALSE)-X143)</f>
        <v>#N/A</v>
      </c>
      <c r="CB143" s="306" t="e">
        <f>IF(Y143="-","-",VLOOKUP($A143,AMABat!$A$10:$AS$1137,CB$9,FALSE)-Y143)</f>
        <v>#N/A</v>
      </c>
      <c r="CC143" s="306" t="e">
        <f>IF(Z143="-","-",VLOOKUP($A143,AMABat!$A$10:$AS$1137,CC$9,FALSE)-Z143)</f>
        <v>#N/A</v>
      </c>
      <c r="CD143" s="306" t="e">
        <f>IF(AA143="-","-",VLOOKUP($A143,AMABat!$A$10:$AS$1137,CD$9,FALSE)-AA143)</f>
        <v>#N/A</v>
      </c>
      <c r="CE143" s="306" t="e">
        <f>IF(AB143="-","-",VLOOKUP($A143,AMABat!$A$10:$AS$1137,CE$9,FALSE)-AB143)</f>
        <v>#N/A</v>
      </c>
      <c r="CF143" s="306" t="e">
        <f>IF(AC143="-","-",VLOOKUP($A143,AMABat!$A$10:$AS$1137,CF$9,FALSE)-AC143)</f>
        <v>#N/A</v>
      </c>
      <c r="CG143" s="306" t="e">
        <f>IF(AD143="-","-",VLOOKUP($A143,AMABat!$A$10:$AS$1137,CG$9,FALSE)-AD143)</f>
        <v>#N/A</v>
      </c>
      <c r="CH143" s="306" t="e">
        <f>IF(AE143="-","-",VLOOKUP($A143,AMABat!$A$10:$AS$1137,CH$9,FALSE)-AE143)</f>
        <v>#N/A</v>
      </c>
      <c r="CI143" s="306" t="str">
        <f>IF(AG143="-","-",VLOOKUP($A143,AMABat!$A$10:$AS$1137,CI$9,FALSE)-AG143)</f>
        <v>-</v>
      </c>
      <c r="CJ143" s="306" t="str">
        <f>IF(AH143="-","-",VLOOKUP($A143,AMABat!$A$10:$AS$1137,CJ$9,FALSE)-AH143)</f>
        <v>-</v>
      </c>
      <c r="CK143" s="306" t="e">
        <f>IF(AI143="-","-",VLOOKUP($A143,AMABat!$A$10:$AS$1137,CK$9,FALSE)-AI143)</f>
        <v>#N/A</v>
      </c>
      <c r="CL143" s="306" t="str">
        <f>IF(AJ143="-","-",VLOOKUP($A143,AMABat!$A$10:$AS$1137,CL$9,FALSE)-AJ143)</f>
        <v>-</v>
      </c>
      <c r="CM143" s="306" t="str">
        <f>IF(AK143="-","-",VLOOKUP($A143,AMABat!$A$10:$AS$1137,CM$9,FALSE)-AK143)</f>
        <v>-</v>
      </c>
      <c r="CN143" s="306" t="str">
        <f>IF(AL143="-","-",VLOOKUP($A143,AMABat!$A$10:$AS$1137,CN$9,FALSE)-AL143)</f>
        <v>-</v>
      </c>
      <c r="CO143" s="306" t="str">
        <f>IF(AM143="-","-",VLOOKUP($A143,AMABat!$A$10:$AS$1137,CO$9,FALSE)-AM143)</f>
        <v>-</v>
      </c>
      <c r="CP143" s="306" t="str">
        <f>IF(AN143="-","-",VLOOKUP($A143,AMABat!$A$10:$AS$1137,CP$9,FALSE)-AN143)</f>
        <v>-</v>
      </c>
      <c r="CQ143" s="306" t="e">
        <f>IF(AO143="-","-",VLOOKUP($A143,AMABat!$A$10:$AS$1137,CQ$9,FALSE)-AO143)</f>
        <v>#N/A</v>
      </c>
      <c r="CR143" s="306" t="e">
        <f>IF(AP143="-","-",VLOOKUP($A143,AMABat!$A$10:$AS$1137,CR$9,FALSE)-AP143)</f>
        <v>#N/A</v>
      </c>
      <c r="CS143" s="306" t="e">
        <f>IF(AQ143="-","-",VLOOKUP($A143,AMABat!$A$10:$AS$1137,CS$9,FALSE)-AQ143)</f>
        <v>#N/A</v>
      </c>
      <c r="CT143" s="306" t="e">
        <f t="shared" si="197"/>
        <v>#N/A</v>
      </c>
      <c r="CU143" s="306" t="e">
        <f t="shared" si="198"/>
        <v>#N/A</v>
      </c>
      <c r="CV143" s="306" t="e">
        <f t="shared" si="199"/>
        <v>#N/A</v>
      </c>
      <c r="CW143" s="306" t="e">
        <f t="shared" si="200"/>
        <v>#N/A</v>
      </c>
      <c r="CX143" s="306" t="e">
        <f t="shared" si="201"/>
        <v>#N/A</v>
      </c>
    </row>
    <row r="144" spans="1:102" x14ac:dyDescent="0.25">
      <c r="A144" s="306" t="str">
        <f t="shared" si="166"/>
        <v>Emílio Pacheco</v>
      </c>
      <c r="B144" s="305"/>
      <c r="C144" s="305"/>
      <c r="D144" s="305" t="str">
        <f t="shared" si="167"/>
        <v>-</v>
      </c>
      <c r="E144" s="305" t="str">
        <f t="shared" si="168"/>
        <v>-</v>
      </c>
      <c r="F144" s="305" t="str">
        <f t="shared" si="169"/>
        <v>K</v>
      </c>
      <c r="G144" s="305" t="s">
        <v>71</v>
      </c>
      <c r="H144" s="305" t="s">
        <v>904</v>
      </c>
      <c r="I144" s="305" t="s">
        <v>905</v>
      </c>
      <c r="J144" s="305" t="s">
        <v>763</v>
      </c>
      <c r="K144" s="305" t="s">
        <v>16</v>
      </c>
      <c r="L144" s="305">
        <v>16</v>
      </c>
      <c r="M144" s="305" t="s">
        <v>83</v>
      </c>
      <c r="N144" s="305" t="s">
        <v>83</v>
      </c>
      <c r="O144" s="305" t="s">
        <v>816</v>
      </c>
      <c r="P144" s="388" t="s">
        <v>803</v>
      </c>
      <c r="Q144" s="305" t="s">
        <v>200</v>
      </c>
      <c r="R144" s="388" t="s">
        <v>200</v>
      </c>
      <c r="S144" s="305">
        <v>1</v>
      </c>
      <c r="T144" s="305">
        <v>1</v>
      </c>
      <c r="U144" s="305">
        <v>2</v>
      </c>
      <c r="V144" s="305">
        <v>1</v>
      </c>
      <c r="W144" s="388">
        <v>1</v>
      </c>
      <c r="X144" s="305">
        <v>2</v>
      </c>
      <c r="Y144" s="305">
        <v>3</v>
      </c>
      <c r="Z144" s="305">
        <v>2</v>
      </c>
      <c r="AA144" s="305">
        <v>4</v>
      </c>
      <c r="AB144" s="388">
        <v>3</v>
      </c>
      <c r="AC144" s="305">
        <v>3</v>
      </c>
      <c r="AD144" s="305">
        <v>2</v>
      </c>
      <c r="AE144" s="305">
        <v>3</v>
      </c>
      <c r="AF144" s="305">
        <v>6</v>
      </c>
      <c r="AG144" s="305" t="s">
        <v>32</v>
      </c>
      <c r="AH144" s="305" t="s">
        <v>32</v>
      </c>
      <c r="AI144" s="305" t="s">
        <v>32</v>
      </c>
      <c r="AJ144" s="305" t="s">
        <v>32</v>
      </c>
      <c r="AK144" s="305" t="s">
        <v>32</v>
      </c>
      <c r="AL144" s="305" t="s">
        <v>32</v>
      </c>
      <c r="AM144" s="305" t="s">
        <v>32</v>
      </c>
      <c r="AN144" s="388" t="s">
        <v>32</v>
      </c>
      <c r="AO144" s="305">
        <v>1</v>
      </c>
      <c r="AP144" s="305">
        <v>2</v>
      </c>
      <c r="AQ144" s="388">
        <v>2</v>
      </c>
      <c r="AR144" s="305" t="s">
        <v>32</v>
      </c>
      <c r="AS144" s="388" t="s">
        <v>33</v>
      </c>
      <c r="AT144" s="387" t="s">
        <v>199</v>
      </c>
      <c r="AU144" s="22">
        <f t="shared" si="170"/>
        <v>-1.1666666666666667</v>
      </c>
      <c r="AV144" s="23" t="str">
        <f t="shared" si="171"/>
        <v>Minors</v>
      </c>
      <c r="AW144" s="22">
        <f t="shared" si="172"/>
        <v>0.66666666666666652</v>
      </c>
      <c r="AX144" s="22" t="str">
        <f t="shared" si="173"/>
        <v>Minors</v>
      </c>
      <c r="AY144" s="23">
        <f t="shared" si="174"/>
        <v>0.66666666666666652</v>
      </c>
      <c r="AZ144" s="23" t="str">
        <f t="shared" si="175"/>
        <v>Minors</v>
      </c>
      <c r="BA144" s="64">
        <f t="shared" si="176"/>
        <v>0</v>
      </c>
      <c r="BB144" s="65">
        <f t="shared" si="177"/>
        <v>0</v>
      </c>
      <c r="BC144" s="65">
        <f t="shared" si="178"/>
        <v>0</v>
      </c>
      <c r="BD144" s="65">
        <f t="shared" si="179"/>
        <v>0</v>
      </c>
      <c r="BE144" s="65">
        <f t="shared" si="180"/>
        <v>0</v>
      </c>
      <c r="BF144" s="65">
        <f t="shared" si="181"/>
        <v>0</v>
      </c>
      <c r="BG144" s="65">
        <f t="shared" si="182"/>
        <v>0</v>
      </c>
      <c r="BH144" s="65">
        <f t="shared" si="183"/>
        <v>0</v>
      </c>
      <c r="BI144" s="21">
        <f t="shared" si="184"/>
        <v>0</v>
      </c>
      <c r="BJ144" s="64">
        <f t="shared" si="185"/>
        <v>0</v>
      </c>
      <c r="BK144" s="65">
        <f t="shared" si="186"/>
        <v>0</v>
      </c>
      <c r="BL144" s="65">
        <f t="shared" si="187"/>
        <v>0</v>
      </c>
      <c r="BM144" s="65">
        <f t="shared" si="188"/>
        <v>0</v>
      </c>
      <c r="BN144" s="65">
        <f t="shared" si="189"/>
        <v>0</v>
      </c>
      <c r="BO144" s="65">
        <f t="shared" si="190"/>
        <v>0</v>
      </c>
      <c r="BP144" s="65">
        <f t="shared" si="191"/>
        <v>0</v>
      </c>
      <c r="BQ144" s="65">
        <f t="shared" si="192"/>
        <v>0</v>
      </c>
      <c r="BR144" s="21">
        <f t="shared" si="193"/>
        <v>0</v>
      </c>
      <c r="BS144" s="21">
        <f t="shared" si="194"/>
        <v>0</v>
      </c>
      <c r="BT144" s="24">
        <f t="shared" si="195"/>
        <v>0</v>
      </c>
      <c r="BU144" s="20" t="str">
        <f t="shared" si="196"/>
        <v/>
      </c>
      <c r="BV144" s="306" t="e">
        <f>IF(S144="-","-",VLOOKUP($A144,AMABat!$A$10:$AS$1137,BV$9,FALSE)-S144)</f>
        <v>#N/A</v>
      </c>
      <c r="BW144" s="306" t="e">
        <f>IF(T144="-","-",VLOOKUP($A144,AMABat!$A$10:$AS$1137,BW$9,FALSE)-T144)</f>
        <v>#N/A</v>
      </c>
      <c r="BX144" s="306" t="e">
        <f>IF(U144="-","-",VLOOKUP($A144,AMABat!$A$10:$AS$1137,BX$9,FALSE)-U144)</f>
        <v>#N/A</v>
      </c>
      <c r="BY144" s="306" t="e">
        <f>IF(V144="-","-",VLOOKUP($A144,AMABat!$A$10:$AS$1137,BY$9,FALSE)-V144)</f>
        <v>#N/A</v>
      </c>
      <c r="BZ144" s="306" t="e">
        <f>IF(W144="-","-",VLOOKUP($A144,AMABat!$A$10:$AS$1137,BZ$9,FALSE)-W144)</f>
        <v>#N/A</v>
      </c>
      <c r="CA144" s="306" t="e">
        <f>IF(X144="-","-",VLOOKUP($A144,AMABat!$A$10:$AS$1137,CA$9,FALSE)-X144)</f>
        <v>#N/A</v>
      </c>
      <c r="CB144" s="306" t="e">
        <f>IF(Y144="-","-",VLOOKUP($A144,AMABat!$A$10:$AS$1137,CB$9,FALSE)-Y144)</f>
        <v>#N/A</v>
      </c>
      <c r="CC144" s="306" t="e">
        <f>IF(Z144="-","-",VLOOKUP($A144,AMABat!$A$10:$AS$1137,CC$9,FALSE)-Z144)</f>
        <v>#N/A</v>
      </c>
      <c r="CD144" s="306" t="e">
        <f>IF(AA144="-","-",VLOOKUP($A144,AMABat!$A$10:$AS$1137,CD$9,FALSE)-AA144)</f>
        <v>#N/A</v>
      </c>
      <c r="CE144" s="306" t="e">
        <f>IF(AB144="-","-",VLOOKUP($A144,AMABat!$A$10:$AS$1137,CE$9,FALSE)-AB144)</f>
        <v>#N/A</v>
      </c>
      <c r="CF144" s="306" t="e">
        <f>IF(AC144="-","-",VLOOKUP($A144,AMABat!$A$10:$AS$1137,CF$9,FALSE)-AC144)</f>
        <v>#N/A</v>
      </c>
      <c r="CG144" s="306" t="e">
        <f>IF(AD144="-","-",VLOOKUP($A144,AMABat!$A$10:$AS$1137,CG$9,FALSE)-AD144)</f>
        <v>#N/A</v>
      </c>
      <c r="CH144" s="306" t="e">
        <f>IF(AE144="-","-",VLOOKUP($A144,AMABat!$A$10:$AS$1137,CH$9,FALSE)-AE144)</f>
        <v>#N/A</v>
      </c>
      <c r="CI144" s="306" t="str">
        <f>IF(AG144="-","-",VLOOKUP($A144,AMABat!$A$10:$AS$1137,CI$9,FALSE)-AG144)</f>
        <v>-</v>
      </c>
      <c r="CJ144" s="306" t="str">
        <f>IF(AH144="-","-",VLOOKUP($A144,AMABat!$A$10:$AS$1137,CJ$9,FALSE)-AH144)</f>
        <v>-</v>
      </c>
      <c r="CK144" s="306" t="str">
        <f>IF(AI144="-","-",VLOOKUP($A144,AMABat!$A$10:$AS$1137,CK$9,FALSE)-AI144)</f>
        <v>-</v>
      </c>
      <c r="CL144" s="306" t="str">
        <f>IF(AJ144="-","-",VLOOKUP($A144,AMABat!$A$10:$AS$1137,CL$9,FALSE)-AJ144)</f>
        <v>-</v>
      </c>
      <c r="CM144" s="306" t="str">
        <f>IF(AK144="-","-",VLOOKUP($A144,AMABat!$A$10:$AS$1137,CM$9,FALSE)-AK144)</f>
        <v>-</v>
      </c>
      <c r="CN144" s="306" t="str">
        <f>IF(AL144="-","-",VLOOKUP($A144,AMABat!$A$10:$AS$1137,CN$9,FALSE)-AL144)</f>
        <v>-</v>
      </c>
      <c r="CO144" s="306" t="str">
        <f>IF(AM144="-","-",VLOOKUP($A144,AMABat!$A$10:$AS$1137,CO$9,FALSE)-AM144)</f>
        <v>-</v>
      </c>
      <c r="CP144" s="306" t="str">
        <f>IF(AN144="-","-",VLOOKUP($A144,AMABat!$A$10:$AS$1137,CP$9,FALSE)-AN144)</f>
        <v>-</v>
      </c>
      <c r="CQ144" s="306" t="e">
        <f>IF(AO144="-","-",VLOOKUP($A144,AMABat!$A$10:$AS$1137,CQ$9,FALSE)-AO144)</f>
        <v>#N/A</v>
      </c>
      <c r="CR144" s="306" t="e">
        <f>IF(AP144="-","-",VLOOKUP($A144,AMABat!$A$10:$AS$1137,CR$9,FALSE)-AP144)</f>
        <v>#N/A</v>
      </c>
      <c r="CS144" s="306" t="e">
        <f>IF(AQ144="-","-",VLOOKUP($A144,AMABat!$A$10:$AS$1137,CS$9,FALSE)-AQ144)</f>
        <v>#N/A</v>
      </c>
      <c r="CT144" s="306" t="e">
        <f t="shared" si="197"/>
        <v>#N/A</v>
      </c>
      <c r="CU144" s="306" t="e">
        <f t="shared" si="198"/>
        <v>#N/A</v>
      </c>
      <c r="CV144" s="306" t="e">
        <f t="shared" si="199"/>
        <v>#N/A</v>
      </c>
      <c r="CW144" s="306" t="e">
        <f t="shared" si="200"/>
        <v>#N/A</v>
      </c>
      <c r="CX144" s="306" t="e">
        <f t="shared" si="201"/>
        <v>#N/A</v>
      </c>
    </row>
    <row r="145" spans="1:102" x14ac:dyDescent="0.25">
      <c r="A145" s="306" t="str">
        <f t="shared" si="166"/>
        <v>Tokimasa Takahashi</v>
      </c>
      <c r="B145" s="305"/>
      <c r="C145" s="305"/>
      <c r="D145" s="305" t="str">
        <f t="shared" si="167"/>
        <v>-</v>
      </c>
      <c r="E145" s="305" t="str">
        <f t="shared" si="168"/>
        <v>-</v>
      </c>
      <c r="F145" s="305" t="str">
        <f t="shared" si="169"/>
        <v>K</v>
      </c>
      <c r="G145" s="305" t="s">
        <v>77</v>
      </c>
      <c r="H145" s="305" t="s">
        <v>822</v>
      </c>
      <c r="I145" s="305" t="s">
        <v>1197</v>
      </c>
      <c r="J145" s="305" t="s">
        <v>810</v>
      </c>
      <c r="K145" s="305" t="s">
        <v>83</v>
      </c>
      <c r="L145" s="305">
        <v>18</v>
      </c>
      <c r="M145" s="305" t="s">
        <v>83</v>
      </c>
      <c r="N145" s="305" t="s">
        <v>83</v>
      </c>
      <c r="O145" s="305" t="s">
        <v>816</v>
      </c>
      <c r="P145" s="388" t="s">
        <v>816</v>
      </c>
      <c r="Q145" s="305" t="s">
        <v>200</v>
      </c>
      <c r="R145" s="388" t="s">
        <v>199</v>
      </c>
      <c r="S145" s="305">
        <v>1</v>
      </c>
      <c r="T145" s="305">
        <v>2</v>
      </c>
      <c r="U145" s="305">
        <v>2</v>
      </c>
      <c r="V145" s="305">
        <v>1</v>
      </c>
      <c r="W145" s="388">
        <v>1</v>
      </c>
      <c r="X145" s="305">
        <v>3</v>
      </c>
      <c r="Y145" s="305">
        <v>2</v>
      </c>
      <c r="Z145" s="305">
        <v>2</v>
      </c>
      <c r="AA145" s="305">
        <v>1</v>
      </c>
      <c r="AB145" s="388">
        <v>3</v>
      </c>
      <c r="AC145" s="305">
        <v>4</v>
      </c>
      <c r="AD145" s="305">
        <v>3</v>
      </c>
      <c r="AE145" s="305">
        <v>1</v>
      </c>
      <c r="AF145" s="305">
        <v>1</v>
      </c>
      <c r="AG145" s="305" t="s">
        <v>32</v>
      </c>
      <c r="AH145" s="305" t="s">
        <v>32</v>
      </c>
      <c r="AI145" s="305" t="s">
        <v>32</v>
      </c>
      <c r="AJ145" s="305" t="s">
        <v>32</v>
      </c>
      <c r="AK145" s="305" t="s">
        <v>32</v>
      </c>
      <c r="AL145" s="305" t="s">
        <v>32</v>
      </c>
      <c r="AM145" s="305" t="s">
        <v>32</v>
      </c>
      <c r="AN145" s="388" t="s">
        <v>32</v>
      </c>
      <c r="AO145" s="305">
        <v>1</v>
      </c>
      <c r="AP145" s="305">
        <v>1</v>
      </c>
      <c r="AQ145" s="388">
        <v>3</v>
      </c>
      <c r="AR145" s="305" t="s">
        <v>32</v>
      </c>
      <c r="AS145" s="388" t="s">
        <v>33</v>
      </c>
      <c r="AT145" s="387" t="s">
        <v>529</v>
      </c>
      <c r="AU145" s="22">
        <f t="shared" si="170"/>
        <v>-1.1666666666666667</v>
      </c>
      <c r="AV145" s="23" t="str">
        <f t="shared" si="171"/>
        <v>Minors</v>
      </c>
      <c r="AW145" s="22">
        <f t="shared" si="172"/>
        <v>0.5</v>
      </c>
      <c r="AX145" s="22" t="str">
        <f t="shared" si="173"/>
        <v>Minors</v>
      </c>
      <c r="AY145" s="23">
        <f t="shared" si="174"/>
        <v>0.5</v>
      </c>
      <c r="AZ145" s="23" t="str">
        <f t="shared" si="175"/>
        <v>Minors</v>
      </c>
      <c r="BA145" s="64">
        <f t="shared" si="176"/>
        <v>0</v>
      </c>
      <c r="BB145" s="65">
        <f t="shared" si="177"/>
        <v>0</v>
      </c>
      <c r="BC145" s="65">
        <f t="shared" si="178"/>
        <v>0</v>
      </c>
      <c r="BD145" s="65">
        <f t="shared" si="179"/>
        <v>0</v>
      </c>
      <c r="BE145" s="65">
        <f t="shared" si="180"/>
        <v>0</v>
      </c>
      <c r="BF145" s="65">
        <f t="shared" si="181"/>
        <v>0</v>
      </c>
      <c r="BG145" s="65">
        <f t="shared" si="182"/>
        <v>0</v>
      </c>
      <c r="BH145" s="65">
        <f t="shared" si="183"/>
        <v>0</v>
      </c>
      <c r="BI145" s="21">
        <f t="shared" si="184"/>
        <v>0</v>
      </c>
      <c r="BJ145" s="64">
        <f t="shared" si="185"/>
        <v>0</v>
      </c>
      <c r="BK145" s="65">
        <f t="shared" si="186"/>
        <v>0</v>
      </c>
      <c r="BL145" s="65">
        <f t="shared" si="187"/>
        <v>0</v>
      </c>
      <c r="BM145" s="65">
        <f t="shared" si="188"/>
        <v>0</v>
      </c>
      <c r="BN145" s="65">
        <f t="shared" si="189"/>
        <v>0</v>
      </c>
      <c r="BO145" s="65">
        <f t="shared" si="190"/>
        <v>0</v>
      </c>
      <c r="BP145" s="65">
        <f t="shared" si="191"/>
        <v>0</v>
      </c>
      <c r="BQ145" s="65">
        <f t="shared" si="192"/>
        <v>0</v>
      </c>
      <c r="BR145" s="21">
        <f t="shared" si="193"/>
        <v>0</v>
      </c>
      <c r="BS145" s="21">
        <f t="shared" si="194"/>
        <v>0</v>
      </c>
      <c r="BT145" s="24">
        <f t="shared" si="195"/>
        <v>0</v>
      </c>
      <c r="BU145" s="20" t="str">
        <f t="shared" si="196"/>
        <v/>
      </c>
      <c r="BV145" s="306" t="e">
        <f>IF(S145="-","-",VLOOKUP($A145,AMABat!$A$10:$AS$1137,BV$9,FALSE)-S145)</f>
        <v>#N/A</v>
      </c>
      <c r="BW145" s="306" t="e">
        <f>IF(T145="-","-",VLOOKUP($A145,AMABat!$A$10:$AS$1137,BW$9,FALSE)-T145)</f>
        <v>#N/A</v>
      </c>
      <c r="BX145" s="306" t="e">
        <f>IF(U145="-","-",VLOOKUP($A145,AMABat!$A$10:$AS$1137,BX$9,FALSE)-U145)</f>
        <v>#N/A</v>
      </c>
      <c r="BY145" s="306" t="e">
        <f>IF(V145="-","-",VLOOKUP($A145,AMABat!$A$10:$AS$1137,BY$9,FALSE)-V145)</f>
        <v>#N/A</v>
      </c>
      <c r="BZ145" s="306" t="e">
        <f>IF(W145="-","-",VLOOKUP($A145,AMABat!$A$10:$AS$1137,BZ$9,FALSE)-W145)</f>
        <v>#N/A</v>
      </c>
      <c r="CA145" s="306" t="e">
        <f>IF(X145="-","-",VLOOKUP($A145,AMABat!$A$10:$AS$1137,CA$9,FALSE)-X145)</f>
        <v>#N/A</v>
      </c>
      <c r="CB145" s="306" t="e">
        <f>IF(Y145="-","-",VLOOKUP($A145,AMABat!$A$10:$AS$1137,CB$9,FALSE)-Y145)</f>
        <v>#N/A</v>
      </c>
      <c r="CC145" s="306" t="e">
        <f>IF(Z145="-","-",VLOOKUP($A145,AMABat!$A$10:$AS$1137,CC$9,FALSE)-Z145)</f>
        <v>#N/A</v>
      </c>
      <c r="CD145" s="306" t="e">
        <f>IF(AA145="-","-",VLOOKUP($A145,AMABat!$A$10:$AS$1137,CD$9,FALSE)-AA145)</f>
        <v>#N/A</v>
      </c>
      <c r="CE145" s="306" t="e">
        <f>IF(AB145="-","-",VLOOKUP($A145,AMABat!$A$10:$AS$1137,CE$9,FALSE)-AB145)</f>
        <v>#N/A</v>
      </c>
      <c r="CF145" s="306" t="e">
        <f>IF(AC145="-","-",VLOOKUP($A145,AMABat!$A$10:$AS$1137,CF$9,FALSE)-AC145)</f>
        <v>#N/A</v>
      </c>
      <c r="CG145" s="306" t="e">
        <f>IF(AD145="-","-",VLOOKUP($A145,AMABat!$A$10:$AS$1137,CG$9,FALSE)-AD145)</f>
        <v>#N/A</v>
      </c>
      <c r="CH145" s="306" t="e">
        <f>IF(AE145="-","-",VLOOKUP($A145,AMABat!$A$10:$AS$1137,CH$9,FALSE)-AE145)</f>
        <v>#N/A</v>
      </c>
      <c r="CI145" s="306" t="str">
        <f>IF(AG145="-","-",VLOOKUP($A145,AMABat!$A$10:$AS$1137,CI$9,FALSE)-AG145)</f>
        <v>-</v>
      </c>
      <c r="CJ145" s="306" t="str">
        <f>IF(AH145="-","-",VLOOKUP($A145,AMABat!$A$10:$AS$1137,CJ$9,FALSE)-AH145)</f>
        <v>-</v>
      </c>
      <c r="CK145" s="306" t="str">
        <f>IF(AI145="-","-",VLOOKUP($A145,AMABat!$A$10:$AS$1137,CK$9,FALSE)-AI145)</f>
        <v>-</v>
      </c>
      <c r="CL145" s="306" t="str">
        <f>IF(AJ145="-","-",VLOOKUP($A145,AMABat!$A$10:$AS$1137,CL$9,FALSE)-AJ145)</f>
        <v>-</v>
      </c>
      <c r="CM145" s="306" t="str">
        <f>IF(AK145="-","-",VLOOKUP($A145,AMABat!$A$10:$AS$1137,CM$9,FALSE)-AK145)</f>
        <v>-</v>
      </c>
      <c r="CN145" s="306" t="str">
        <f>IF(AL145="-","-",VLOOKUP($A145,AMABat!$A$10:$AS$1137,CN$9,FALSE)-AL145)</f>
        <v>-</v>
      </c>
      <c r="CO145" s="306" t="str">
        <f>IF(AM145="-","-",VLOOKUP($A145,AMABat!$A$10:$AS$1137,CO$9,FALSE)-AM145)</f>
        <v>-</v>
      </c>
      <c r="CP145" s="306" t="str">
        <f>IF(AN145="-","-",VLOOKUP($A145,AMABat!$A$10:$AS$1137,CP$9,FALSE)-AN145)</f>
        <v>-</v>
      </c>
      <c r="CQ145" s="306" t="e">
        <f>IF(AO145="-","-",VLOOKUP($A145,AMABat!$A$10:$AS$1137,CQ$9,FALSE)-AO145)</f>
        <v>#N/A</v>
      </c>
      <c r="CR145" s="306" t="e">
        <f>IF(AP145="-","-",VLOOKUP($A145,AMABat!$A$10:$AS$1137,CR$9,FALSE)-AP145)</f>
        <v>#N/A</v>
      </c>
      <c r="CS145" s="306" t="e">
        <f>IF(AQ145="-","-",VLOOKUP($A145,AMABat!$A$10:$AS$1137,CS$9,FALSE)-AQ145)</f>
        <v>#N/A</v>
      </c>
      <c r="CT145" s="306" t="e">
        <f t="shared" si="197"/>
        <v>#N/A</v>
      </c>
      <c r="CU145" s="306" t="e">
        <f t="shared" si="198"/>
        <v>#N/A</v>
      </c>
      <c r="CV145" s="306" t="e">
        <f t="shared" si="199"/>
        <v>#N/A</v>
      </c>
      <c r="CW145" s="306" t="e">
        <f t="shared" si="200"/>
        <v>#N/A</v>
      </c>
      <c r="CX145" s="306" t="e">
        <f t="shared" si="201"/>
        <v>#N/A</v>
      </c>
    </row>
    <row r="146" spans="1:102" x14ac:dyDescent="0.25">
      <c r="A146" s="306" t="str">
        <f t="shared" si="166"/>
        <v>Ramón Rodríguez</v>
      </c>
      <c r="B146" s="305"/>
      <c r="C146" s="305"/>
      <c r="D146" s="305" t="str">
        <f t="shared" si="167"/>
        <v>-</v>
      </c>
      <c r="E146" s="305" t="str">
        <f t="shared" si="168"/>
        <v>-</v>
      </c>
      <c r="F146" s="305" t="str">
        <f t="shared" si="169"/>
        <v>K</v>
      </c>
      <c r="G146" s="305" t="s">
        <v>74</v>
      </c>
      <c r="H146" s="305" t="s">
        <v>497</v>
      </c>
      <c r="I146" s="305" t="s">
        <v>410</v>
      </c>
      <c r="J146" s="305" t="s">
        <v>763</v>
      </c>
      <c r="K146" s="305" t="s">
        <v>16</v>
      </c>
      <c r="L146" s="305">
        <v>16</v>
      </c>
      <c r="M146" s="305" t="s">
        <v>83</v>
      </c>
      <c r="N146" s="305" t="s">
        <v>83</v>
      </c>
      <c r="O146" s="305" t="s">
        <v>816</v>
      </c>
      <c r="P146" s="388" t="s">
        <v>816</v>
      </c>
      <c r="Q146" s="305" t="s">
        <v>199</v>
      </c>
      <c r="R146" s="388" t="s">
        <v>200</v>
      </c>
      <c r="S146" s="305">
        <v>1</v>
      </c>
      <c r="T146" s="305">
        <v>1</v>
      </c>
      <c r="U146" s="305">
        <v>2</v>
      </c>
      <c r="V146" s="305">
        <v>1</v>
      </c>
      <c r="W146" s="388">
        <v>1</v>
      </c>
      <c r="X146" s="305">
        <v>2</v>
      </c>
      <c r="Y146" s="305">
        <v>4</v>
      </c>
      <c r="Z146" s="305">
        <v>2</v>
      </c>
      <c r="AA146" s="305">
        <v>3</v>
      </c>
      <c r="AB146" s="388">
        <v>3</v>
      </c>
      <c r="AC146" s="305">
        <v>4</v>
      </c>
      <c r="AD146" s="305">
        <v>3</v>
      </c>
      <c r="AE146" s="305">
        <v>1</v>
      </c>
      <c r="AF146" s="305">
        <v>1</v>
      </c>
      <c r="AG146" s="305" t="s">
        <v>32</v>
      </c>
      <c r="AH146" s="305" t="s">
        <v>32</v>
      </c>
      <c r="AI146" s="305">
        <v>1</v>
      </c>
      <c r="AJ146" s="305" t="s">
        <v>32</v>
      </c>
      <c r="AK146" s="305">
        <v>1</v>
      </c>
      <c r="AL146" s="305" t="s">
        <v>32</v>
      </c>
      <c r="AM146" s="305" t="s">
        <v>32</v>
      </c>
      <c r="AN146" s="388" t="s">
        <v>32</v>
      </c>
      <c r="AO146" s="305">
        <v>7</v>
      </c>
      <c r="AP146" s="305">
        <v>7</v>
      </c>
      <c r="AQ146" s="388">
        <v>9</v>
      </c>
      <c r="AR146" s="305" t="s">
        <v>32</v>
      </c>
      <c r="AS146" s="388" t="s">
        <v>33</v>
      </c>
      <c r="AT146" s="387" t="s">
        <v>529</v>
      </c>
      <c r="AU146" s="22">
        <f t="shared" si="170"/>
        <v>-1.1666666666666667</v>
      </c>
      <c r="AV146" s="23" t="str">
        <f t="shared" si="171"/>
        <v>Minors</v>
      </c>
      <c r="AW146" s="22">
        <f t="shared" si="172"/>
        <v>0.33333333333333348</v>
      </c>
      <c r="AX146" s="22" t="str">
        <f t="shared" si="173"/>
        <v>Minors</v>
      </c>
      <c r="AY146" s="23">
        <f t="shared" si="174"/>
        <v>0.33333333333333348</v>
      </c>
      <c r="AZ146" s="23" t="str">
        <f t="shared" si="175"/>
        <v>Minors</v>
      </c>
      <c r="BA146" s="64">
        <f t="shared" si="176"/>
        <v>0</v>
      </c>
      <c r="BB146" s="65">
        <f t="shared" si="177"/>
        <v>0</v>
      </c>
      <c r="BC146" s="65">
        <f t="shared" si="178"/>
        <v>0</v>
      </c>
      <c r="BD146" s="65">
        <f t="shared" si="179"/>
        <v>0</v>
      </c>
      <c r="BE146" s="65">
        <f t="shared" si="180"/>
        <v>0</v>
      </c>
      <c r="BF146" s="65">
        <f t="shared" si="181"/>
        <v>0</v>
      </c>
      <c r="BG146" s="65">
        <f t="shared" si="182"/>
        <v>0</v>
      </c>
      <c r="BH146" s="65">
        <f t="shared" si="183"/>
        <v>0</v>
      </c>
      <c r="BI146" s="21">
        <f t="shared" si="184"/>
        <v>0</v>
      </c>
      <c r="BJ146" s="64">
        <f t="shared" si="185"/>
        <v>0</v>
      </c>
      <c r="BK146" s="65">
        <f t="shared" si="186"/>
        <v>0</v>
      </c>
      <c r="BL146" s="65">
        <f t="shared" si="187"/>
        <v>0</v>
      </c>
      <c r="BM146" s="65">
        <f t="shared" si="188"/>
        <v>0</v>
      </c>
      <c r="BN146" s="65">
        <f t="shared" si="189"/>
        <v>0</v>
      </c>
      <c r="BO146" s="65">
        <f t="shared" si="190"/>
        <v>0</v>
      </c>
      <c r="BP146" s="65">
        <f t="shared" si="191"/>
        <v>0</v>
      </c>
      <c r="BQ146" s="65">
        <f t="shared" si="192"/>
        <v>0</v>
      </c>
      <c r="BR146" s="21">
        <f t="shared" si="193"/>
        <v>0</v>
      </c>
      <c r="BS146" s="21">
        <f t="shared" si="194"/>
        <v>2</v>
      </c>
      <c r="BT146" s="24">
        <f t="shared" si="195"/>
        <v>0</v>
      </c>
      <c r="BU146" s="20" t="str">
        <f t="shared" si="196"/>
        <v/>
      </c>
      <c r="BV146" s="306" t="e">
        <f>IF(S146="-","-",VLOOKUP($A146,AMABat!$A$10:$AS$1137,BV$9,FALSE)-S146)</f>
        <v>#N/A</v>
      </c>
      <c r="BW146" s="306" t="e">
        <f>IF(T146="-","-",VLOOKUP($A146,AMABat!$A$10:$AS$1137,BW$9,FALSE)-T146)</f>
        <v>#N/A</v>
      </c>
      <c r="BX146" s="306" t="e">
        <f>IF(U146="-","-",VLOOKUP($A146,AMABat!$A$10:$AS$1137,BX$9,FALSE)-U146)</f>
        <v>#N/A</v>
      </c>
      <c r="BY146" s="306" t="e">
        <f>IF(V146="-","-",VLOOKUP($A146,AMABat!$A$10:$AS$1137,BY$9,FALSE)-V146)</f>
        <v>#N/A</v>
      </c>
      <c r="BZ146" s="306" t="e">
        <f>IF(W146="-","-",VLOOKUP($A146,AMABat!$A$10:$AS$1137,BZ$9,FALSE)-W146)</f>
        <v>#N/A</v>
      </c>
      <c r="CA146" s="306" t="e">
        <f>IF(X146="-","-",VLOOKUP($A146,AMABat!$A$10:$AS$1137,CA$9,FALSE)-X146)</f>
        <v>#N/A</v>
      </c>
      <c r="CB146" s="306" t="e">
        <f>IF(Y146="-","-",VLOOKUP($A146,AMABat!$A$10:$AS$1137,CB$9,FALSE)-Y146)</f>
        <v>#N/A</v>
      </c>
      <c r="CC146" s="306" t="e">
        <f>IF(Z146="-","-",VLOOKUP($A146,AMABat!$A$10:$AS$1137,CC$9,FALSE)-Z146)</f>
        <v>#N/A</v>
      </c>
      <c r="CD146" s="306" t="e">
        <f>IF(AA146="-","-",VLOOKUP($A146,AMABat!$A$10:$AS$1137,CD$9,FALSE)-AA146)</f>
        <v>#N/A</v>
      </c>
      <c r="CE146" s="306" t="e">
        <f>IF(AB146="-","-",VLOOKUP($A146,AMABat!$A$10:$AS$1137,CE$9,FALSE)-AB146)</f>
        <v>#N/A</v>
      </c>
      <c r="CF146" s="306" t="e">
        <f>IF(AC146="-","-",VLOOKUP($A146,AMABat!$A$10:$AS$1137,CF$9,FALSE)-AC146)</f>
        <v>#N/A</v>
      </c>
      <c r="CG146" s="306" t="e">
        <f>IF(AD146="-","-",VLOOKUP($A146,AMABat!$A$10:$AS$1137,CG$9,FALSE)-AD146)</f>
        <v>#N/A</v>
      </c>
      <c r="CH146" s="306" t="e">
        <f>IF(AE146="-","-",VLOOKUP($A146,AMABat!$A$10:$AS$1137,CH$9,FALSE)-AE146)</f>
        <v>#N/A</v>
      </c>
      <c r="CI146" s="306" t="str">
        <f>IF(AG146="-","-",VLOOKUP($A146,AMABat!$A$10:$AS$1137,CI$9,FALSE)-AG146)</f>
        <v>-</v>
      </c>
      <c r="CJ146" s="306" t="str">
        <f>IF(AH146="-","-",VLOOKUP($A146,AMABat!$A$10:$AS$1137,CJ$9,FALSE)-AH146)</f>
        <v>-</v>
      </c>
      <c r="CK146" s="306" t="e">
        <f>IF(AI146="-","-",VLOOKUP($A146,AMABat!$A$10:$AS$1137,CK$9,FALSE)-AI146)</f>
        <v>#N/A</v>
      </c>
      <c r="CL146" s="306" t="str">
        <f>IF(AJ146="-","-",VLOOKUP($A146,AMABat!$A$10:$AS$1137,CL$9,FALSE)-AJ146)</f>
        <v>-</v>
      </c>
      <c r="CM146" s="306" t="e">
        <f>IF(AK146="-","-",VLOOKUP($A146,AMABat!$A$10:$AS$1137,CM$9,FALSE)-AK146)</f>
        <v>#N/A</v>
      </c>
      <c r="CN146" s="306" t="str">
        <f>IF(AL146="-","-",VLOOKUP($A146,AMABat!$A$10:$AS$1137,CN$9,FALSE)-AL146)</f>
        <v>-</v>
      </c>
      <c r="CO146" s="306" t="str">
        <f>IF(AM146="-","-",VLOOKUP($A146,AMABat!$A$10:$AS$1137,CO$9,FALSE)-AM146)</f>
        <v>-</v>
      </c>
      <c r="CP146" s="306" t="str">
        <f>IF(AN146="-","-",VLOOKUP($A146,AMABat!$A$10:$AS$1137,CP$9,FALSE)-AN146)</f>
        <v>-</v>
      </c>
      <c r="CQ146" s="306" t="e">
        <f>IF(AO146="-","-",VLOOKUP($A146,AMABat!$A$10:$AS$1137,CQ$9,FALSE)-AO146)</f>
        <v>#N/A</v>
      </c>
      <c r="CR146" s="306" t="e">
        <f>IF(AP146="-","-",VLOOKUP($A146,AMABat!$A$10:$AS$1137,CR$9,FALSE)-AP146)</f>
        <v>#N/A</v>
      </c>
      <c r="CS146" s="306" t="e">
        <f>IF(AQ146="-","-",VLOOKUP($A146,AMABat!$A$10:$AS$1137,CS$9,FALSE)-AQ146)</f>
        <v>#N/A</v>
      </c>
      <c r="CT146" s="306" t="e">
        <f t="shared" si="197"/>
        <v>#N/A</v>
      </c>
      <c r="CU146" s="306" t="e">
        <f t="shared" si="198"/>
        <v>#N/A</v>
      </c>
      <c r="CV146" s="306" t="e">
        <f t="shared" si="199"/>
        <v>#N/A</v>
      </c>
      <c r="CW146" s="306" t="e">
        <f t="shared" si="200"/>
        <v>#N/A</v>
      </c>
      <c r="CX146" s="306" t="e">
        <f t="shared" si="201"/>
        <v>#N/A</v>
      </c>
    </row>
    <row r="147" spans="1:102" x14ac:dyDescent="0.25">
      <c r="B147" s="305"/>
      <c r="C147" s="305"/>
      <c r="D147" s="305"/>
      <c r="E147" s="305"/>
      <c r="F147" s="305"/>
      <c r="AU147" s="22"/>
      <c r="AV147" s="23"/>
      <c r="AW147" s="22"/>
      <c r="AX147" s="22"/>
      <c r="AY147" s="23"/>
      <c r="AZ147" s="23"/>
      <c r="BA147" s="64"/>
      <c r="BB147" s="65"/>
      <c r="BC147" s="65"/>
      <c r="BD147" s="65"/>
      <c r="BE147" s="65"/>
      <c r="BF147" s="65"/>
      <c r="BG147" s="65"/>
      <c r="BH147" s="65"/>
      <c r="BI147" s="21"/>
      <c r="BJ147" s="64"/>
      <c r="BK147" s="65"/>
      <c r="BL147" s="65"/>
      <c r="BM147" s="65"/>
      <c r="BN147" s="65"/>
      <c r="BO147" s="65"/>
      <c r="BP147" s="65"/>
      <c r="BQ147" s="65"/>
      <c r="BR147" s="21"/>
      <c r="BS147" s="21"/>
      <c r="BT147" s="24"/>
      <c r="BU147" s="20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306"/>
      <c r="CT147" s="306"/>
      <c r="CU147" s="306"/>
      <c r="CV147" s="306"/>
      <c r="CW147" s="306"/>
      <c r="CX147" s="306"/>
    </row>
    <row r="148" spans="1:102" x14ac:dyDescent="0.25">
      <c r="B148" s="305"/>
      <c r="C148" s="305"/>
      <c r="D148" s="305"/>
      <c r="E148" s="305"/>
      <c r="F148" s="305"/>
      <c r="AU148" s="22"/>
      <c r="AV148" s="23"/>
      <c r="AW148" s="22"/>
      <c r="AX148" s="22"/>
      <c r="AY148" s="23"/>
      <c r="AZ148" s="23"/>
      <c r="BA148" s="64"/>
      <c r="BB148" s="65"/>
      <c r="BC148" s="65"/>
      <c r="BD148" s="65"/>
      <c r="BE148" s="65"/>
      <c r="BF148" s="65"/>
      <c r="BG148" s="65"/>
      <c r="BH148" s="65"/>
      <c r="BI148" s="21"/>
      <c r="BJ148" s="64"/>
      <c r="BK148" s="65"/>
      <c r="BL148" s="65"/>
      <c r="BM148" s="65"/>
      <c r="BN148" s="65"/>
      <c r="BO148" s="65"/>
      <c r="BP148" s="65"/>
      <c r="BQ148" s="65"/>
      <c r="BR148" s="21"/>
      <c r="BS148" s="21"/>
      <c r="BT148" s="24"/>
      <c r="BU148" s="20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306"/>
      <c r="CT148" s="306"/>
      <c r="CU148" s="306"/>
      <c r="CV148" s="306"/>
      <c r="CW148" s="306"/>
      <c r="CX148" s="306"/>
    </row>
    <row r="149" spans="1:102" x14ac:dyDescent="0.25">
      <c r="B149" s="305"/>
      <c r="C149" s="305"/>
      <c r="D149" s="305"/>
      <c r="E149" s="305"/>
      <c r="F149" s="305"/>
      <c r="AU149" s="22"/>
      <c r="AV149" s="23"/>
      <c r="AW149" s="22"/>
      <c r="AX149" s="22"/>
      <c r="AY149" s="23"/>
      <c r="AZ149" s="23"/>
      <c r="BA149" s="64"/>
      <c r="BB149" s="65"/>
      <c r="BC149" s="65"/>
      <c r="BD149" s="65"/>
      <c r="BE149" s="65"/>
      <c r="BF149" s="65"/>
      <c r="BG149" s="65"/>
      <c r="BH149" s="65"/>
      <c r="BI149" s="21"/>
      <c r="BJ149" s="64"/>
      <c r="BK149" s="65"/>
      <c r="BL149" s="65"/>
      <c r="BM149" s="65"/>
      <c r="BN149" s="65"/>
      <c r="BO149" s="65"/>
      <c r="BP149" s="65"/>
      <c r="BQ149" s="65"/>
      <c r="BR149" s="21"/>
      <c r="BS149" s="21"/>
      <c r="BT149" s="24"/>
      <c r="BU149" s="20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306"/>
      <c r="CT149" s="306"/>
      <c r="CU149" s="306"/>
      <c r="CV149" s="306"/>
      <c r="CW149" s="306"/>
      <c r="CX149" s="306"/>
    </row>
    <row r="150" spans="1:102" x14ac:dyDescent="0.25">
      <c r="B150" s="305"/>
      <c r="C150" s="305"/>
      <c r="D150" s="305"/>
      <c r="E150" s="305"/>
      <c r="F150" s="305"/>
      <c r="AU150" s="22"/>
      <c r="AV150" s="23"/>
      <c r="AW150" s="22"/>
      <c r="AX150" s="22"/>
      <c r="AY150" s="23"/>
      <c r="AZ150" s="23"/>
      <c r="BA150" s="64"/>
      <c r="BB150" s="65"/>
      <c r="BC150" s="65"/>
      <c r="BD150" s="65"/>
      <c r="BE150" s="65"/>
      <c r="BF150" s="65"/>
      <c r="BG150" s="65"/>
      <c r="BH150" s="65"/>
      <c r="BI150" s="21"/>
      <c r="BJ150" s="64"/>
      <c r="BK150" s="65"/>
      <c r="BL150" s="65"/>
      <c r="BM150" s="65"/>
      <c r="BN150" s="65"/>
      <c r="BO150" s="65"/>
      <c r="BP150" s="65"/>
      <c r="BQ150" s="65"/>
      <c r="BR150" s="21"/>
      <c r="BS150" s="21"/>
      <c r="BT150" s="24"/>
      <c r="BU150" s="20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306"/>
      <c r="CT150" s="306"/>
      <c r="CU150" s="306"/>
      <c r="CV150" s="306"/>
      <c r="CW150" s="306"/>
      <c r="CX150" s="306"/>
    </row>
    <row r="151" spans="1:102" x14ac:dyDescent="0.25">
      <c r="B151" s="305"/>
      <c r="C151" s="305"/>
      <c r="D151" s="305"/>
      <c r="E151" s="305"/>
      <c r="F151" s="305"/>
      <c r="AU151" s="22"/>
      <c r="AV151" s="23"/>
      <c r="AW151" s="22"/>
      <c r="AX151" s="22"/>
      <c r="AY151" s="23"/>
      <c r="AZ151" s="23"/>
      <c r="BA151" s="64"/>
      <c r="BB151" s="65"/>
      <c r="BC151" s="65"/>
      <c r="BD151" s="65"/>
      <c r="BE151" s="65"/>
      <c r="BF151" s="65"/>
      <c r="BG151" s="65"/>
      <c r="BH151" s="65"/>
      <c r="BI151" s="21"/>
      <c r="BJ151" s="64"/>
      <c r="BK151" s="65"/>
      <c r="BL151" s="65"/>
      <c r="BM151" s="65"/>
      <c r="BN151" s="65"/>
      <c r="BO151" s="65"/>
      <c r="BP151" s="65"/>
      <c r="BQ151" s="65"/>
      <c r="BR151" s="21"/>
      <c r="BS151" s="21"/>
      <c r="BT151" s="24"/>
      <c r="BU151" s="20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306"/>
      <c r="CT151" s="306"/>
      <c r="CU151" s="306"/>
      <c r="CV151" s="306"/>
      <c r="CW151" s="306"/>
      <c r="CX151" s="306"/>
    </row>
    <row r="152" spans="1:102" x14ac:dyDescent="0.25">
      <c r="B152" s="305"/>
      <c r="C152" s="305"/>
      <c r="D152" s="305"/>
      <c r="E152" s="305"/>
      <c r="F152" s="305"/>
      <c r="AU152" s="22"/>
      <c r="AV152" s="23"/>
      <c r="AW152" s="22"/>
      <c r="AX152" s="22"/>
      <c r="AY152" s="23"/>
      <c r="AZ152" s="23"/>
      <c r="BA152" s="64"/>
      <c r="BB152" s="65"/>
      <c r="BC152" s="65"/>
      <c r="BD152" s="65"/>
      <c r="BE152" s="65"/>
      <c r="BF152" s="65"/>
      <c r="BG152" s="65"/>
      <c r="BH152" s="65"/>
      <c r="BI152" s="21"/>
      <c r="BJ152" s="64"/>
      <c r="BK152" s="65"/>
      <c r="BL152" s="65"/>
      <c r="BM152" s="65"/>
      <c r="BN152" s="65"/>
      <c r="BO152" s="65"/>
      <c r="BP152" s="65"/>
      <c r="BQ152" s="65"/>
      <c r="BR152" s="21"/>
      <c r="BS152" s="21"/>
      <c r="BT152" s="24"/>
      <c r="BU152" s="20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306"/>
      <c r="CT152" s="306"/>
      <c r="CU152" s="306"/>
      <c r="CV152" s="306"/>
      <c r="CW152" s="306"/>
      <c r="CX152" s="306"/>
    </row>
    <row r="153" spans="1:102" x14ac:dyDescent="0.25">
      <c r="B153" s="305"/>
      <c r="C153" s="305"/>
      <c r="D153" s="305"/>
      <c r="E153" s="305"/>
      <c r="F153" s="305"/>
      <c r="AU153" s="22"/>
      <c r="AV153" s="23"/>
      <c r="AW153" s="22"/>
      <c r="AX153" s="22"/>
      <c r="AY153" s="23"/>
      <c r="AZ153" s="23"/>
      <c r="BA153" s="64"/>
      <c r="BB153" s="65"/>
      <c r="BC153" s="65"/>
      <c r="BD153" s="65"/>
      <c r="BE153" s="65"/>
      <c r="BF153" s="65"/>
      <c r="BG153" s="65"/>
      <c r="BH153" s="65"/>
      <c r="BI153" s="21"/>
      <c r="BJ153" s="64"/>
      <c r="BK153" s="65"/>
      <c r="BL153" s="65"/>
      <c r="BM153" s="65"/>
      <c r="BN153" s="65"/>
      <c r="BO153" s="65"/>
      <c r="BP153" s="65"/>
      <c r="BQ153" s="65"/>
      <c r="BR153" s="21"/>
      <c r="BS153" s="21"/>
      <c r="BT153" s="24"/>
      <c r="BU153" s="20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306"/>
      <c r="CT153" s="306"/>
      <c r="CU153" s="306"/>
      <c r="CV153" s="306"/>
      <c r="CW153" s="306"/>
      <c r="CX153" s="306"/>
    </row>
    <row r="154" spans="1:102" x14ac:dyDescent="0.25">
      <c r="B154" s="305"/>
      <c r="C154" s="305"/>
      <c r="D154" s="305"/>
      <c r="E154" s="305"/>
      <c r="F154" s="305"/>
      <c r="AU154" s="22"/>
      <c r="AV154" s="23"/>
      <c r="AW154" s="22"/>
      <c r="AX154" s="22"/>
      <c r="AY154" s="23"/>
      <c r="AZ154" s="23"/>
      <c r="BA154" s="64"/>
      <c r="BB154" s="65"/>
      <c r="BC154" s="65"/>
      <c r="BD154" s="65"/>
      <c r="BE154" s="65"/>
      <c r="BF154" s="65"/>
      <c r="BG154" s="65"/>
      <c r="BH154" s="65"/>
      <c r="BI154" s="21"/>
      <c r="BJ154" s="64"/>
      <c r="BK154" s="65"/>
      <c r="BL154" s="65"/>
      <c r="BM154" s="65"/>
      <c r="BN154" s="65"/>
      <c r="BO154" s="65"/>
      <c r="BP154" s="65"/>
      <c r="BQ154" s="65"/>
      <c r="BR154" s="21"/>
      <c r="BS154" s="21"/>
      <c r="BT154" s="24"/>
      <c r="BU154" s="20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306"/>
      <c r="CT154" s="306"/>
      <c r="CU154" s="306"/>
      <c r="CV154" s="306"/>
      <c r="CW154" s="306"/>
      <c r="CX154" s="306"/>
    </row>
    <row r="155" spans="1:102" x14ac:dyDescent="0.25">
      <c r="B155" s="305"/>
      <c r="C155" s="305"/>
      <c r="D155" s="305"/>
      <c r="E155" s="305"/>
      <c r="F155" s="305"/>
      <c r="AU155" s="22"/>
      <c r="AV155" s="23"/>
      <c r="AW155" s="22"/>
      <c r="AX155" s="22"/>
      <c r="AY155" s="23"/>
      <c r="AZ155" s="23"/>
      <c r="BA155" s="64"/>
      <c r="BB155" s="65"/>
      <c r="BC155" s="65"/>
      <c r="BD155" s="65"/>
      <c r="BE155" s="65"/>
      <c r="BF155" s="65"/>
      <c r="BG155" s="65"/>
      <c r="BH155" s="65"/>
      <c r="BI155" s="21"/>
      <c r="BJ155" s="64"/>
      <c r="BK155" s="65"/>
      <c r="BL155" s="65"/>
      <c r="BM155" s="65"/>
      <c r="BN155" s="65"/>
      <c r="BO155" s="65"/>
      <c r="BP155" s="65"/>
      <c r="BQ155" s="65"/>
      <c r="BR155" s="21"/>
      <c r="BS155" s="21"/>
      <c r="BT155" s="24"/>
      <c r="BU155" s="20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6"/>
      <c r="CO155" s="306"/>
      <c r="CP155" s="306"/>
      <c r="CQ155" s="306"/>
      <c r="CR155" s="306"/>
      <c r="CS155" s="306"/>
      <c r="CT155" s="306"/>
      <c r="CU155" s="306"/>
      <c r="CV155" s="306"/>
      <c r="CW155" s="306"/>
      <c r="CX155" s="306"/>
    </row>
    <row r="156" spans="1:102" x14ac:dyDescent="0.25">
      <c r="B156" s="305"/>
      <c r="C156" s="305"/>
      <c r="D156" s="305"/>
      <c r="E156" s="305"/>
      <c r="F156" s="305"/>
      <c r="AU156" s="22"/>
      <c r="AV156" s="23"/>
      <c r="AW156" s="22"/>
      <c r="AX156" s="22"/>
      <c r="AY156" s="23"/>
      <c r="AZ156" s="23"/>
      <c r="BA156" s="64"/>
      <c r="BB156" s="65"/>
      <c r="BC156" s="65"/>
      <c r="BD156" s="65"/>
      <c r="BE156" s="65"/>
      <c r="BF156" s="65"/>
      <c r="BG156" s="65"/>
      <c r="BH156" s="65"/>
      <c r="BI156" s="21"/>
      <c r="BJ156" s="64"/>
      <c r="BK156" s="65"/>
      <c r="BL156" s="65"/>
      <c r="BM156" s="65"/>
      <c r="BN156" s="65"/>
      <c r="BO156" s="65"/>
      <c r="BP156" s="65"/>
      <c r="BQ156" s="65"/>
      <c r="BR156" s="21"/>
      <c r="BS156" s="21"/>
      <c r="BT156" s="24"/>
      <c r="BU156" s="20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6"/>
      <c r="CO156" s="306"/>
      <c r="CP156" s="306"/>
      <c r="CQ156" s="306"/>
      <c r="CR156" s="306"/>
      <c r="CS156" s="306"/>
      <c r="CT156" s="306"/>
      <c r="CU156" s="306"/>
      <c r="CV156" s="306"/>
      <c r="CW156" s="306"/>
      <c r="CX156" s="306"/>
    </row>
    <row r="157" spans="1:102" x14ac:dyDescent="0.25">
      <c r="B157" s="305"/>
      <c r="C157" s="305"/>
      <c r="D157" s="305"/>
      <c r="E157" s="305"/>
      <c r="F157" s="305"/>
      <c r="AU157" s="22"/>
      <c r="AV157" s="23"/>
      <c r="AW157" s="22"/>
      <c r="AX157" s="22"/>
      <c r="AY157" s="23"/>
      <c r="AZ157" s="23"/>
      <c r="BA157" s="64"/>
      <c r="BB157" s="65"/>
      <c r="BC157" s="65"/>
      <c r="BD157" s="65"/>
      <c r="BE157" s="65"/>
      <c r="BF157" s="65"/>
      <c r="BG157" s="65"/>
      <c r="BH157" s="65"/>
      <c r="BI157" s="21"/>
      <c r="BJ157" s="64"/>
      <c r="BK157" s="65"/>
      <c r="BL157" s="65"/>
      <c r="BM157" s="65"/>
      <c r="BN157" s="65"/>
      <c r="BO157" s="65"/>
      <c r="BP157" s="65"/>
      <c r="BQ157" s="65"/>
      <c r="BR157" s="21"/>
      <c r="BS157" s="21"/>
      <c r="BT157" s="24"/>
      <c r="BU157" s="20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306"/>
      <c r="CT157" s="306"/>
      <c r="CU157" s="306"/>
      <c r="CV157" s="306"/>
      <c r="CW157" s="306"/>
      <c r="CX157" s="306"/>
    </row>
    <row r="158" spans="1:102" x14ac:dyDescent="0.25">
      <c r="B158" s="305"/>
      <c r="C158" s="305"/>
      <c r="D158" s="305"/>
      <c r="E158" s="305"/>
      <c r="F158" s="305"/>
      <c r="AU158" s="22"/>
      <c r="AV158" s="23"/>
      <c r="AW158" s="22"/>
      <c r="AX158" s="22"/>
      <c r="AY158" s="23"/>
      <c r="AZ158" s="23"/>
      <c r="BA158" s="64"/>
      <c r="BB158" s="65"/>
      <c r="BC158" s="65"/>
      <c r="BD158" s="65"/>
      <c r="BE158" s="65"/>
      <c r="BF158" s="65"/>
      <c r="BG158" s="65"/>
      <c r="BH158" s="65"/>
      <c r="BI158" s="21"/>
      <c r="BJ158" s="64"/>
      <c r="BK158" s="65"/>
      <c r="BL158" s="65"/>
      <c r="BM158" s="65"/>
      <c r="BN158" s="65"/>
      <c r="BO158" s="65"/>
      <c r="BP158" s="65"/>
      <c r="BQ158" s="65"/>
      <c r="BR158" s="21"/>
      <c r="BS158" s="21"/>
      <c r="BT158" s="24"/>
      <c r="BU158" s="20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6"/>
      <c r="CO158" s="306"/>
      <c r="CP158" s="306"/>
      <c r="CQ158" s="306"/>
      <c r="CR158" s="306"/>
      <c r="CS158" s="306"/>
      <c r="CT158" s="306"/>
      <c r="CU158" s="306"/>
      <c r="CV158" s="306"/>
      <c r="CW158" s="306"/>
      <c r="CX158" s="306"/>
    </row>
    <row r="159" spans="1:102" x14ac:dyDescent="0.25">
      <c r="B159" s="305"/>
      <c r="C159" s="305"/>
      <c r="D159" s="305"/>
      <c r="E159" s="305"/>
      <c r="F159" s="305"/>
      <c r="AU159" s="22"/>
      <c r="AV159" s="23"/>
      <c r="AW159" s="22"/>
      <c r="AX159" s="22"/>
      <c r="AY159" s="23"/>
      <c r="AZ159" s="23"/>
      <c r="BA159" s="64"/>
      <c r="BB159" s="65"/>
      <c r="BC159" s="65"/>
      <c r="BD159" s="65"/>
      <c r="BE159" s="65"/>
      <c r="BF159" s="65"/>
      <c r="BG159" s="65"/>
      <c r="BH159" s="65"/>
      <c r="BI159" s="21"/>
      <c r="BJ159" s="64"/>
      <c r="BK159" s="65"/>
      <c r="BL159" s="65"/>
      <c r="BM159" s="65"/>
      <c r="BN159" s="65"/>
      <c r="BO159" s="65"/>
      <c r="BP159" s="65"/>
      <c r="BQ159" s="65"/>
      <c r="BR159" s="21"/>
      <c r="BS159" s="21"/>
      <c r="BT159" s="24"/>
      <c r="BU159" s="20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306"/>
      <c r="CT159" s="306"/>
      <c r="CU159" s="306"/>
      <c r="CV159" s="306"/>
      <c r="CW159" s="306"/>
      <c r="CX159" s="306"/>
    </row>
    <row r="160" spans="1:102" x14ac:dyDescent="0.25">
      <c r="B160" s="305"/>
      <c r="C160" s="305"/>
      <c r="D160" s="305"/>
      <c r="E160" s="305"/>
      <c r="F160" s="305"/>
      <c r="AU160" s="22"/>
      <c r="AV160" s="23"/>
      <c r="AW160" s="22"/>
      <c r="AX160" s="22"/>
      <c r="AY160" s="23"/>
      <c r="AZ160" s="23"/>
      <c r="BA160" s="64"/>
      <c r="BB160" s="65"/>
      <c r="BC160" s="65"/>
      <c r="BD160" s="65"/>
      <c r="BE160" s="65"/>
      <c r="BF160" s="65"/>
      <c r="BG160" s="65"/>
      <c r="BH160" s="65"/>
      <c r="BI160" s="21"/>
      <c r="BJ160" s="64"/>
      <c r="BK160" s="65"/>
      <c r="BL160" s="65"/>
      <c r="BM160" s="65"/>
      <c r="BN160" s="65"/>
      <c r="BO160" s="65"/>
      <c r="BP160" s="65"/>
      <c r="BQ160" s="65"/>
      <c r="BR160" s="21"/>
      <c r="BS160" s="21"/>
      <c r="BT160" s="24"/>
      <c r="BU160" s="20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6"/>
      <c r="CO160" s="306"/>
      <c r="CP160" s="306"/>
      <c r="CQ160" s="306"/>
      <c r="CR160" s="306"/>
      <c r="CS160" s="306"/>
      <c r="CT160" s="306"/>
      <c r="CU160" s="306"/>
      <c r="CV160" s="306"/>
      <c r="CW160" s="306"/>
      <c r="CX160" s="306"/>
    </row>
    <row r="161" spans="2:102" x14ac:dyDescent="0.25">
      <c r="B161" s="305"/>
      <c r="C161" s="305"/>
      <c r="D161" s="305"/>
      <c r="E161" s="305"/>
      <c r="F161" s="305"/>
      <c r="AU161" s="22"/>
      <c r="AV161" s="23"/>
      <c r="AW161" s="22"/>
      <c r="AX161" s="22"/>
      <c r="AY161" s="23"/>
      <c r="AZ161" s="23"/>
      <c r="BA161" s="64"/>
      <c r="BB161" s="65"/>
      <c r="BC161" s="65"/>
      <c r="BD161" s="65"/>
      <c r="BE161" s="65"/>
      <c r="BF161" s="65"/>
      <c r="BG161" s="65"/>
      <c r="BH161" s="65"/>
      <c r="BI161" s="21"/>
      <c r="BJ161" s="64"/>
      <c r="BK161" s="65"/>
      <c r="BL161" s="65"/>
      <c r="BM161" s="65"/>
      <c r="BN161" s="65"/>
      <c r="BO161" s="65"/>
      <c r="BP161" s="65"/>
      <c r="BQ161" s="65"/>
      <c r="BR161" s="21"/>
      <c r="BS161" s="21"/>
      <c r="BT161" s="24"/>
      <c r="BU161" s="20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6"/>
      <c r="CO161" s="306"/>
      <c r="CP161" s="306"/>
      <c r="CQ161" s="306"/>
      <c r="CR161" s="306"/>
      <c r="CS161" s="306"/>
      <c r="CT161" s="306"/>
      <c r="CU161" s="306"/>
      <c r="CV161" s="306"/>
      <c r="CW161" s="306"/>
      <c r="CX161" s="306"/>
    </row>
    <row r="162" spans="2:102" x14ac:dyDescent="0.25">
      <c r="B162" s="305"/>
      <c r="C162" s="305"/>
      <c r="D162" s="305"/>
      <c r="E162" s="305"/>
      <c r="F162" s="305"/>
      <c r="AU162" s="22"/>
      <c r="AV162" s="23"/>
      <c r="AW162" s="22"/>
      <c r="AX162" s="22"/>
      <c r="AY162" s="23"/>
      <c r="AZ162" s="23"/>
      <c r="BA162" s="64"/>
      <c r="BB162" s="65"/>
      <c r="BC162" s="65"/>
      <c r="BD162" s="65"/>
      <c r="BE162" s="65"/>
      <c r="BF162" s="65"/>
      <c r="BG162" s="65"/>
      <c r="BH162" s="65"/>
      <c r="BI162" s="21"/>
      <c r="BJ162" s="64"/>
      <c r="BK162" s="65"/>
      <c r="BL162" s="65"/>
      <c r="BM162" s="65"/>
      <c r="BN162" s="65"/>
      <c r="BO162" s="65"/>
      <c r="BP162" s="65"/>
      <c r="BQ162" s="65"/>
      <c r="BR162" s="21"/>
      <c r="BS162" s="21"/>
      <c r="BT162" s="24"/>
      <c r="BU162" s="20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306"/>
      <c r="CT162" s="306"/>
      <c r="CU162" s="306"/>
      <c r="CV162" s="306"/>
      <c r="CW162" s="306"/>
      <c r="CX162" s="306"/>
    </row>
    <row r="163" spans="2:102" x14ac:dyDescent="0.25">
      <c r="B163" s="305"/>
      <c r="C163" s="305"/>
      <c r="D163" s="305"/>
      <c r="E163" s="305"/>
      <c r="F163" s="305"/>
      <c r="AU163" s="22"/>
      <c r="AV163" s="23"/>
      <c r="AW163" s="22"/>
      <c r="AX163" s="22"/>
      <c r="AY163" s="23"/>
      <c r="AZ163" s="23"/>
      <c r="BA163" s="64"/>
      <c r="BB163" s="65"/>
      <c r="BC163" s="65"/>
      <c r="BD163" s="65"/>
      <c r="BE163" s="65"/>
      <c r="BF163" s="65"/>
      <c r="BG163" s="65"/>
      <c r="BH163" s="65"/>
      <c r="BI163" s="21"/>
      <c r="BJ163" s="64"/>
      <c r="BK163" s="65"/>
      <c r="BL163" s="65"/>
      <c r="BM163" s="65"/>
      <c r="BN163" s="65"/>
      <c r="BO163" s="65"/>
      <c r="BP163" s="65"/>
      <c r="BQ163" s="65"/>
      <c r="BR163" s="21"/>
      <c r="BS163" s="21"/>
      <c r="BT163" s="24"/>
      <c r="BU163" s="20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306"/>
      <c r="CT163" s="306"/>
      <c r="CU163" s="306"/>
      <c r="CV163" s="306"/>
      <c r="CW163" s="306"/>
      <c r="CX163" s="306"/>
    </row>
    <row r="164" spans="2:102" x14ac:dyDescent="0.25">
      <c r="B164" s="305"/>
      <c r="C164" s="305"/>
      <c r="D164" s="305"/>
      <c r="E164" s="305"/>
      <c r="F164" s="305"/>
      <c r="AU164" s="22"/>
      <c r="AV164" s="23"/>
      <c r="AW164" s="22"/>
      <c r="AX164" s="22"/>
      <c r="AY164" s="23"/>
      <c r="AZ164" s="23"/>
      <c r="BA164" s="64"/>
      <c r="BB164" s="65"/>
      <c r="BC164" s="65"/>
      <c r="BD164" s="65"/>
      <c r="BE164" s="65"/>
      <c r="BF164" s="65"/>
      <c r="BG164" s="65"/>
      <c r="BH164" s="65"/>
      <c r="BI164" s="21"/>
      <c r="BJ164" s="64"/>
      <c r="BK164" s="65"/>
      <c r="BL164" s="65"/>
      <c r="BM164" s="65"/>
      <c r="BN164" s="65"/>
      <c r="BO164" s="65"/>
      <c r="BP164" s="65"/>
      <c r="BQ164" s="65"/>
      <c r="BR164" s="21"/>
      <c r="BS164" s="21"/>
      <c r="BT164" s="24"/>
      <c r="BU164" s="20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306"/>
      <c r="CT164" s="306"/>
      <c r="CU164" s="306"/>
      <c r="CV164" s="306"/>
      <c r="CW164" s="306"/>
      <c r="CX164" s="306"/>
    </row>
    <row r="165" spans="2:102" x14ac:dyDescent="0.25">
      <c r="B165" s="305"/>
      <c r="C165" s="305"/>
      <c r="D165" s="305"/>
      <c r="E165" s="305"/>
      <c r="F165" s="305"/>
      <c r="AU165" s="22"/>
      <c r="AV165" s="23"/>
      <c r="AW165" s="22"/>
      <c r="AX165" s="22"/>
      <c r="AY165" s="23"/>
      <c r="AZ165" s="23"/>
      <c r="BA165" s="64"/>
      <c r="BB165" s="65"/>
      <c r="BC165" s="65"/>
      <c r="BD165" s="65"/>
      <c r="BE165" s="65"/>
      <c r="BF165" s="65"/>
      <c r="BG165" s="65"/>
      <c r="BH165" s="65"/>
      <c r="BI165" s="21"/>
      <c r="BJ165" s="64"/>
      <c r="BK165" s="65"/>
      <c r="BL165" s="65"/>
      <c r="BM165" s="65"/>
      <c r="BN165" s="65"/>
      <c r="BO165" s="65"/>
      <c r="BP165" s="65"/>
      <c r="BQ165" s="65"/>
      <c r="BR165" s="21"/>
      <c r="BS165" s="21"/>
      <c r="BT165" s="24"/>
      <c r="BU165" s="20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306"/>
      <c r="CT165" s="306"/>
      <c r="CU165" s="306"/>
      <c r="CV165" s="306"/>
      <c r="CW165" s="306"/>
      <c r="CX165" s="306"/>
    </row>
    <row r="166" spans="2:102" x14ac:dyDescent="0.25">
      <c r="B166" s="305"/>
      <c r="C166" s="305"/>
      <c r="D166" s="305"/>
      <c r="E166" s="305"/>
      <c r="F166" s="305"/>
      <c r="AU166" s="22"/>
      <c r="AV166" s="23"/>
      <c r="AW166" s="22"/>
      <c r="AX166" s="22"/>
      <c r="AY166" s="23"/>
      <c r="AZ166" s="23"/>
      <c r="BA166" s="64"/>
      <c r="BB166" s="65"/>
      <c r="BC166" s="65"/>
      <c r="BD166" s="65"/>
      <c r="BE166" s="65"/>
      <c r="BF166" s="65"/>
      <c r="BG166" s="65"/>
      <c r="BH166" s="65"/>
      <c r="BI166" s="21"/>
      <c r="BJ166" s="64"/>
      <c r="BK166" s="65"/>
      <c r="BL166" s="65"/>
      <c r="BM166" s="65"/>
      <c r="BN166" s="65"/>
      <c r="BO166" s="65"/>
      <c r="BP166" s="65"/>
      <c r="BQ166" s="65"/>
      <c r="BR166" s="21"/>
      <c r="BS166" s="21"/>
      <c r="BT166" s="24"/>
      <c r="BU166" s="20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306"/>
      <c r="CT166" s="306"/>
      <c r="CU166" s="306"/>
      <c r="CV166" s="306"/>
      <c r="CW166" s="306"/>
      <c r="CX166" s="306"/>
    </row>
    <row r="167" spans="2:102" x14ac:dyDescent="0.25">
      <c r="B167" s="305"/>
      <c r="C167" s="305"/>
      <c r="D167" s="305"/>
      <c r="E167" s="305"/>
      <c r="F167" s="305"/>
      <c r="AU167" s="22"/>
      <c r="AV167" s="23"/>
      <c r="AW167" s="22"/>
      <c r="AX167" s="22"/>
      <c r="AY167" s="23"/>
      <c r="AZ167" s="23"/>
      <c r="BA167" s="64"/>
      <c r="BB167" s="65"/>
      <c r="BC167" s="65"/>
      <c r="BD167" s="65"/>
      <c r="BE167" s="65"/>
      <c r="BF167" s="65"/>
      <c r="BG167" s="65"/>
      <c r="BH167" s="65"/>
      <c r="BI167" s="21"/>
      <c r="BJ167" s="64"/>
      <c r="BK167" s="65"/>
      <c r="BL167" s="65"/>
      <c r="BM167" s="65"/>
      <c r="BN167" s="65"/>
      <c r="BO167" s="65"/>
      <c r="BP167" s="65"/>
      <c r="BQ167" s="65"/>
      <c r="BR167" s="21"/>
      <c r="BS167" s="21"/>
      <c r="BT167" s="24"/>
      <c r="BU167" s="20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306"/>
      <c r="CT167" s="306"/>
      <c r="CU167" s="306"/>
      <c r="CV167" s="306"/>
      <c r="CW167" s="306"/>
      <c r="CX167" s="306"/>
    </row>
    <row r="168" spans="2:102" x14ac:dyDescent="0.25">
      <c r="B168" s="305"/>
      <c r="C168" s="305"/>
      <c r="D168" s="305"/>
      <c r="E168" s="305"/>
      <c r="F168" s="305"/>
      <c r="AU168" s="22"/>
      <c r="AV168" s="23"/>
      <c r="AW168" s="22"/>
      <c r="AX168" s="22"/>
      <c r="AY168" s="23"/>
      <c r="AZ168" s="23"/>
      <c r="BA168" s="64"/>
      <c r="BB168" s="65"/>
      <c r="BC168" s="65"/>
      <c r="BD168" s="65"/>
      <c r="BE168" s="65"/>
      <c r="BF168" s="65"/>
      <c r="BG168" s="65"/>
      <c r="BH168" s="65"/>
      <c r="BI168" s="21"/>
      <c r="BJ168" s="64"/>
      <c r="BK168" s="65"/>
      <c r="BL168" s="65"/>
      <c r="BM168" s="65"/>
      <c r="BN168" s="65"/>
      <c r="BO168" s="65"/>
      <c r="BP168" s="65"/>
      <c r="BQ168" s="65"/>
      <c r="BR168" s="21"/>
      <c r="BS168" s="21"/>
      <c r="BT168" s="24"/>
      <c r="BU168" s="20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306"/>
      <c r="CT168" s="306"/>
      <c r="CU168" s="306"/>
      <c r="CV168" s="306"/>
      <c r="CW168" s="306"/>
      <c r="CX168" s="306"/>
    </row>
    <row r="169" spans="2:102" x14ac:dyDescent="0.25">
      <c r="B169" s="305"/>
      <c r="C169" s="305"/>
      <c r="D169" s="305"/>
      <c r="E169" s="305"/>
      <c r="F169" s="305"/>
      <c r="AU169" s="22"/>
      <c r="AV169" s="23"/>
      <c r="AW169" s="22"/>
      <c r="AX169" s="22"/>
      <c r="AY169" s="23"/>
      <c r="AZ169" s="23"/>
      <c r="BA169" s="64"/>
      <c r="BB169" s="65"/>
      <c r="BC169" s="65"/>
      <c r="BD169" s="65"/>
      <c r="BE169" s="65"/>
      <c r="BF169" s="65"/>
      <c r="BG169" s="65"/>
      <c r="BH169" s="65"/>
      <c r="BI169" s="21"/>
      <c r="BJ169" s="64"/>
      <c r="BK169" s="65"/>
      <c r="BL169" s="65"/>
      <c r="BM169" s="65"/>
      <c r="BN169" s="65"/>
      <c r="BO169" s="65"/>
      <c r="BP169" s="65"/>
      <c r="BQ169" s="65"/>
      <c r="BR169" s="21"/>
      <c r="BS169" s="21"/>
      <c r="BT169" s="24"/>
      <c r="BU169" s="20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306"/>
      <c r="CT169" s="306"/>
      <c r="CU169" s="306"/>
      <c r="CV169" s="306"/>
      <c r="CW169" s="306"/>
      <c r="CX169" s="306"/>
    </row>
    <row r="170" spans="2:102" x14ac:dyDescent="0.25">
      <c r="B170" s="305"/>
      <c r="C170" s="305"/>
      <c r="D170" s="305"/>
      <c r="E170" s="305"/>
      <c r="F170" s="305"/>
      <c r="AU170" s="22"/>
      <c r="AV170" s="23"/>
      <c r="AW170" s="22"/>
      <c r="AX170" s="22"/>
      <c r="AY170" s="23"/>
      <c r="AZ170" s="23"/>
      <c r="BA170" s="64"/>
      <c r="BB170" s="65"/>
      <c r="BC170" s="65"/>
      <c r="BD170" s="65"/>
      <c r="BE170" s="65"/>
      <c r="BF170" s="65"/>
      <c r="BG170" s="65"/>
      <c r="BH170" s="65"/>
      <c r="BI170" s="21"/>
      <c r="BJ170" s="64"/>
      <c r="BK170" s="65"/>
      <c r="BL170" s="65"/>
      <c r="BM170" s="65"/>
      <c r="BN170" s="65"/>
      <c r="BO170" s="65"/>
      <c r="BP170" s="65"/>
      <c r="BQ170" s="65"/>
      <c r="BR170" s="21"/>
      <c r="BS170" s="21"/>
      <c r="BT170" s="24"/>
      <c r="BU170" s="20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306"/>
      <c r="CT170" s="306"/>
      <c r="CU170" s="306"/>
      <c r="CV170" s="306"/>
      <c r="CW170" s="306"/>
      <c r="CX170" s="306"/>
    </row>
    <row r="171" spans="2:102" x14ac:dyDescent="0.25">
      <c r="B171" s="305"/>
      <c r="C171" s="305"/>
      <c r="D171" s="305"/>
      <c r="E171" s="305"/>
      <c r="F171" s="305"/>
      <c r="AU171" s="22"/>
      <c r="AV171" s="23"/>
      <c r="AW171" s="22"/>
      <c r="AX171" s="22"/>
      <c r="AY171" s="23"/>
      <c r="AZ171" s="23"/>
      <c r="BA171" s="64"/>
      <c r="BB171" s="65"/>
      <c r="BC171" s="65"/>
      <c r="BD171" s="65"/>
      <c r="BE171" s="65"/>
      <c r="BF171" s="65"/>
      <c r="BG171" s="65"/>
      <c r="BH171" s="65"/>
      <c r="BI171" s="21"/>
      <c r="BJ171" s="64"/>
      <c r="BK171" s="65"/>
      <c r="BL171" s="65"/>
      <c r="BM171" s="65"/>
      <c r="BN171" s="65"/>
      <c r="BO171" s="65"/>
      <c r="BP171" s="65"/>
      <c r="BQ171" s="65"/>
      <c r="BR171" s="21"/>
      <c r="BS171" s="21"/>
      <c r="BT171" s="24"/>
      <c r="BU171" s="20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306"/>
      <c r="CT171" s="306"/>
      <c r="CU171" s="306"/>
      <c r="CV171" s="306"/>
      <c r="CW171" s="306"/>
      <c r="CX171" s="306"/>
    </row>
    <row r="172" spans="2:102" x14ac:dyDescent="0.25">
      <c r="B172" s="305"/>
      <c r="C172" s="305"/>
      <c r="D172" s="305"/>
      <c r="E172" s="305"/>
      <c r="F172" s="305"/>
      <c r="AU172" s="22"/>
      <c r="AV172" s="23"/>
      <c r="AW172" s="22"/>
      <c r="AX172" s="22"/>
      <c r="AY172" s="23"/>
      <c r="AZ172" s="23"/>
      <c r="BA172" s="64"/>
      <c r="BB172" s="65"/>
      <c r="BC172" s="65"/>
      <c r="BD172" s="65"/>
      <c r="BE172" s="65"/>
      <c r="BF172" s="65"/>
      <c r="BG172" s="65"/>
      <c r="BH172" s="65"/>
      <c r="BI172" s="21"/>
      <c r="BJ172" s="64"/>
      <c r="BK172" s="65"/>
      <c r="BL172" s="65"/>
      <c r="BM172" s="65"/>
      <c r="BN172" s="65"/>
      <c r="BO172" s="65"/>
      <c r="BP172" s="65"/>
      <c r="BQ172" s="65"/>
      <c r="BR172" s="21"/>
      <c r="BS172" s="21"/>
      <c r="BT172" s="24"/>
      <c r="BU172" s="20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306"/>
      <c r="CT172" s="306"/>
      <c r="CU172" s="306"/>
      <c r="CV172" s="306"/>
      <c r="CW172" s="306"/>
      <c r="CX172" s="306"/>
    </row>
    <row r="173" spans="2:102" x14ac:dyDescent="0.25">
      <c r="B173" s="305"/>
      <c r="C173" s="305"/>
      <c r="D173" s="305"/>
      <c r="E173" s="305"/>
      <c r="F173" s="305"/>
      <c r="AU173" s="22"/>
      <c r="AV173" s="23"/>
      <c r="AW173" s="22"/>
      <c r="AX173" s="22"/>
      <c r="AY173" s="23"/>
      <c r="AZ173" s="23"/>
      <c r="BA173" s="64"/>
      <c r="BB173" s="65"/>
      <c r="BC173" s="65"/>
      <c r="BD173" s="65"/>
      <c r="BE173" s="65"/>
      <c r="BF173" s="65"/>
      <c r="BG173" s="65"/>
      <c r="BH173" s="65"/>
      <c r="BI173" s="21"/>
      <c r="BJ173" s="64"/>
      <c r="BK173" s="65"/>
      <c r="BL173" s="65"/>
      <c r="BM173" s="65"/>
      <c r="BN173" s="65"/>
      <c r="BO173" s="65"/>
      <c r="BP173" s="65"/>
      <c r="BQ173" s="65"/>
      <c r="BR173" s="21"/>
      <c r="BS173" s="21"/>
      <c r="BT173" s="24"/>
      <c r="BU173" s="20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306"/>
      <c r="CT173" s="306"/>
      <c r="CU173" s="306"/>
      <c r="CV173" s="306"/>
      <c r="CW173" s="306"/>
      <c r="CX173" s="306"/>
    </row>
    <row r="174" spans="2:102" x14ac:dyDescent="0.25">
      <c r="B174" s="305"/>
      <c r="C174" s="305"/>
      <c r="D174" s="305"/>
      <c r="E174" s="305"/>
      <c r="F174" s="305"/>
      <c r="AU174" s="22"/>
      <c r="AV174" s="23"/>
      <c r="AW174" s="22"/>
      <c r="AX174" s="22"/>
      <c r="AY174" s="23"/>
      <c r="AZ174" s="23"/>
      <c r="BA174" s="64"/>
      <c r="BB174" s="65"/>
      <c r="BC174" s="65"/>
      <c r="BD174" s="65"/>
      <c r="BE174" s="65"/>
      <c r="BF174" s="65"/>
      <c r="BG174" s="65"/>
      <c r="BH174" s="65"/>
      <c r="BI174" s="21"/>
      <c r="BJ174" s="64"/>
      <c r="BK174" s="65"/>
      <c r="BL174" s="65"/>
      <c r="BM174" s="65"/>
      <c r="BN174" s="65"/>
      <c r="BO174" s="65"/>
      <c r="BP174" s="65"/>
      <c r="BQ174" s="65"/>
      <c r="BR174" s="21"/>
      <c r="BS174" s="21"/>
      <c r="BT174" s="24"/>
      <c r="BU174" s="20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306"/>
      <c r="CT174" s="306"/>
      <c r="CU174" s="306"/>
      <c r="CV174" s="306"/>
      <c r="CW174" s="306"/>
      <c r="CX174" s="306"/>
    </row>
    <row r="175" spans="2:102" x14ac:dyDescent="0.25">
      <c r="B175" s="305"/>
      <c r="C175" s="305"/>
      <c r="D175" s="305"/>
      <c r="E175" s="305"/>
      <c r="F175" s="305"/>
      <c r="AU175" s="22"/>
      <c r="AV175" s="23"/>
      <c r="AW175" s="22"/>
      <c r="AX175" s="22"/>
      <c r="AY175" s="23"/>
      <c r="AZ175" s="23"/>
      <c r="BA175" s="64"/>
      <c r="BB175" s="65"/>
      <c r="BC175" s="65"/>
      <c r="BD175" s="65"/>
      <c r="BE175" s="65"/>
      <c r="BF175" s="65"/>
      <c r="BG175" s="65"/>
      <c r="BH175" s="65"/>
      <c r="BI175" s="21"/>
      <c r="BJ175" s="64"/>
      <c r="BK175" s="65"/>
      <c r="BL175" s="65"/>
      <c r="BM175" s="65"/>
      <c r="BN175" s="65"/>
      <c r="BO175" s="65"/>
      <c r="BP175" s="65"/>
      <c r="BQ175" s="65"/>
      <c r="BR175" s="21"/>
      <c r="BS175" s="21"/>
      <c r="BT175" s="24"/>
      <c r="BU175" s="20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306"/>
      <c r="CT175" s="306"/>
      <c r="CU175" s="306"/>
      <c r="CV175" s="306"/>
      <c r="CW175" s="306"/>
      <c r="CX175" s="306"/>
    </row>
    <row r="176" spans="2:102" x14ac:dyDescent="0.25">
      <c r="B176" s="305"/>
      <c r="C176" s="305"/>
      <c r="D176" s="305"/>
      <c r="E176" s="305"/>
      <c r="F176" s="305"/>
      <c r="AU176" s="22"/>
      <c r="AV176" s="23"/>
      <c r="AW176" s="22"/>
      <c r="AX176" s="22"/>
      <c r="AY176" s="23"/>
      <c r="AZ176" s="23"/>
      <c r="BA176" s="64"/>
      <c r="BB176" s="65"/>
      <c r="BC176" s="65"/>
      <c r="BD176" s="65"/>
      <c r="BE176" s="65"/>
      <c r="BF176" s="65"/>
      <c r="BG176" s="65"/>
      <c r="BH176" s="65"/>
      <c r="BI176" s="21"/>
      <c r="BJ176" s="64"/>
      <c r="BK176" s="65"/>
      <c r="BL176" s="65"/>
      <c r="BM176" s="65"/>
      <c r="BN176" s="65"/>
      <c r="BO176" s="65"/>
      <c r="BP176" s="65"/>
      <c r="BQ176" s="65"/>
      <c r="BR176" s="21"/>
      <c r="BS176" s="21"/>
      <c r="BT176" s="24"/>
      <c r="BU176" s="20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306"/>
      <c r="CT176" s="306"/>
      <c r="CU176" s="306"/>
      <c r="CV176" s="306"/>
      <c r="CW176" s="306"/>
      <c r="CX176" s="306"/>
    </row>
    <row r="177" spans="2:102" x14ac:dyDescent="0.25">
      <c r="B177" s="305"/>
      <c r="C177" s="305"/>
      <c r="D177" s="305"/>
      <c r="E177" s="305"/>
      <c r="F177" s="305"/>
      <c r="AU177" s="22"/>
      <c r="AV177" s="23"/>
      <c r="AW177" s="22"/>
      <c r="AX177" s="22"/>
      <c r="AY177" s="23"/>
      <c r="AZ177" s="23"/>
      <c r="BA177" s="64"/>
      <c r="BB177" s="65"/>
      <c r="BC177" s="65"/>
      <c r="BD177" s="65"/>
      <c r="BE177" s="65"/>
      <c r="BF177" s="65"/>
      <c r="BG177" s="65"/>
      <c r="BH177" s="65"/>
      <c r="BI177" s="21"/>
      <c r="BJ177" s="64"/>
      <c r="BK177" s="65"/>
      <c r="BL177" s="65"/>
      <c r="BM177" s="65"/>
      <c r="BN177" s="65"/>
      <c r="BO177" s="65"/>
      <c r="BP177" s="65"/>
      <c r="BQ177" s="65"/>
      <c r="BR177" s="21"/>
      <c r="BS177" s="21"/>
      <c r="BT177" s="24"/>
      <c r="BU177" s="20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306"/>
      <c r="CT177" s="306"/>
      <c r="CU177" s="306"/>
      <c r="CV177" s="306"/>
      <c r="CW177" s="306"/>
      <c r="CX177" s="306"/>
    </row>
    <row r="178" spans="2:102" x14ac:dyDescent="0.25">
      <c r="B178" s="305"/>
      <c r="C178" s="305"/>
      <c r="D178" s="305"/>
      <c r="E178" s="305"/>
      <c r="F178" s="305"/>
      <c r="AU178" s="22"/>
      <c r="AV178" s="23"/>
      <c r="AW178" s="22"/>
      <c r="AX178" s="22"/>
      <c r="AY178" s="23"/>
      <c r="AZ178" s="23"/>
      <c r="BA178" s="64"/>
      <c r="BB178" s="65"/>
      <c r="BC178" s="65"/>
      <c r="BD178" s="65"/>
      <c r="BE178" s="65"/>
      <c r="BF178" s="65"/>
      <c r="BG178" s="65"/>
      <c r="BH178" s="65"/>
      <c r="BI178" s="21"/>
      <c r="BJ178" s="64"/>
      <c r="BK178" s="65"/>
      <c r="BL178" s="65"/>
      <c r="BM178" s="65"/>
      <c r="BN178" s="65"/>
      <c r="BO178" s="65"/>
      <c r="BP178" s="65"/>
      <c r="BQ178" s="65"/>
      <c r="BR178" s="21"/>
      <c r="BS178" s="21"/>
      <c r="BT178" s="24"/>
      <c r="BU178" s="20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306"/>
      <c r="CT178" s="306"/>
      <c r="CU178" s="306"/>
      <c r="CV178" s="306"/>
      <c r="CW178" s="306"/>
      <c r="CX178" s="306"/>
    </row>
    <row r="179" spans="2:102" x14ac:dyDescent="0.25">
      <c r="B179" s="305"/>
      <c r="C179" s="305"/>
      <c r="D179" s="305"/>
      <c r="E179" s="305"/>
      <c r="F179" s="305"/>
      <c r="AU179" s="22"/>
      <c r="AV179" s="23"/>
      <c r="AW179" s="22"/>
      <c r="AX179" s="22"/>
      <c r="AY179" s="23"/>
      <c r="AZ179" s="23"/>
      <c r="BA179" s="64"/>
      <c r="BB179" s="65"/>
      <c r="BC179" s="65"/>
      <c r="BD179" s="65"/>
      <c r="BE179" s="65"/>
      <c r="BF179" s="65"/>
      <c r="BG179" s="65"/>
      <c r="BH179" s="65"/>
      <c r="BI179" s="21"/>
      <c r="BJ179" s="64"/>
      <c r="BK179" s="65"/>
      <c r="BL179" s="65"/>
      <c r="BM179" s="65"/>
      <c r="BN179" s="65"/>
      <c r="BO179" s="65"/>
      <c r="BP179" s="65"/>
      <c r="BQ179" s="65"/>
      <c r="BR179" s="21"/>
      <c r="BS179" s="21"/>
      <c r="BT179" s="24"/>
      <c r="BU179" s="20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306"/>
      <c r="CT179" s="306"/>
      <c r="CU179" s="306"/>
      <c r="CV179" s="306"/>
      <c r="CW179" s="306"/>
      <c r="CX179" s="306"/>
    </row>
    <row r="180" spans="2:102" x14ac:dyDescent="0.25">
      <c r="B180" s="305"/>
      <c r="C180" s="305"/>
      <c r="D180" s="305"/>
      <c r="E180" s="305"/>
      <c r="F180" s="305"/>
      <c r="AU180" s="22"/>
      <c r="AV180" s="23"/>
      <c r="AW180" s="22"/>
      <c r="AX180" s="22"/>
      <c r="AY180" s="23"/>
      <c r="AZ180" s="23"/>
      <c r="BA180" s="64"/>
      <c r="BB180" s="65"/>
      <c r="BC180" s="65"/>
      <c r="BD180" s="65"/>
      <c r="BE180" s="65"/>
      <c r="BF180" s="65"/>
      <c r="BG180" s="65"/>
      <c r="BH180" s="65"/>
      <c r="BI180" s="21"/>
      <c r="BJ180" s="64"/>
      <c r="BK180" s="65"/>
      <c r="BL180" s="65"/>
      <c r="BM180" s="65"/>
      <c r="BN180" s="65"/>
      <c r="BO180" s="65"/>
      <c r="BP180" s="65"/>
      <c r="BQ180" s="65"/>
      <c r="BR180" s="21"/>
      <c r="BS180" s="21"/>
      <c r="BT180" s="24"/>
      <c r="BU180" s="20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306"/>
      <c r="CT180" s="306"/>
      <c r="CU180" s="306"/>
      <c r="CV180" s="306"/>
      <c r="CW180" s="306"/>
      <c r="CX180" s="306"/>
    </row>
    <row r="181" spans="2:102" x14ac:dyDescent="0.25">
      <c r="B181" s="305"/>
      <c r="C181" s="305"/>
      <c r="D181" s="305"/>
      <c r="E181" s="305"/>
      <c r="F181" s="305"/>
      <c r="AU181" s="22"/>
      <c r="AV181" s="23"/>
      <c r="AW181" s="22"/>
      <c r="AX181" s="22"/>
      <c r="AY181" s="23"/>
      <c r="AZ181" s="23"/>
      <c r="BA181" s="64"/>
      <c r="BB181" s="65"/>
      <c r="BC181" s="65"/>
      <c r="BD181" s="65"/>
      <c r="BE181" s="65"/>
      <c r="BF181" s="65"/>
      <c r="BG181" s="65"/>
      <c r="BH181" s="65"/>
      <c r="BI181" s="21"/>
      <c r="BJ181" s="64"/>
      <c r="BK181" s="65"/>
      <c r="BL181" s="65"/>
      <c r="BM181" s="65"/>
      <c r="BN181" s="65"/>
      <c r="BO181" s="65"/>
      <c r="BP181" s="65"/>
      <c r="BQ181" s="65"/>
      <c r="BR181" s="21"/>
      <c r="BS181" s="21"/>
      <c r="BT181" s="24"/>
      <c r="BU181" s="20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306"/>
      <c r="CT181" s="306"/>
      <c r="CU181" s="306"/>
      <c r="CV181" s="306"/>
      <c r="CW181" s="306"/>
      <c r="CX181" s="306"/>
    </row>
    <row r="182" spans="2:102" x14ac:dyDescent="0.25">
      <c r="B182" s="305"/>
      <c r="C182" s="305"/>
      <c r="D182" s="305"/>
      <c r="E182" s="305"/>
      <c r="F182" s="305"/>
      <c r="AU182" s="22"/>
      <c r="AV182" s="23"/>
      <c r="AW182" s="22"/>
      <c r="AX182" s="22"/>
      <c r="AY182" s="23"/>
      <c r="AZ182" s="23"/>
      <c r="BA182" s="64"/>
      <c r="BB182" s="65"/>
      <c r="BC182" s="65"/>
      <c r="BD182" s="65"/>
      <c r="BE182" s="65"/>
      <c r="BF182" s="65"/>
      <c r="BG182" s="65"/>
      <c r="BH182" s="65"/>
      <c r="BI182" s="21"/>
      <c r="BJ182" s="64"/>
      <c r="BK182" s="65"/>
      <c r="BL182" s="65"/>
      <c r="BM182" s="65"/>
      <c r="BN182" s="65"/>
      <c r="BO182" s="65"/>
      <c r="BP182" s="65"/>
      <c r="BQ182" s="65"/>
      <c r="BR182" s="21"/>
      <c r="BS182" s="21"/>
      <c r="BT182" s="24"/>
      <c r="BU182" s="20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306"/>
      <c r="CT182" s="306"/>
      <c r="CU182" s="306"/>
      <c r="CV182" s="306"/>
      <c r="CW182" s="306"/>
      <c r="CX182" s="306"/>
    </row>
    <row r="183" spans="2:102" x14ac:dyDescent="0.25">
      <c r="B183" s="305"/>
      <c r="C183" s="305"/>
      <c r="D183" s="305"/>
      <c r="E183" s="305"/>
      <c r="F183" s="305"/>
      <c r="AU183" s="22"/>
      <c r="AV183" s="23"/>
      <c r="AW183" s="22"/>
      <c r="AX183" s="22"/>
      <c r="AY183" s="23"/>
      <c r="AZ183" s="23"/>
      <c r="BA183" s="64"/>
      <c r="BB183" s="65"/>
      <c r="BC183" s="65"/>
      <c r="BD183" s="65"/>
      <c r="BE183" s="65"/>
      <c r="BF183" s="65"/>
      <c r="BG183" s="65"/>
      <c r="BH183" s="65"/>
      <c r="BI183" s="21"/>
      <c r="BJ183" s="64"/>
      <c r="BK183" s="65"/>
      <c r="BL183" s="65"/>
      <c r="BM183" s="65"/>
      <c r="BN183" s="65"/>
      <c r="BO183" s="65"/>
      <c r="BP183" s="65"/>
      <c r="BQ183" s="65"/>
      <c r="BR183" s="21"/>
      <c r="BS183" s="21"/>
      <c r="BT183" s="24"/>
      <c r="BU183" s="20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306"/>
      <c r="CT183" s="306"/>
      <c r="CU183" s="306"/>
      <c r="CV183" s="306"/>
      <c r="CW183" s="306"/>
      <c r="CX183" s="306"/>
    </row>
    <row r="184" spans="2:102" x14ac:dyDescent="0.25">
      <c r="B184" s="305"/>
      <c r="C184" s="305"/>
      <c r="D184" s="305"/>
      <c r="E184" s="305"/>
      <c r="F184" s="305"/>
      <c r="AU184" s="22"/>
      <c r="AV184" s="23"/>
      <c r="AW184" s="22"/>
      <c r="AX184" s="22"/>
      <c r="AY184" s="23"/>
      <c r="AZ184" s="23"/>
      <c r="BA184" s="64"/>
      <c r="BB184" s="65"/>
      <c r="BC184" s="65"/>
      <c r="BD184" s="65"/>
      <c r="BE184" s="65"/>
      <c r="BF184" s="65"/>
      <c r="BG184" s="65"/>
      <c r="BH184" s="65"/>
      <c r="BI184" s="21"/>
      <c r="BJ184" s="64"/>
      <c r="BK184" s="65"/>
      <c r="BL184" s="65"/>
      <c r="BM184" s="65"/>
      <c r="BN184" s="65"/>
      <c r="BO184" s="65"/>
      <c r="BP184" s="65"/>
      <c r="BQ184" s="65"/>
      <c r="BR184" s="21"/>
      <c r="BS184" s="21"/>
      <c r="BT184" s="24"/>
      <c r="BU184" s="20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306"/>
      <c r="CT184" s="306"/>
      <c r="CU184" s="306"/>
      <c r="CV184" s="306"/>
      <c r="CW184" s="306"/>
      <c r="CX184" s="306"/>
    </row>
    <row r="185" spans="2:102" x14ac:dyDescent="0.25">
      <c r="B185" s="305"/>
      <c r="C185" s="305"/>
      <c r="D185" s="305"/>
      <c r="E185" s="305"/>
      <c r="F185" s="305"/>
      <c r="AU185" s="22"/>
      <c r="AV185" s="23"/>
      <c r="AW185" s="22"/>
      <c r="AX185" s="22"/>
      <c r="AY185" s="23"/>
      <c r="AZ185" s="23"/>
      <c r="BA185" s="64"/>
      <c r="BB185" s="65"/>
      <c r="BC185" s="65"/>
      <c r="BD185" s="65"/>
      <c r="BE185" s="65"/>
      <c r="BF185" s="65"/>
      <c r="BG185" s="65"/>
      <c r="BH185" s="65"/>
      <c r="BI185" s="21"/>
      <c r="BJ185" s="64"/>
      <c r="BK185" s="65"/>
      <c r="BL185" s="65"/>
      <c r="BM185" s="65"/>
      <c r="BN185" s="65"/>
      <c r="BO185" s="65"/>
      <c r="BP185" s="65"/>
      <c r="BQ185" s="65"/>
      <c r="BR185" s="21"/>
      <c r="BS185" s="21"/>
      <c r="BT185" s="24"/>
      <c r="BU185" s="20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306"/>
      <c r="CT185" s="306"/>
      <c r="CU185" s="306"/>
      <c r="CV185" s="306"/>
      <c r="CW185" s="306"/>
      <c r="CX185" s="306"/>
    </row>
    <row r="186" spans="2:102" x14ac:dyDescent="0.25">
      <c r="B186" s="305"/>
      <c r="C186" s="305"/>
      <c r="D186" s="305"/>
      <c r="E186" s="305"/>
      <c r="F186" s="305"/>
      <c r="AU186" s="22"/>
      <c r="AV186" s="23"/>
      <c r="AW186" s="22"/>
      <c r="AX186" s="22"/>
      <c r="AY186" s="23"/>
      <c r="AZ186" s="23"/>
      <c r="BA186" s="64"/>
      <c r="BB186" s="65"/>
      <c r="BC186" s="65"/>
      <c r="BD186" s="65"/>
      <c r="BE186" s="65"/>
      <c r="BF186" s="65"/>
      <c r="BG186" s="65"/>
      <c r="BH186" s="65"/>
      <c r="BI186" s="21"/>
      <c r="BJ186" s="64"/>
      <c r="BK186" s="65"/>
      <c r="BL186" s="65"/>
      <c r="BM186" s="65"/>
      <c r="BN186" s="65"/>
      <c r="BO186" s="65"/>
      <c r="BP186" s="65"/>
      <c r="BQ186" s="65"/>
      <c r="BR186" s="21"/>
      <c r="BS186" s="21"/>
      <c r="BT186" s="24"/>
      <c r="BU186" s="20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306"/>
      <c r="CT186" s="306"/>
      <c r="CU186" s="306"/>
      <c r="CV186" s="306"/>
      <c r="CW186" s="306"/>
      <c r="CX186" s="306"/>
    </row>
    <row r="187" spans="2:102" x14ac:dyDescent="0.25">
      <c r="B187" s="305"/>
      <c r="C187" s="305"/>
      <c r="D187" s="305"/>
      <c r="E187" s="305"/>
      <c r="F187" s="305"/>
      <c r="AU187" s="22"/>
      <c r="AV187" s="23"/>
      <c r="AW187" s="22"/>
      <c r="AX187" s="22"/>
      <c r="AY187" s="23"/>
      <c r="AZ187" s="23"/>
      <c r="BA187" s="64"/>
      <c r="BB187" s="65"/>
      <c r="BC187" s="65"/>
      <c r="BD187" s="65"/>
      <c r="BE187" s="65"/>
      <c r="BF187" s="65"/>
      <c r="BG187" s="65"/>
      <c r="BH187" s="65"/>
      <c r="BI187" s="21"/>
      <c r="BJ187" s="64"/>
      <c r="BK187" s="65"/>
      <c r="BL187" s="65"/>
      <c r="BM187" s="65"/>
      <c r="BN187" s="65"/>
      <c r="BO187" s="65"/>
      <c r="BP187" s="65"/>
      <c r="BQ187" s="65"/>
      <c r="BR187" s="21"/>
      <c r="BS187" s="21"/>
      <c r="BT187" s="24"/>
      <c r="BU187" s="20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6"/>
      <c r="CO187" s="306"/>
      <c r="CP187" s="306"/>
      <c r="CQ187" s="306"/>
      <c r="CR187" s="306"/>
      <c r="CS187" s="306"/>
      <c r="CT187" s="306"/>
      <c r="CU187" s="306"/>
      <c r="CV187" s="306"/>
      <c r="CW187" s="306"/>
      <c r="CX187" s="306"/>
    </row>
    <row r="188" spans="2:102" x14ac:dyDescent="0.25">
      <c r="B188" s="305"/>
      <c r="C188" s="305"/>
      <c r="D188" s="305"/>
      <c r="E188" s="305"/>
      <c r="F188" s="305"/>
      <c r="AU188" s="22"/>
      <c r="AV188" s="23"/>
      <c r="AW188" s="22"/>
      <c r="AX188" s="22"/>
      <c r="AY188" s="23"/>
      <c r="AZ188" s="23"/>
      <c r="BA188" s="64"/>
      <c r="BB188" s="65"/>
      <c r="BC188" s="65"/>
      <c r="BD188" s="65"/>
      <c r="BE188" s="65"/>
      <c r="BF188" s="65"/>
      <c r="BG188" s="65"/>
      <c r="BH188" s="65"/>
      <c r="BI188" s="21"/>
      <c r="BJ188" s="64"/>
      <c r="BK188" s="65"/>
      <c r="BL188" s="65"/>
      <c r="BM188" s="65"/>
      <c r="BN188" s="65"/>
      <c r="BO188" s="65"/>
      <c r="BP188" s="65"/>
      <c r="BQ188" s="65"/>
      <c r="BR188" s="21"/>
      <c r="BS188" s="21"/>
      <c r="BT188" s="24"/>
      <c r="BU188" s="20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6"/>
      <c r="CO188" s="306"/>
      <c r="CP188" s="306"/>
      <c r="CQ188" s="306"/>
      <c r="CR188" s="306"/>
      <c r="CS188" s="306"/>
      <c r="CT188" s="306"/>
      <c r="CU188" s="306"/>
      <c r="CV188" s="306"/>
      <c r="CW188" s="306"/>
      <c r="CX188" s="306"/>
    </row>
    <row r="189" spans="2:102" x14ac:dyDescent="0.25">
      <c r="B189" s="305"/>
      <c r="C189" s="305"/>
      <c r="D189" s="305"/>
      <c r="E189" s="305"/>
      <c r="F189" s="305"/>
      <c r="AU189" s="22"/>
      <c r="AV189" s="23"/>
      <c r="AW189" s="22"/>
      <c r="AX189" s="22"/>
      <c r="AY189" s="23"/>
      <c r="AZ189" s="23"/>
      <c r="BA189" s="64"/>
      <c r="BB189" s="65"/>
      <c r="BC189" s="65"/>
      <c r="BD189" s="65"/>
      <c r="BE189" s="65"/>
      <c r="BF189" s="65"/>
      <c r="BG189" s="65"/>
      <c r="BH189" s="65"/>
      <c r="BI189" s="21"/>
      <c r="BJ189" s="64"/>
      <c r="BK189" s="65"/>
      <c r="BL189" s="65"/>
      <c r="BM189" s="65"/>
      <c r="BN189" s="65"/>
      <c r="BO189" s="65"/>
      <c r="BP189" s="65"/>
      <c r="BQ189" s="65"/>
      <c r="BR189" s="21"/>
      <c r="BS189" s="21"/>
      <c r="BT189" s="24"/>
      <c r="BU189" s="20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6"/>
      <c r="CO189" s="306"/>
      <c r="CP189" s="306"/>
      <c r="CQ189" s="306"/>
      <c r="CR189" s="306"/>
      <c r="CS189" s="306"/>
      <c r="CT189" s="306"/>
      <c r="CU189" s="306"/>
      <c r="CV189" s="306"/>
      <c r="CW189" s="306"/>
      <c r="CX189" s="306"/>
    </row>
    <row r="190" spans="2:102" x14ac:dyDescent="0.25">
      <c r="B190" s="305"/>
      <c r="C190" s="305"/>
      <c r="D190" s="305"/>
      <c r="E190" s="305"/>
      <c r="F190" s="305"/>
      <c r="AU190" s="22"/>
      <c r="AV190" s="23"/>
      <c r="AW190" s="22"/>
      <c r="AX190" s="22"/>
      <c r="AY190" s="23"/>
      <c r="AZ190" s="23"/>
      <c r="BA190" s="64"/>
      <c r="BB190" s="65"/>
      <c r="BC190" s="65"/>
      <c r="BD190" s="65"/>
      <c r="BE190" s="65"/>
      <c r="BF190" s="65"/>
      <c r="BG190" s="65"/>
      <c r="BH190" s="65"/>
      <c r="BI190" s="21"/>
      <c r="BJ190" s="64"/>
      <c r="BK190" s="65"/>
      <c r="BL190" s="65"/>
      <c r="BM190" s="65"/>
      <c r="BN190" s="65"/>
      <c r="BO190" s="65"/>
      <c r="BP190" s="65"/>
      <c r="BQ190" s="65"/>
      <c r="BR190" s="21"/>
      <c r="BS190" s="21"/>
      <c r="BT190" s="24"/>
      <c r="BU190" s="20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306"/>
      <c r="CT190" s="306"/>
      <c r="CU190" s="306"/>
      <c r="CV190" s="306"/>
      <c r="CW190" s="306"/>
      <c r="CX190" s="306"/>
    </row>
    <row r="191" spans="2:102" x14ac:dyDescent="0.25">
      <c r="B191" s="305"/>
      <c r="C191" s="305"/>
      <c r="D191" s="305"/>
      <c r="E191" s="305"/>
      <c r="F191" s="305"/>
      <c r="AU191" s="22"/>
      <c r="AV191" s="23"/>
      <c r="AW191" s="22"/>
      <c r="AX191" s="22"/>
      <c r="AY191" s="23"/>
      <c r="AZ191" s="23"/>
      <c r="BA191" s="64"/>
      <c r="BB191" s="65"/>
      <c r="BC191" s="65"/>
      <c r="BD191" s="65"/>
      <c r="BE191" s="65"/>
      <c r="BF191" s="65"/>
      <c r="BG191" s="65"/>
      <c r="BH191" s="65"/>
      <c r="BI191" s="21"/>
      <c r="BJ191" s="64"/>
      <c r="BK191" s="65"/>
      <c r="BL191" s="65"/>
      <c r="BM191" s="65"/>
      <c r="BN191" s="65"/>
      <c r="BO191" s="65"/>
      <c r="BP191" s="65"/>
      <c r="BQ191" s="65"/>
      <c r="BR191" s="21"/>
      <c r="BS191" s="21"/>
      <c r="BT191" s="24"/>
      <c r="BU191" s="20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6"/>
      <c r="CO191" s="306"/>
      <c r="CP191" s="306"/>
      <c r="CQ191" s="306"/>
      <c r="CR191" s="306"/>
      <c r="CS191" s="306"/>
      <c r="CT191" s="306"/>
      <c r="CU191" s="306"/>
      <c r="CV191" s="306"/>
      <c r="CW191" s="306"/>
      <c r="CX191" s="306"/>
    </row>
    <row r="192" spans="2:102" x14ac:dyDescent="0.25">
      <c r="B192" s="305"/>
      <c r="C192" s="305"/>
      <c r="D192" s="305"/>
      <c r="E192" s="305"/>
      <c r="F192" s="305"/>
      <c r="AU192" s="22"/>
      <c r="AV192" s="23"/>
      <c r="AW192" s="22"/>
      <c r="AX192" s="22"/>
      <c r="AY192" s="23"/>
      <c r="AZ192" s="23"/>
      <c r="BA192" s="64"/>
      <c r="BB192" s="65"/>
      <c r="BC192" s="65"/>
      <c r="BD192" s="65"/>
      <c r="BE192" s="65"/>
      <c r="BF192" s="65"/>
      <c r="BG192" s="65"/>
      <c r="BH192" s="65"/>
      <c r="BI192" s="21"/>
      <c r="BJ192" s="64"/>
      <c r="BK192" s="65"/>
      <c r="BL192" s="65"/>
      <c r="BM192" s="65"/>
      <c r="BN192" s="65"/>
      <c r="BO192" s="65"/>
      <c r="BP192" s="65"/>
      <c r="BQ192" s="65"/>
      <c r="BR192" s="21"/>
      <c r="BS192" s="21"/>
      <c r="BT192" s="24"/>
      <c r="BU192" s="20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06"/>
      <c r="CS192" s="306"/>
      <c r="CT192" s="306"/>
      <c r="CU192" s="306"/>
      <c r="CV192" s="306"/>
      <c r="CW192" s="306"/>
      <c r="CX192" s="306"/>
    </row>
    <row r="193" spans="2:102" x14ac:dyDescent="0.25">
      <c r="B193" s="305"/>
      <c r="C193" s="305"/>
      <c r="D193" s="305"/>
      <c r="E193" s="305"/>
      <c r="F193" s="305"/>
      <c r="AU193" s="22"/>
      <c r="AV193" s="23"/>
      <c r="AW193" s="22"/>
      <c r="AX193" s="22"/>
      <c r="AY193" s="23"/>
      <c r="AZ193" s="23"/>
      <c r="BA193" s="64"/>
      <c r="BB193" s="65"/>
      <c r="BC193" s="65"/>
      <c r="BD193" s="65"/>
      <c r="BE193" s="65"/>
      <c r="BF193" s="65"/>
      <c r="BG193" s="65"/>
      <c r="BH193" s="65"/>
      <c r="BI193" s="21"/>
      <c r="BJ193" s="64"/>
      <c r="BK193" s="65"/>
      <c r="BL193" s="65"/>
      <c r="BM193" s="65"/>
      <c r="BN193" s="65"/>
      <c r="BO193" s="65"/>
      <c r="BP193" s="65"/>
      <c r="BQ193" s="65"/>
      <c r="BR193" s="21"/>
      <c r="BS193" s="21"/>
      <c r="BT193" s="24"/>
      <c r="BU193" s="20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6"/>
      <c r="CO193" s="306"/>
      <c r="CP193" s="306"/>
      <c r="CQ193" s="306"/>
      <c r="CR193" s="306"/>
      <c r="CS193" s="306"/>
      <c r="CT193" s="306"/>
      <c r="CU193" s="306"/>
      <c r="CV193" s="306"/>
      <c r="CW193" s="306"/>
      <c r="CX193" s="306"/>
    </row>
    <row r="194" spans="2:102" x14ac:dyDescent="0.25">
      <c r="B194" s="305"/>
      <c r="C194" s="305"/>
      <c r="D194" s="305"/>
      <c r="E194" s="305"/>
      <c r="F194" s="305"/>
      <c r="AU194" s="22"/>
      <c r="AV194" s="23"/>
      <c r="AW194" s="22"/>
      <c r="AX194" s="22"/>
      <c r="AY194" s="23"/>
      <c r="AZ194" s="23"/>
      <c r="BA194" s="64"/>
      <c r="BB194" s="65"/>
      <c r="BC194" s="65"/>
      <c r="BD194" s="65"/>
      <c r="BE194" s="65"/>
      <c r="BF194" s="65"/>
      <c r="BG194" s="65"/>
      <c r="BH194" s="65"/>
      <c r="BI194" s="21"/>
      <c r="BJ194" s="64"/>
      <c r="BK194" s="65"/>
      <c r="BL194" s="65"/>
      <c r="BM194" s="65"/>
      <c r="BN194" s="65"/>
      <c r="BO194" s="65"/>
      <c r="BP194" s="65"/>
      <c r="BQ194" s="65"/>
      <c r="BR194" s="21"/>
      <c r="BS194" s="21"/>
      <c r="BT194" s="24"/>
      <c r="BU194" s="20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06"/>
      <c r="CS194" s="306"/>
      <c r="CT194" s="306"/>
      <c r="CU194" s="306"/>
      <c r="CV194" s="306"/>
      <c r="CW194" s="306"/>
      <c r="CX194" s="306"/>
    </row>
    <row r="195" spans="2:102" x14ac:dyDescent="0.25">
      <c r="B195" s="305"/>
      <c r="C195" s="305"/>
      <c r="D195" s="305"/>
      <c r="E195" s="305"/>
      <c r="F195" s="305"/>
      <c r="AU195" s="22"/>
      <c r="AV195" s="23"/>
      <c r="AW195" s="22"/>
      <c r="AX195" s="22"/>
      <c r="AY195" s="23"/>
      <c r="AZ195" s="23"/>
      <c r="BA195" s="64"/>
      <c r="BB195" s="65"/>
      <c r="BC195" s="65"/>
      <c r="BD195" s="65"/>
      <c r="BE195" s="65"/>
      <c r="BF195" s="65"/>
      <c r="BG195" s="65"/>
      <c r="BH195" s="65"/>
      <c r="BI195" s="21"/>
      <c r="BJ195" s="64"/>
      <c r="BK195" s="65"/>
      <c r="BL195" s="65"/>
      <c r="BM195" s="65"/>
      <c r="BN195" s="65"/>
      <c r="BO195" s="65"/>
      <c r="BP195" s="65"/>
      <c r="BQ195" s="65"/>
      <c r="BR195" s="21"/>
      <c r="BS195" s="21"/>
      <c r="BT195" s="24"/>
      <c r="BU195" s="20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6"/>
      <c r="CO195" s="306"/>
      <c r="CP195" s="306"/>
      <c r="CQ195" s="306"/>
      <c r="CR195" s="306"/>
      <c r="CS195" s="306"/>
      <c r="CT195" s="306"/>
      <c r="CU195" s="306"/>
      <c r="CV195" s="306"/>
      <c r="CW195" s="306"/>
      <c r="CX195" s="306"/>
    </row>
    <row r="196" spans="2:102" x14ac:dyDescent="0.25">
      <c r="B196" s="305"/>
      <c r="C196" s="305"/>
      <c r="D196" s="305"/>
      <c r="E196" s="305"/>
      <c r="F196" s="305"/>
      <c r="AU196" s="22"/>
      <c r="AV196" s="23"/>
      <c r="AW196" s="22"/>
      <c r="AX196" s="22"/>
      <c r="AY196" s="23"/>
      <c r="AZ196" s="23"/>
      <c r="BA196" s="64"/>
      <c r="BB196" s="65"/>
      <c r="BC196" s="65"/>
      <c r="BD196" s="65"/>
      <c r="BE196" s="65"/>
      <c r="BF196" s="65"/>
      <c r="BG196" s="65"/>
      <c r="BH196" s="65"/>
      <c r="BI196" s="21"/>
      <c r="BJ196" s="64"/>
      <c r="BK196" s="65"/>
      <c r="BL196" s="65"/>
      <c r="BM196" s="65"/>
      <c r="BN196" s="65"/>
      <c r="BO196" s="65"/>
      <c r="BP196" s="65"/>
      <c r="BQ196" s="65"/>
      <c r="BR196" s="21"/>
      <c r="BS196" s="21"/>
      <c r="BT196" s="24"/>
      <c r="BU196" s="20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6"/>
      <c r="CO196" s="306"/>
      <c r="CP196" s="306"/>
      <c r="CQ196" s="306"/>
      <c r="CR196" s="306"/>
      <c r="CS196" s="306"/>
      <c r="CT196" s="306"/>
      <c r="CU196" s="306"/>
      <c r="CV196" s="306"/>
      <c r="CW196" s="306"/>
      <c r="CX196" s="306"/>
    </row>
    <row r="197" spans="2:102" x14ac:dyDescent="0.25">
      <c r="B197" s="305"/>
      <c r="C197" s="305"/>
      <c r="D197" s="305"/>
      <c r="E197" s="305"/>
      <c r="F197" s="305"/>
      <c r="AU197" s="22"/>
      <c r="AV197" s="23"/>
      <c r="AW197" s="22"/>
      <c r="AX197" s="22"/>
      <c r="AY197" s="23"/>
      <c r="AZ197" s="23"/>
      <c r="BA197" s="64"/>
      <c r="BB197" s="65"/>
      <c r="BC197" s="65"/>
      <c r="BD197" s="65"/>
      <c r="BE197" s="65"/>
      <c r="BF197" s="65"/>
      <c r="BG197" s="65"/>
      <c r="BH197" s="65"/>
      <c r="BI197" s="21"/>
      <c r="BJ197" s="64"/>
      <c r="BK197" s="65"/>
      <c r="BL197" s="65"/>
      <c r="BM197" s="65"/>
      <c r="BN197" s="65"/>
      <c r="BO197" s="65"/>
      <c r="BP197" s="65"/>
      <c r="BQ197" s="65"/>
      <c r="BR197" s="21"/>
      <c r="BS197" s="21"/>
      <c r="BT197" s="24"/>
      <c r="BU197" s="20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6"/>
      <c r="CO197" s="306"/>
      <c r="CP197" s="306"/>
      <c r="CQ197" s="306"/>
      <c r="CR197" s="306"/>
      <c r="CS197" s="306"/>
      <c r="CT197" s="306"/>
      <c r="CU197" s="306"/>
      <c r="CV197" s="306"/>
      <c r="CW197" s="306"/>
      <c r="CX197" s="306"/>
    </row>
    <row r="198" spans="2:102" x14ac:dyDescent="0.25">
      <c r="B198" s="305"/>
      <c r="C198" s="305"/>
      <c r="D198" s="305"/>
      <c r="E198" s="305"/>
      <c r="F198" s="305"/>
      <c r="AU198" s="22"/>
      <c r="AV198" s="23"/>
      <c r="AW198" s="22"/>
      <c r="AX198" s="22"/>
      <c r="AY198" s="23"/>
      <c r="AZ198" s="23"/>
      <c r="BA198" s="64"/>
      <c r="BB198" s="65"/>
      <c r="BC198" s="65"/>
      <c r="BD198" s="65"/>
      <c r="BE198" s="65"/>
      <c r="BF198" s="65"/>
      <c r="BG198" s="65"/>
      <c r="BH198" s="65"/>
      <c r="BI198" s="21"/>
      <c r="BJ198" s="64"/>
      <c r="BK198" s="65"/>
      <c r="BL198" s="65"/>
      <c r="BM198" s="65"/>
      <c r="BN198" s="65"/>
      <c r="BO198" s="65"/>
      <c r="BP198" s="65"/>
      <c r="BQ198" s="65"/>
      <c r="BR198" s="21"/>
      <c r="BS198" s="21"/>
      <c r="BT198" s="24"/>
      <c r="BU198" s="20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6"/>
      <c r="CO198" s="306"/>
      <c r="CP198" s="306"/>
      <c r="CQ198" s="306"/>
      <c r="CR198" s="306"/>
      <c r="CS198" s="306"/>
      <c r="CT198" s="306"/>
      <c r="CU198" s="306"/>
      <c r="CV198" s="306"/>
      <c r="CW198" s="306"/>
      <c r="CX198" s="306"/>
    </row>
    <row r="199" spans="2:102" x14ac:dyDescent="0.25">
      <c r="B199" s="305"/>
      <c r="C199" s="305"/>
      <c r="D199" s="305"/>
      <c r="E199" s="305"/>
      <c r="F199" s="305"/>
      <c r="AU199" s="22"/>
      <c r="AV199" s="23"/>
      <c r="AW199" s="22"/>
      <c r="AX199" s="22"/>
      <c r="AY199" s="23"/>
      <c r="AZ199" s="23"/>
      <c r="BA199" s="64"/>
      <c r="BB199" s="65"/>
      <c r="BC199" s="65"/>
      <c r="BD199" s="65"/>
      <c r="BE199" s="65"/>
      <c r="BF199" s="65"/>
      <c r="BG199" s="65"/>
      <c r="BH199" s="65"/>
      <c r="BI199" s="21"/>
      <c r="BJ199" s="64"/>
      <c r="BK199" s="65"/>
      <c r="BL199" s="65"/>
      <c r="BM199" s="65"/>
      <c r="BN199" s="65"/>
      <c r="BO199" s="65"/>
      <c r="BP199" s="65"/>
      <c r="BQ199" s="65"/>
      <c r="BR199" s="21"/>
      <c r="BS199" s="21"/>
      <c r="BT199" s="24"/>
      <c r="BU199" s="20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6"/>
      <c r="CR199" s="306"/>
      <c r="CS199" s="306"/>
      <c r="CT199" s="306"/>
      <c r="CU199" s="306"/>
      <c r="CV199" s="306"/>
      <c r="CW199" s="306"/>
      <c r="CX199" s="306"/>
    </row>
    <row r="200" spans="2:102" x14ac:dyDescent="0.25">
      <c r="B200" s="305"/>
      <c r="C200" s="305"/>
      <c r="D200" s="305"/>
      <c r="E200" s="305"/>
      <c r="F200" s="305"/>
      <c r="AU200" s="22"/>
      <c r="AV200" s="23"/>
      <c r="AW200" s="22"/>
      <c r="AX200" s="22"/>
      <c r="AY200" s="23"/>
      <c r="AZ200" s="23"/>
      <c r="BA200" s="64"/>
      <c r="BB200" s="65"/>
      <c r="BC200" s="65"/>
      <c r="BD200" s="65"/>
      <c r="BE200" s="65"/>
      <c r="BF200" s="65"/>
      <c r="BG200" s="65"/>
      <c r="BH200" s="65"/>
      <c r="BI200" s="21"/>
      <c r="BJ200" s="64"/>
      <c r="BK200" s="65"/>
      <c r="BL200" s="65"/>
      <c r="BM200" s="65"/>
      <c r="BN200" s="65"/>
      <c r="BO200" s="65"/>
      <c r="BP200" s="65"/>
      <c r="BQ200" s="65"/>
      <c r="BR200" s="21"/>
      <c r="BS200" s="21"/>
      <c r="BT200" s="24"/>
      <c r="BU200" s="20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6"/>
      <c r="CO200" s="306"/>
      <c r="CP200" s="306"/>
      <c r="CQ200" s="306"/>
      <c r="CR200" s="306"/>
      <c r="CS200" s="306"/>
      <c r="CT200" s="306"/>
      <c r="CU200" s="306"/>
      <c r="CV200" s="306"/>
      <c r="CW200" s="306"/>
      <c r="CX200" s="306"/>
    </row>
    <row r="201" spans="2:102" x14ac:dyDescent="0.25">
      <c r="B201" s="305"/>
      <c r="C201" s="305"/>
      <c r="D201" s="305"/>
      <c r="E201" s="305"/>
      <c r="F201" s="305"/>
      <c r="AU201" s="22"/>
      <c r="AV201" s="23"/>
      <c r="AW201" s="22"/>
      <c r="AX201" s="22"/>
      <c r="AY201" s="23"/>
      <c r="AZ201" s="23"/>
      <c r="BA201" s="64"/>
      <c r="BB201" s="65"/>
      <c r="BC201" s="65"/>
      <c r="BD201" s="65"/>
      <c r="BE201" s="65"/>
      <c r="BF201" s="65"/>
      <c r="BG201" s="65"/>
      <c r="BH201" s="65"/>
      <c r="BI201" s="21"/>
      <c r="BJ201" s="64"/>
      <c r="BK201" s="65"/>
      <c r="BL201" s="65"/>
      <c r="BM201" s="65"/>
      <c r="BN201" s="65"/>
      <c r="BO201" s="65"/>
      <c r="BP201" s="65"/>
      <c r="BQ201" s="65"/>
      <c r="BR201" s="21"/>
      <c r="BS201" s="21"/>
      <c r="BT201" s="24"/>
      <c r="BU201" s="20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6"/>
      <c r="CO201" s="306"/>
      <c r="CP201" s="306"/>
      <c r="CQ201" s="306"/>
      <c r="CR201" s="306"/>
      <c r="CS201" s="306"/>
      <c r="CT201" s="306"/>
      <c r="CU201" s="306"/>
      <c r="CV201" s="306"/>
      <c r="CW201" s="306"/>
      <c r="CX201" s="306"/>
    </row>
    <row r="202" spans="2:102" x14ac:dyDescent="0.25">
      <c r="B202" s="305"/>
      <c r="C202" s="305"/>
      <c r="D202" s="305"/>
      <c r="E202" s="305"/>
      <c r="F202" s="305"/>
      <c r="AU202" s="22"/>
      <c r="AV202" s="23"/>
      <c r="AW202" s="22"/>
      <c r="AX202" s="22"/>
      <c r="AY202" s="23"/>
      <c r="AZ202" s="23"/>
      <c r="BA202" s="64"/>
      <c r="BB202" s="65"/>
      <c r="BC202" s="65"/>
      <c r="BD202" s="65"/>
      <c r="BE202" s="65"/>
      <c r="BF202" s="65"/>
      <c r="BG202" s="65"/>
      <c r="BH202" s="65"/>
      <c r="BI202" s="21"/>
      <c r="BJ202" s="64"/>
      <c r="BK202" s="65"/>
      <c r="BL202" s="65"/>
      <c r="BM202" s="65"/>
      <c r="BN202" s="65"/>
      <c r="BO202" s="65"/>
      <c r="BP202" s="65"/>
      <c r="BQ202" s="65"/>
      <c r="BR202" s="21"/>
      <c r="BS202" s="21"/>
      <c r="BT202" s="24"/>
      <c r="BU202" s="20"/>
      <c r="BV202" s="306"/>
      <c r="BW202" s="306"/>
      <c r="BX202" s="306"/>
      <c r="BY202" s="306"/>
      <c r="BZ202" s="306"/>
      <c r="CA202" s="306"/>
      <c r="CB202" s="306"/>
      <c r="CC202" s="306"/>
      <c r="CD202" s="306"/>
      <c r="CE202" s="306"/>
      <c r="CF202" s="306"/>
      <c r="CG202" s="306"/>
      <c r="CH202" s="306"/>
      <c r="CI202" s="306"/>
      <c r="CJ202" s="306"/>
      <c r="CK202" s="306"/>
      <c r="CL202" s="306"/>
      <c r="CM202" s="306"/>
      <c r="CN202" s="306"/>
      <c r="CO202" s="306"/>
      <c r="CP202" s="306"/>
      <c r="CQ202" s="306"/>
      <c r="CR202" s="306"/>
      <c r="CS202" s="306"/>
      <c r="CT202" s="306"/>
      <c r="CU202" s="306"/>
      <c r="CV202" s="306"/>
      <c r="CW202" s="306"/>
      <c r="CX202" s="306"/>
    </row>
    <row r="203" spans="2:102" x14ac:dyDescent="0.25">
      <c r="B203" s="305"/>
      <c r="C203" s="305"/>
      <c r="D203" s="305"/>
      <c r="E203" s="305"/>
      <c r="F203" s="305"/>
      <c r="AU203" s="22"/>
      <c r="AV203" s="23"/>
      <c r="AW203" s="22"/>
      <c r="AX203" s="22"/>
      <c r="AY203" s="23"/>
      <c r="AZ203" s="23"/>
      <c r="BA203" s="64"/>
      <c r="BB203" s="65"/>
      <c r="BC203" s="65"/>
      <c r="BD203" s="65"/>
      <c r="BE203" s="65"/>
      <c r="BF203" s="65"/>
      <c r="BG203" s="65"/>
      <c r="BH203" s="65"/>
      <c r="BI203" s="21"/>
      <c r="BJ203" s="64"/>
      <c r="BK203" s="65"/>
      <c r="BL203" s="65"/>
      <c r="BM203" s="65"/>
      <c r="BN203" s="65"/>
      <c r="BO203" s="65"/>
      <c r="BP203" s="65"/>
      <c r="BQ203" s="65"/>
      <c r="BR203" s="21"/>
      <c r="BS203" s="21"/>
      <c r="BT203" s="24"/>
      <c r="BU203" s="20"/>
      <c r="BV203" s="306"/>
      <c r="BW203" s="306"/>
      <c r="BX203" s="306"/>
      <c r="BY203" s="306"/>
      <c r="BZ203" s="306"/>
      <c r="CA203" s="306"/>
      <c r="CB203" s="306"/>
      <c r="CC203" s="306"/>
      <c r="CD203" s="306"/>
      <c r="CE203" s="306"/>
      <c r="CF203" s="306"/>
      <c r="CG203" s="306"/>
      <c r="CH203" s="306"/>
      <c r="CI203" s="306"/>
      <c r="CJ203" s="306"/>
      <c r="CK203" s="306"/>
      <c r="CL203" s="306"/>
      <c r="CM203" s="306"/>
      <c r="CN203" s="306"/>
      <c r="CO203" s="306"/>
      <c r="CP203" s="306"/>
      <c r="CQ203" s="306"/>
      <c r="CR203" s="306"/>
      <c r="CS203" s="306"/>
      <c r="CT203" s="306"/>
      <c r="CU203" s="306"/>
      <c r="CV203" s="306"/>
      <c r="CW203" s="306"/>
      <c r="CX203" s="306"/>
    </row>
    <row r="204" spans="2:102" x14ac:dyDescent="0.25">
      <c r="B204" s="305"/>
      <c r="C204" s="305"/>
      <c r="D204" s="305"/>
      <c r="E204" s="305"/>
      <c r="F204" s="305"/>
      <c r="AU204" s="22"/>
      <c r="AV204" s="23"/>
      <c r="AW204" s="22"/>
      <c r="AX204" s="22"/>
      <c r="AY204" s="23"/>
      <c r="AZ204" s="23"/>
      <c r="BA204" s="64"/>
      <c r="BB204" s="65"/>
      <c r="BC204" s="65"/>
      <c r="BD204" s="65"/>
      <c r="BE204" s="65"/>
      <c r="BF204" s="65"/>
      <c r="BG204" s="65"/>
      <c r="BH204" s="65"/>
      <c r="BI204" s="21"/>
      <c r="BJ204" s="64"/>
      <c r="BK204" s="65"/>
      <c r="BL204" s="65"/>
      <c r="BM204" s="65"/>
      <c r="BN204" s="65"/>
      <c r="BO204" s="65"/>
      <c r="BP204" s="65"/>
      <c r="BQ204" s="65"/>
      <c r="BR204" s="21"/>
      <c r="BS204" s="21"/>
      <c r="BT204" s="24"/>
      <c r="BU204" s="20"/>
      <c r="BV204" s="306"/>
      <c r="BW204" s="306"/>
      <c r="BX204" s="306"/>
      <c r="BY204" s="306"/>
      <c r="BZ204" s="306"/>
      <c r="CA204" s="306"/>
      <c r="CB204" s="306"/>
      <c r="CC204" s="306"/>
      <c r="CD204" s="306"/>
      <c r="CE204" s="306"/>
      <c r="CF204" s="306"/>
      <c r="CG204" s="306"/>
      <c r="CH204" s="306"/>
      <c r="CI204" s="306"/>
      <c r="CJ204" s="306"/>
      <c r="CK204" s="306"/>
      <c r="CL204" s="306"/>
      <c r="CM204" s="306"/>
      <c r="CN204" s="306"/>
      <c r="CO204" s="306"/>
      <c r="CP204" s="306"/>
      <c r="CQ204" s="306"/>
      <c r="CR204" s="306"/>
      <c r="CS204" s="306"/>
      <c r="CT204" s="306"/>
      <c r="CU204" s="306"/>
      <c r="CV204" s="306"/>
      <c r="CW204" s="306"/>
      <c r="CX204" s="306"/>
    </row>
    <row r="205" spans="2:102" x14ac:dyDescent="0.25">
      <c r="B205" s="305"/>
      <c r="C205" s="305"/>
      <c r="D205" s="305"/>
      <c r="E205" s="305"/>
      <c r="F205" s="305"/>
      <c r="AU205" s="22"/>
      <c r="AV205" s="23"/>
      <c r="AW205" s="22"/>
      <c r="AX205" s="22"/>
      <c r="AY205" s="23"/>
      <c r="AZ205" s="23"/>
      <c r="BA205" s="64"/>
      <c r="BB205" s="65"/>
      <c r="BC205" s="65"/>
      <c r="BD205" s="65"/>
      <c r="BE205" s="65"/>
      <c r="BF205" s="65"/>
      <c r="BG205" s="65"/>
      <c r="BH205" s="65"/>
      <c r="BI205" s="21"/>
      <c r="BJ205" s="64"/>
      <c r="BK205" s="65"/>
      <c r="BL205" s="65"/>
      <c r="BM205" s="65"/>
      <c r="BN205" s="65"/>
      <c r="BO205" s="65"/>
      <c r="BP205" s="65"/>
      <c r="BQ205" s="65"/>
      <c r="BR205" s="21"/>
      <c r="BS205" s="21"/>
      <c r="BT205" s="24"/>
      <c r="BU205" s="20"/>
      <c r="BV205" s="306"/>
      <c r="BW205" s="306"/>
      <c r="BX205" s="306"/>
      <c r="BY205" s="306"/>
      <c r="BZ205" s="306"/>
      <c r="CA205" s="306"/>
      <c r="CB205" s="306"/>
      <c r="CC205" s="306"/>
      <c r="CD205" s="306"/>
      <c r="CE205" s="306"/>
      <c r="CF205" s="306"/>
      <c r="CG205" s="306"/>
      <c r="CH205" s="306"/>
      <c r="CI205" s="306"/>
      <c r="CJ205" s="306"/>
      <c r="CK205" s="306"/>
      <c r="CL205" s="306"/>
      <c r="CM205" s="306"/>
      <c r="CN205" s="306"/>
      <c r="CO205" s="306"/>
      <c r="CP205" s="306"/>
      <c r="CQ205" s="306"/>
      <c r="CR205" s="306"/>
      <c r="CS205" s="306"/>
      <c r="CT205" s="306"/>
      <c r="CU205" s="306"/>
      <c r="CV205" s="306"/>
      <c r="CW205" s="306"/>
      <c r="CX205" s="306"/>
    </row>
    <row r="206" spans="2:102" x14ac:dyDescent="0.25">
      <c r="B206" s="305"/>
      <c r="C206" s="305"/>
      <c r="D206" s="305"/>
      <c r="E206" s="305"/>
      <c r="F206" s="305"/>
      <c r="AU206" s="22"/>
      <c r="AV206" s="23"/>
      <c r="AW206" s="22"/>
      <c r="AX206" s="22"/>
      <c r="AY206" s="23"/>
      <c r="AZ206" s="23"/>
      <c r="BA206" s="64"/>
      <c r="BB206" s="65"/>
      <c r="BC206" s="65"/>
      <c r="BD206" s="65"/>
      <c r="BE206" s="65"/>
      <c r="BF206" s="65"/>
      <c r="BG206" s="65"/>
      <c r="BH206" s="65"/>
      <c r="BI206" s="21"/>
      <c r="BJ206" s="64"/>
      <c r="BK206" s="65"/>
      <c r="BL206" s="65"/>
      <c r="BM206" s="65"/>
      <c r="BN206" s="65"/>
      <c r="BO206" s="65"/>
      <c r="BP206" s="65"/>
      <c r="BQ206" s="65"/>
      <c r="BR206" s="21"/>
      <c r="BS206" s="21"/>
      <c r="BT206" s="24"/>
      <c r="BU206" s="20"/>
      <c r="BV206" s="306"/>
      <c r="BW206" s="306"/>
      <c r="BX206" s="306"/>
      <c r="BY206" s="306"/>
      <c r="BZ206" s="306"/>
      <c r="CA206" s="306"/>
      <c r="CB206" s="306"/>
      <c r="CC206" s="306"/>
      <c r="CD206" s="306"/>
      <c r="CE206" s="306"/>
      <c r="CF206" s="306"/>
      <c r="CG206" s="306"/>
      <c r="CH206" s="306"/>
      <c r="CI206" s="306"/>
      <c r="CJ206" s="306"/>
      <c r="CK206" s="306"/>
      <c r="CL206" s="306"/>
      <c r="CM206" s="306"/>
      <c r="CN206" s="306"/>
      <c r="CO206" s="306"/>
      <c r="CP206" s="306"/>
      <c r="CQ206" s="306"/>
      <c r="CR206" s="306"/>
      <c r="CS206" s="306"/>
      <c r="CT206" s="306"/>
      <c r="CU206" s="306"/>
      <c r="CV206" s="306"/>
      <c r="CW206" s="306"/>
      <c r="CX206" s="306"/>
    </row>
    <row r="207" spans="2:102" x14ac:dyDescent="0.25">
      <c r="B207" s="305"/>
      <c r="C207" s="305"/>
      <c r="D207" s="305"/>
      <c r="E207" s="305"/>
      <c r="F207" s="305"/>
      <c r="AU207" s="22"/>
      <c r="AV207" s="23"/>
      <c r="AW207" s="22"/>
      <c r="AX207" s="22"/>
      <c r="AY207" s="23"/>
      <c r="AZ207" s="23"/>
      <c r="BA207" s="64"/>
      <c r="BB207" s="65"/>
      <c r="BC207" s="65"/>
      <c r="BD207" s="65"/>
      <c r="BE207" s="65"/>
      <c r="BF207" s="65"/>
      <c r="BG207" s="65"/>
      <c r="BH207" s="65"/>
      <c r="BI207" s="21"/>
      <c r="BJ207" s="64"/>
      <c r="BK207" s="65"/>
      <c r="BL207" s="65"/>
      <c r="BM207" s="65"/>
      <c r="BN207" s="65"/>
      <c r="BO207" s="65"/>
      <c r="BP207" s="65"/>
      <c r="BQ207" s="65"/>
      <c r="BR207" s="21"/>
      <c r="BS207" s="21"/>
      <c r="BT207" s="24"/>
      <c r="BU207" s="20"/>
      <c r="BV207" s="306"/>
      <c r="BW207" s="306"/>
      <c r="BX207" s="306"/>
      <c r="BY207" s="306"/>
      <c r="BZ207" s="306"/>
      <c r="CA207" s="306"/>
      <c r="CB207" s="306"/>
      <c r="CC207" s="306"/>
      <c r="CD207" s="306"/>
      <c r="CE207" s="306"/>
      <c r="CF207" s="306"/>
      <c r="CG207" s="306"/>
      <c r="CH207" s="306"/>
      <c r="CI207" s="306"/>
      <c r="CJ207" s="306"/>
      <c r="CK207" s="306"/>
      <c r="CL207" s="306"/>
      <c r="CM207" s="306"/>
      <c r="CN207" s="306"/>
      <c r="CO207" s="306"/>
      <c r="CP207" s="306"/>
      <c r="CQ207" s="306"/>
      <c r="CR207" s="306"/>
      <c r="CS207" s="306"/>
      <c r="CT207" s="306"/>
      <c r="CU207" s="306"/>
      <c r="CV207" s="306"/>
      <c r="CW207" s="306"/>
      <c r="CX207" s="306"/>
    </row>
    <row r="208" spans="2:102" x14ac:dyDescent="0.25">
      <c r="B208" s="305"/>
      <c r="C208" s="305"/>
      <c r="D208" s="305"/>
      <c r="E208" s="305"/>
      <c r="F208" s="305"/>
      <c r="AU208" s="22"/>
      <c r="AV208" s="23"/>
      <c r="AW208" s="22"/>
      <c r="AX208" s="22"/>
      <c r="AY208" s="23"/>
      <c r="AZ208" s="23"/>
      <c r="BA208" s="64"/>
      <c r="BB208" s="65"/>
      <c r="BC208" s="65"/>
      <c r="BD208" s="65"/>
      <c r="BE208" s="65"/>
      <c r="BF208" s="65"/>
      <c r="BG208" s="65"/>
      <c r="BH208" s="65"/>
      <c r="BI208" s="21"/>
      <c r="BJ208" s="64"/>
      <c r="BK208" s="65"/>
      <c r="BL208" s="65"/>
      <c r="BM208" s="65"/>
      <c r="BN208" s="65"/>
      <c r="BO208" s="65"/>
      <c r="BP208" s="65"/>
      <c r="BQ208" s="65"/>
      <c r="BR208" s="21"/>
      <c r="BS208" s="21"/>
      <c r="BT208" s="24"/>
      <c r="BU208" s="20"/>
      <c r="BV208" s="306"/>
      <c r="BW208" s="306"/>
      <c r="BX208" s="306"/>
      <c r="BY208" s="306"/>
      <c r="BZ208" s="306"/>
      <c r="CA208" s="306"/>
      <c r="CB208" s="306"/>
      <c r="CC208" s="306"/>
      <c r="CD208" s="306"/>
      <c r="CE208" s="306"/>
      <c r="CF208" s="306"/>
      <c r="CG208" s="306"/>
      <c r="CH208" s="306"/>
      <c r="CI208" s="306"/>
      <c r="CJ208" s="306"/>
      <c r="CK208" s="306"/>
      <c r="CL208" s="306"/>
      <c r="CM208" s="306"/>
      <c r="CN208" s="306"/>
      <c r="CO208" s="306"/>
      <c r="CP208" s="306"/>
      <c r="CQ208" s="306"/>
      <c r="CR208" s="306"/>
      <c r="CS208" s="306"/>
      <c r="CT208" s="306"/>
      <c r="CU208" s="306"/>
      <c r="CV208" s="306"/>
      <c r="CW208" s="306"/>
      <c r="CX208" s="306"/>
    </row>
    <row r="209" spans="2:102" x14ac:dyDescent="0.25">
      <c r="B209" s="305"/>
      <c r="C209" s="305"/>
      <c r="D209" s="305"/>
      <c r="E209" s="305"/>
      <c r="F209" s="305"/>
      <c r="AU209" s="22"/>
      <c r="AV209" s="23"/>
      <c r="AW209" s="22"/>
      <c r="AX209" s="22"/>
      <c r="AY209" s="23"/>
      <c r="AZ209" s="23"/>
      <c r="BA209" s="64"/>
      <c r="BB209" s="65"/>
      <c r="BC209" s="65"/>
      <c r="BD209" s="65"/>
      <c r="BE209" s="65"/>
      <c r="BF209" s="65"/>
      <c r="BG209" s="65"/>
      <c r="BH209" s="65"/>
      <c r="BI209" s="21"/>
      <c r="BJ209" s="64"/>
      <c r="BK209" s="65"/>
      <c r="BL209" s="65"/>
      <c r="BM209" s="65"/>
      <c r="BN209" s="65"/>
      <c r="BO209" s="65"/>
      <c r="BP209" s="65"/>
      <c r="BQ209" s="65"/>
      <c r="BR209" s="21"/>
      <c r="BS209" s="21"/>
      <c r="BT209" s="24"/>
      <c r="BU209" s="20"/>
      <c r="BV209" s="306"/>
      <c r="BW209" s="306"/>
      <c r="BX209" s="306"/>
      <c r="BY209" s="306"/>
      <c r="BZ209" s="306"/>
      <c r="CA209" s="306"/>
      <c r="CB209" s="306"/>
      <c r="CC209" s="306"/>
      <c r="CD209" s="306"/>
      <c r="CE209" s="306"/>
      <c r="CF209" s="306"/>
      <c r="CG209" s="306"/>
      <c r="CH209" s="306"/>
      <c r="CI209" s="306"/>
      <c r="CJ209" s="306"/>
      <c r="CK209" s="306"/>
      <c r="CL209" s="306"/>
      <c r="CM209" s="306"/>
      <c r="CN209" s="306"/>
      <c r="CO209" s="306"/>
      <c r="CP209" s="306"/>
      <c r="CQ209" s="306"/>
      <c r="CR209" s="306"/>
      <c r="CS209" s="306"/>
      <c r="CT209" s="306"/>
      <c r="CU209" s="306"/>
      <c r="CV209" s="306"/>
      <c r="CW209" s="306"/>
      <c r="CX209" s="306"/>
    </row>
    <row r="210" spans="2:102" x14ac:dyDescent="0.25">
      <c r="B210" s="305"/>
      <c r="C210" s="305"/>
      <c r="D210" s="305"/>
      <c r="E210" s="305"/>
      <c r="F210" s="305"/>
      <c r="AU210" s="22"/>
      <c r="AV210" s="23"/>
      <c r="AW210" s="22"/>
      <c r="AX210" s="22"/>
      <c r="AY210" s="23"/>
      <c r="AZ210" s="23"/>
      <c r="BA210" s="64"/>
      <c r="BB210" s="65"/>
      <c r="BC210" s="65"/>
      <c r="BD210" s="65"/>
      <c r="BE210" s="65"/>
      <c r="BF210" s="65"/>
      <c r="BG210" s="65"/>
      <c r="BH210" s="65"/>
      <c r="BI210" s="21"/>
      <c r="BJ210" s="64"/>
      <c r="BK210" s="65"/>
      <c r="BL210" s="65"/>
      <c r="BM210" s="65"/>
      <c r="BN210" s="65"/>
      <c r="BO210" s="65"/>
      <c r="BP210" s="65"/>
      <c r="BQ210" s="65"/>
      <c r="BR210" s="21"/>
      <c r="BS210" s="21"/>
      <c r="BT210" s="24"/>
      <c r="BU210" s="20"/>
      <c r="BV210" s="306"/>
      <c r="BW210" s="306"/>
      <c r="BX210" s="306"/>
      <c r="BY210" s="306"/>
      <c r="BZ210" s="306"/>
      <c r="CA210" s="306"/>
      <c r="CB210" s="306"/>
      <c r="CC210" s="306"/>
      <c r="CD210" s="306"/>
      <c r="CE210" s="306"/>
      <c r="CF210" s="306"/>
      <c r="CG210" s="306"/>
      <c r="CH210" s="306"/>
      <c r="CI210" s="306"/>
      <c r="CJ210" s="306"/>
      <c r="CK210" s="306"/>
      <c r="CL210" s="306"/>
      <c r="CM210" s="306"/>
      <c r="CN210" s="306"/>
      <c r="CO210" s="306"/>
      <c r="CP210" s="306"/>
      <c r="CQ210" s="306"/>
      <c r="CR210" s="306"/>
      <c r="CS210" s="306"/>
      <c r="CT210" s="306"/>
      <c r="CU210" s="306"/>
      <c r="CV210" s="306"/>
      <c r="CW210" s="306"/>
      <c r="CX210" s="306"/>
    </row>
    <row r="211" spans="2:102" x14ac:dyDescent="0.25">
      <c r="B211" s="305"/>
      <c r="C211" s="305"/>
      <c r="D211" s="305"/>
      <c r="E211" s="305"/>
      <c r="F211" s="305"/>
      <c r="AU211" s="22"/>
      <c r="AV211" s="23"/>
      <c r="AW211" s="22"/>
      <c r="AX211" s="22"/>
      <c r="AY211" s="23"/>
      <c r="AZ211" s="23"/>
      <c r="BA211" s="64"/>
      <c r="BB211" s="65"/>
      <c r="BC211" s="65"/>
      <c r="BD211" s="65"/>
      <c r="BE211" s="65"/>
      <c r="BF211" s="65"/>
      <c r="BG211" s="65"/>
      <c r="BH211" s="65"/>
      <c r="BI211" s="21"/>
      <c r="BJ211" s="64"/>
      <c r="BK211" s="65"/>
      <c r="BL211" s="65"/>
      <c r="BM211" s="65"/>
      <c r="BN211" s="65"/>
      <c r="BO211" s="65"/>
      <c r="BP211" s="65"/>
      <c r="BQ211" s="65"/>
      <c r="BR211" s="21"/>
      <c r="BS211" s="21"/>
      <c r="BT211" s="24"/>
      <c r="BU211" s="20"/>
      <c r="BV211" s="306"/>
      <c r="BW211" s="306"/>
      <c r="BX211" s="306"/>
      <c r="BY211" s="306"/>
      <c r="BZ211" s="306"/>
      <c r="CA211" s="306"/>
      <c r="CB211" s="306"/>
      <c r="CC211" s="306"/>
      <c r="CD211" s="306"/>
      <c r="CE211" s="306"/>
      <c r="CF211" s="306"/>
      <c r="CG211" s="306"/>
      <c r="CH211" s="306"/>
      <c r="CI211" s="306"/>
      <c r="CJ211" s="306"/>
      <c r="CK211" s="306"/>
      <c r="CL211" s="306"/>
      <c r="CM211" s="306"/>
      <c r="CN211" s="306"/>
      <c r="CO211" s="306"/>
      <c r="CP211" s="306"/>
      <c r="CQ211" s="306"/>
      <c r="CR211" s="306"/>
      <c r="CS211" s="306"/>
      <c r="CT211" s="306"/>
      <c r="CU211" s="306"/>
      <c r="CV211" s="306"/>
      <c r="CW211" s="306"/>
      <c r="CX211" s="306"/>
    </row>
    <row r="212" spans="2:102" x14ac:dyDescent="0.25">
      <c r="B212" s="305"/>
      <c r="C212" s="305"/>
      <c r="D212" s="305"/>
      <c r="E212" s="305"/>
      <c r="F212" s="305"/>
      <c r="AU212" s="22"/>
      <c r="AV212" s="23"/>
      <c r="AW212" s="22"/>
      <c r="AX212" s="22"/>
      <c r="AY212" s="23"/>
      <c r="AZ212" s="23"/>
      <c r="BA212" s="64"/>
      <c r="BB212" s="65"/>
      <c r="BC212" s="65"/>
      <c r="BD212" s="65"/>
      <c r="BE212" s="65"/>
      <c r="BF212" s="65"/>
      <c r="BG212" s="65"/>
      <c r="BH212" s="65"/>
      <c r="BI212" s="21"/>
      <c r="BJ212" s="64"/>
      <c r="BK212" s="65"/>
      <c r="BL212" s="65"/>
      <c r="BM212" s="65"/>
      <c r="BN212" s="65"/>
      <c r="BO212" s="65"/>
      <c r="BP212" s="65"/>
      <c r="BQ212" s="65"/>
      <c r="BR212" s="21"/>
      <c r="BS212" s="21"/>
      <c r="BT212" s="24"/>
      <c r="BU212" s="20"/>
      <c r="BV212" s="306"/>
      <c r="BW212" s="306"/>
      <c r="BX212" s="306"/>
      <c r="BY212" s="306"/>
      <c r="BZ212" s="306"/>
      <c r="CA212" s="306"/>
      <c r="CB212" s="306"/>
      <c r="CC212" s="306"/>
      <c r="CD212" s="306"/>
      <c r="CE212" s="306"/>
      <c r="CF212" s="306"/>
      <c r="CG212" s="306"/>
      <c r="CH212" s="306"/>
      <c r="CI212" s="306"/>
      <c r="CJ212" s="306"/>
      <c r="CK212" s="306"/>
      <c r="CL212" s="306"/>
      <c r="CM212" s="306"/>
      <c r="CN212" s="306"/>
      <c r="CO212" s="306"/>
      <c r="CP212" s="306"/>
      <c r="CQ212" s="306"/>
      <c r="CR212" s="306"/>
      <c r="CS212" s="306"/>
      <c r="CT212" s="306"/>
      <c r="CU212" s="306"/>
      <c r="CV212" s="306"/>
      <c r="CW212" s="306"/>
      <c r="CX212" s="306"/>
    </row>
    <row r="213" spans="2:102" x14ac:dyDescent="0.25">
      <c r="B213" s="305"/>
      <c r="C213" s="305"/>
      <c r="D213" s="305"/>
      <c r="E213" s="305"/>
      <c r="F213" s="305"/>
      <c r="AU213" s="22"/>
      <c r="AV213" s="23"/>
      <c r="AW213" s="22"/>
      <c r="AX213" s="22"/>
      <c r="AY213" s="23"/>
      <c r="AZ213" s="23"/>
      <c r="BA213" s="64"/>
      <c r="BB213" s="65"/>
      <c r="BC213" s="65"/>
      <c r="BD213" s="65"/>
      <c r="BE213" s="65"/>
      <c r="BF213" s="65"/>
      <c r="BG213" s="65"/>
      <c r="BH213" s="65"/>
      <c r="BI213" s="21"/>
      <c r="BJ213" s="64"/>
      <c r="BK213" s="65"/>
      <c r="BL213" s="65"/>
      <c r="BM213" s="65"/>
      <c r="BN213" s="65"/>
      <c r="BO213" s="65"/>
      <c r="BP213" s="65"/>
      <c r="BQ213" s="65"/>
      <c r="BR213" s="21"/>
      <c r="BS213" s="21"/>
      <c r="BT213" s="24"/>
      <c r="BU213" s="20"/>
      <c r="BV213" s="306"/>
      <c r="BW213" s="306"/>
      <c r="BX213" s="306"/>
      <c r="BY213" s="306"/>
      <c r="BZ213" s="306"/>
      <c r="CA213" s="306"/>
      <c r="CB213" s="306"/>
      <c r="CC213" s="306"/>
      <c r="CD213" s="306"/>
      <c r="CE213" s="306"/>
      <c r="CF213" s="306"/>
      <c r="CG213" s="306"/>
      <c r="CH213" s="306"/>
      <c r="CI213" s="306"/>
      <c r="CJ213" s="306"/>
      <c r="CK213" s="306"/>
      <c r="CL213" s="306"/>
      <c r="CM213" s="306"/>
      <c r="CN213" s="306"/>
      <c r="CO213" s="306"/>
      <c r="CP213" s="306"/>
      <c r="CQ213" s="306"/>
      <c r="CR213" s="306"/>
      <c r="CS213" s="306"/>
      <c r="CT213" s="306"/>
      <c r="CU213" s="306"/>
      <c r="CV213" s="306"/>
      <c r="CW213" s="306"/>
      <c r="CX213" s="306"/>
    </row>
    <row r="214" spans="2:102" x14ac:dyDescent="0.25">
      <c r="B214" s="305"/>
      <c r="C214" s="305"/>
      <c r="D214" s="305"/>
      <c r="E214" s="305"/>
      <c r="F214" s="305"/>
      <c r="AU214" s="22"/>
      <c r="AV214" s="23"/>
      <c r="AW214" s="22"/>
      <c r="AX214" s="22"/>
      <c r="AY214" s="23"/>
      <c r="AZ214" s="23"/>
      <c r="BA214" s="64"/>
      <c r="BB214" s="65"/>
      <c r="BC214" s="65"/>
      <c r="BD214" s="65"/>
      <c r="BE214" s="65"/>
      <c r="BF214" s="65"/>
      <c r="BG214" s="65"/>
      <c r="BH214" s="65"/>
      <c r="BI214" s="21"/>
      <c r="BJ214" s="64"/>
      <c r="BK214" s="65"/>
      <c r="BL214" s="65"/>
      <c r="BM214" s="65"/>
      <c r="BN214" s="65"/>
      <c r="BO214" s="65"/>
      <c r="BP214" s="65"/>
      <c r="BQ214" s="65"/>
      <c r="BR214" s="21"/>
      <c r="BS214" s="21"/>
      <c r="BT214" s="24"/>
      <c r="BU214" s="20"/>
      <c r="BV214" s="306"/>
      <c r="BW214" s="306"/>
      <c r="BX214" s="306"/>
      <c r="BY214" s="306"/>
      <c r="BZ214" s="306"/>
      <c r="CA214" s="306"/>
      <c r="CB214" s="306"/>
      <c r="CC214" s="306"/>
      <c r="CD214" s="306"/>
      <c r="CE214" s="306"/>
      <c r="CF214" s="306"/>
      <c r="CG214" s="306"/>
      <c r="CH214" s="306"/>
      <c r="CI214" s="306"/>
      <c r="CJ214" s="306"/>
      <c r="CK214" s="306"/>
      <c r="CL214" s="306"/>
      <c r="CM214" s="306"/>
      <c r="CN214" s="306"/>
      <c r="CO214" s="306"/>
      <c r="CP214" s="306"/>
      <c r="CQ214" s="306"/>
      <c r="CR214" s="306"/>
      <c r="CS214" s="306"/>
      <c r="CT214" s="306"/>
      <c r="CU214" s="306"/>
      <c r="CV214" s="306"/>
      <c r="CW214" s="306"/>
      <c r="CX214" s="306"/>
    </row>
    <row r="215" spans="2:102" x14ac:dyDescent="0.25">
      <c r="B215" s="305"/>
      <c r="C215" s="305"/>
      <c r="D215" s="305"/>
      <c r="E215" s="305"/>
      <c r="F215" s="305"/>
      <c r="AU215" s="22"/>
      <c r="AV215" s="23"/>
      <c r="AW215" s="22"/>
      <c r="AX215" s="22"/>
      <c r="AY215" s="23"/>
      <c r="AZ215" s="23"/>
      <c r="BA215" s="64"/>
      <c r="BB215" s="65"/>
      <c r="BC215" s="65"/>
      <c r="BD215" s="65"/>
      <c r="BE215" s="65"/>
      <c r="BF215" s="65"/>
      <c r="BG215" s="65"/>
      <c r="BH215" s="65"/>
      <c r="BI215" s="21"/>
      <c r="BJ215" s="64"/>
      <c r="BK215" s="65"/>
      <c r="BL215" s="65"/>
      <c r="BM215" s="65"/>
      <c r="BN215" s="65"/>
      <c r="BO215" s="65"/>
      <c r="BP215" s="65"/>
      <c r="BQ215" s="65"/>
      <c r="BR215" s="21"/>
      <c r="BS215" s="21"/>
      <c r="BT215" s="24"/>
      <c r="BU215" s="20"/>
      <c r="BV215" s="306"/>
      <c r="BW215" s="306"/>
      <c r="BX215" s="306"/>
      <c r="BY215" s="306"/>
      <c r="BZ215" s="306"/>
      <c r="CA215" s="306"/>
      <c r="CB215" s="306"/>
      <c r="CC215" s="306"/>
      <c r="CD215" s="306"/>
      <c r="CE215" s="306"/>
      <c r="CF215" s="306"/>
      <c r="CG215" s="306"/>
      <c r="CH215" s="306"/>
      <c r="CI215" s="306"/>
      <c r="CJ215" s="306"/>
      <c r="CK215" s="306"/>
      <c r="CL215" s="306"/>
      <c r="CM215" s="306"/>
      <c r="CN215" s="306"/>
      <c r="CO215" s="306"/>
      <c r="CP215" s="306"/>
      <c r="CQ215" s="306"/>
      <c r="CR215" s="306"/>
      <c r="CS215" s="306"/>
      <c r="CT215" s="306"/>
      <c r="CU215" s="306"/>
      <c r="CV215" s="306"/>
      <c r="CW215" s="306"/>
      <c r="CX215" s="306"/>
    </row>
    <row r="216" spans="2:102" x14ac:dyDescent="0.25">
      <c r="B216" s="305"/>
      <c r="C216" s="305"/>
      <c r="D216" s="305"/>
      <c r="E216" s="305"/>
      <c r="F216" s="305"/>
      <c r="AU216" s="22"/>
      <c r="AV216" s="23"/>
      <c r="AW216" s="22"/>
      <c r="AX216" s="22"/>
      <c r="AY216" s="23"/>
      <c r="AZ216" s="23"/>
      <c r="BA216" s="64"/>
      <c r="BB216" s="65"/>
      <c r="BC216" s="65"/>
      <c r="BD216" s="65"/>
      <c r="BE216" s="65"/>
      <c r="BF216" s="65"/>
      <c r="BG216" s="65"/>
      <c r="BH216" s="65"/>
      <c r="BI216" s="21"/>
      <c r="BJ216" s="64"/>
      <c r="BK216" s="65"/>
      <c r="BL216" s="65"/>
      <c r="BM216" s="65"/>
      <c r="BN216" s="65"/>
      <c r="BO216" s="65"/>
      <c r="BP216" s="65"/>
      <c r="BQ216" s="65"/>
      <c r="BR216" s="21"/>
      <c r="BS216" s="21"/>
      <c r="BT216" s="24"/>
      <c r="BU216" s="20"/>
      <c r="BV216" s="306"/>
      <c r="BW216" s="306"/>
      <c r="BX216" s="306"/>
      <c r="BY216" s="306"/>
      <c r="BZ216" s="306"/>
      <c r="CA216" s="306"/>
      <c r="CB216" s="306"/>
      <c r="CC216" s="306"/>
      <c r="CD216" s="306"/>
      <c r="CE216" s="306"/>
      <c r="CF216" s="306"/>
      <c r="CG216" s="306"/>
      <c r="CH216" s="306"/>
      <c r="CI216" s="306"/>
      <c r="CJ216" s="306"/>
      <c r="CK216" s="306"/>
      <c r="CL216" s="306"/>
      <c r="CM216" s="306"/>
      <c r="CN216" s="306"/>
      <c r="CO216" s="306"/>
      <c r="CP216" s="306"/>
      <c r="CQ216" s="306"/>
      <c r="CR216" s="306"/>
      <c r="CS216" s="306"/>
      <c r="CT216" s="306"/>
      <c r="CU216" s="306"/>
      <c r="CV216" s="306"/>
      <c r="CW216" s="306"/>
      <c r="CX216" s="306"/>
    </row>
    <row r="217" spans="2:102" x14ac:dyDescent="0.25">
      <c r="B217" s="305"/>
      <c r="C217" s="305"/>
      <c r="D217" s="305"/>
      <c r="E217" s="305"/>
      <c r="F217" s="305"/>
      <c r="AU217" s="22"/>
      <c r="AV217" s="23"/>
      <c r="AW217" s="22"/>
      <c r="AX217" s="22"/>
      <c r="AY217" s="23"/>
      <c r="AZ217" s="23"/>
      <c r="BA217" s="64"/>
      <c r="BB217" s="65"/>
      <c r="BC217" s="65"/>
      <c r="BD217" s="65"/>
      <c r="BE217" s="65"/>
      <c r="BF217" s="65"/>
      <c r="BG217" s="65"/>
      <c r="BH217" s="65"/>
      <c r="BI217" s="21"/>
      <c r="BJ217" s="64"/>
      <c r="BK217" s="65"/>
      <c r="BL217" s="65"/>
      <c r="BM217" s="65"/>
      <c r="BN217" s="65"/>
      <c r="BO217" s="65"/>
      <c r="BP217" s="65"/>
      <c r="BQ217" s="65"/>
      <c r="BR217" s="21"/>
      <c r="BS217" s="21"/>
      <c r="BT217" s="24"/>
      <c r="BU217" s="20"/>
      <c r="BV217" s="306"/>
      <c r="BW217" s="306"/>
      <c r="BX217" s="306"/>
      <c r="BY217" s="306"/>
      <c r="BZ217" s="306"/>
      <c r="CA217" s="306"/>
      <c r="CB217" s="306"/>
      <c r="CC217" s="306"/>
      <c r="CD217" s="306"/>
      <c r="CE217" s="306"/>
      <c r="CF217" s="306"/>
      <c r="CG217" s="306"/>
      <c r="CH217" s="306"/>
      <c r="CI217" s="306"/>
      <c r="CJ217" s="306"/>
      <c r="CK217" s="306"/>
      <c r="CL217" s="306"/>
      <c r="CM217" s="306"/>
      <c r="CN217" s="306"/>
      <c r="CO217" s="306"/>
      <c r="CP217" s="306"/>
      <c r="CQ217" s="306"/>
      <c r="CR217" s="306"/>
      <c r="CS217" s="306"/>
      <c r="CT217" s="306"/>
      <c r="CU217" s="306"/>
      <c r="CV217" s="306"/>
      <c r="CW217" s="306"/>
      <c r="CX217" s="306"/>
    </row>
    <row r="218" spans="2:102" x14ac:dyDescent="0.25">
      <c r="B218" s="305"/>
      <c r="C218" s="305"/>
      <c r="D218" s="305"/>
      <c r="E218" s="305"/>
      <c r="F218" s="305"/>
      <c r="AU218" s="22"/>
      <c r="AV218" s="23"/>
      <c r="AW218" s="22"/>
      <c r="AX218" s="22"/>
      <c r="AY218" s="23"/>
      <c r="AZ218" s="23"/>
      <c r="BA218" s="64"/>
      <c r="BB218" s="65"/>
      <c r="BC218" s="65"/>
      <c r="BD218" s="65"/>
      <c r="BE218" s="65"/>
      <c r="BF218" s="65"/>
      <c r="BG218" s="65"/>
      <c r="BH218" s="65"/>
      <c r="BI218" s="21"/>
      <c r="BJ218" s="64"/>
      <c r="BK218" s="65"/>
      <c r="BL218" s="65"/>
      <c r="BM218" s="65"/>
      <c r="BN218" s="65"/>
      <c r="BO218" s="65"/>
      <c r="BP218" s="65"/>
      <c r="BQ218" s="65"/>
      <c r="BR218" s="21"/>
      <c r="BS218" s="21"/>
      <c r="BT218" s="24"/>
      <c r="BU218" s="20"/>
      <c r="BV218" s="306"/>
      <c r="BW218" s="306"/>
      <c r="BX218" s="306"/>
      <c r="BY218" s="306"/>
      <c r="BZ218" s="306"/>
      <c r="CA218" s="306"/>
      <c r="CB218" s="306"/>
      <c r="CC218" s="306"/>
      <c r="CD218" s="306"/>
      <c r="CE218" s="306"/>
      <c r="CF218" s="306"/>
      <c r="CG218" s="306"/>
      <c r="CH218" s="306"/>
      <c r="CI218" s="306"/>
      <c r="CJ218" s="306"/>
      <c r="CK218" s="306"/>
      <c r="CL218" s="306"/>
      <c r="CM218" s="306"/>
      <c r="CN218" s="306"/>
      <c r="CO218" s="306"/>
      <c r="CP218" s="306"/>
      <c r="CQ218" s="306"/>
      <c r="CR218" s="306"/>
      <c r="CS218" s="306"/>
      <c r="CT218" s="306"/>
      <c r="CU218" s="306"/>
      <c r="CV218" s="306"/>
      <c r="CW218" s="306"/>
      <c r="CX218" s="306"/>
    </row>
    <row r="219" spans="2:102" x14ac:dyDescent="0.25">
      <c r="B219" s="305"/>
      <c r="C219" s="305"/>
      <c r="D219" s="305"/>
      <c r="E219" s="305"/>
      <c r="F219" s="305"/>
      <c r="AU219" s="22"/>
      <c r="AV219" s="23"/>
      <c r="AW219" s="22"/>
      <c r="AX219" s="22"/>
      <c r="AY219" s="23"/>
      <c r="AZ219" s="23"/>
      <c r="BA219" s="64"/>
      <c r="BB219" s="65"/>
      <c r="BC219" s="65"/>
      <c r="BD219" s="65"/>
      <c r="BE219" s="65"/>
      <c r="BF219" s="65"/>
      <c r="BG219" s="65"/>
      <c r="BH219" s="65"/>
      <c r="BI219" s="21"/>
      <c r="BJ219" s="64"/>
      <c r="BK219" s="65"/>
      <c r="BL219" s="65"/>
      <c r="BM219" s="65"/>
      <c r="BN219" s="65"/>
      <c r="BO219" s="65"/>
      <c r="BP219" s="65"/>
      <c r="BQ219" s="65"/>
      <c r="BR219" s="21"/>
      <c r="BS219" s="21"/>
      <c r="BT219" s="24"/>
      <c r="BU219" s="20"/>
      <c r="BV219" s="306"/>
      <c r="BW219" s="306"/>
      <c r="BX219" s="306"/>
      <c r="BY219" s="306"/>
      <c r="BZ219" s="306"/>
      <c r="CA219" s="306"/>
      <c r="CB219" s="306"/>
      <c r="CC219" s="306"/>
      <c r="CD219" s="306"/>
      <c r="CE219" s="306"/>
      <c r="CF219" s="306"/>
      <c r="CG219" s="306"/>
      <c r="CH219" s="306"/>
      <c r="CI219" s="306"/>
      <c r="CJ219" s="306"/>
      <c r="CK219" s="306"/>
      <c r="CL219" s="306"/>
      <c r="CM219" s="306"/>
      <c r="CN219" s="306"/>
      <c r="CO219" s="306"/>
      <c r="CP219" s="306"/>
      <c r="CQ219" s="306"/>
      <c r="CR219" s="306"/>
      <c r="CS219" s="306"/>
      <c r="CT219" s="306"/>
      <c r="CU219" s="306"/>
      <c r="CV219" s="306"/>
      <c r="CW219" s="306"/>
      <c r="CX219" s="306"/>
    </row>
    <row r="220" spans="2:102" x14ac:dyDescent="0.25">
      <c r="B220" s="305"/>
      <c r="C220" s="305"/>
      <c r="D220" s="305"/>
      <c r="E220" s="305"/>
      <c r="F220" s="305"/>
      <c r="AU220" s="22"/>
      <c r="AV220" s="23"/>
      <c r="AW220" s="22"/>
      <c r="AX220" s="22"/>
      <c r="AY220" s="23"/>
      <c r="AZ220" s="23"/>
      <c r="BA220" s="64"/>
      <c r="BB220" s="65"/>
      <c r="BC220" s="65"/>
      <c r="BD220" s="65"/>
      <c r="BE220" s="65"/>
      <c r="BF220" s="65"/>
      <c r="BG220" s="65"/>
      <c r="BH220" s="65"/>
      <c r="BI220" s="21"/>
      <c r="BJ220" s="64"/>
      <c r="BK220" s="65"/>
      <c r="BL220" s="65"/>
      <c r="BM220" s="65"/>
      <c r="BN220" s="65"/>
      <c r="BO220" s="65"/>
      <c r="BP220" s="65"/>
      <c r="BQ220" s="65"/>
      <c r="BR220" s="21"/>
      <c r="BS220" s="21"/>
      <c r="BT220" s="24"/>
      <c r="BU220" s="20"/>
      <c r="BV220" s="306"/>
      <c r="BW220" s="306"/>
      <c r="BX220" s="306"/>
      <c r="BY220" s="306"/>
      <c r="BZ220" s="306"/>
      <c r="CA220" s="306"/>
      <c r="CB220" s="306"/>
      <c r="CC220" s="306"/>
      <c r="CD220" s="306"/>
      <c r="CE220" s="306"/>
      <c r="CF220" s="306"/>
      <c r="CG220" s="306"/>
      <c r="CH220" s="306"/>
      <c r="CI220" s="306"/>
      <c r="CJ220" s="306"/>
      <c r="CK220" s="306"/>
      <c r="CL220" s="306"/>
      <c r="CM220" s="306"/>
      <c r="CN220" s="306"/>
      <c r="CO220" s="306"/>
      <c r="CP220" s="306"/>
      <c r="CQ220" s="306"/>
      <c r="CR220" s="306"/>
      <c r="CS220" s="306"/>
      <c r="CT220" s="306"/>
      <c r="CU220" s="306"/>
      <c r="CV220" s="306"/>
      <c r="CW220" s="306"/>
      <c r="CX220" s="306"/>
    </row>
    <row r="221" spans="2:102" x14ac:dyDescent="0.25">
      <c r="B221" s="305"/>
      <c r="C221" s="305"/>
      <c r="D221" s="305"/>
      <c r="E221" s="305"/>
      <c r="F221" s="305"/>
      <c r="AU221" s="22"/>
      <c r="AV221" s="23"/>
      <c r="AW221" s="22"/>
      <c r="AX221" s="22"/>
      <c r="AY221" s="23"/>
      <c r="AZ221" s="23"/>
      <c r="BA221" s="64"/>
      <c r="BB221" s="65"/>
      <c r="BC221" s="65"/>
      <c r="BD221" s="65"/>
      <c r="BE221" s="65"/>
      <c r="BF221" s="65"/>
      <c r="BG221" s="65"/>
      <c r="BH221" s="65"/>
      <c r="BI221" s="21"/>
      <c r="BJ221" s="64"/>
      <c r="BK221" s="65"/>
      <c r="BL221" s="65"/>
      <c r="BM221" s="65"/>
      <c r="BN221" s="65"/>
      <c r="BO221" s="65"/>
      <c r="BP221" s="65"/>
      <c r="BQ221" s="65"/>
      <c r="BR221" s="21"/>
      <c r="BS221" s="21"/>
      <c r="BT221" s="24"/>
      <c r="BU221" s="20"/>
      <c r="BV221" s="306"/>
      <c r="BW221" s="306"/>
      <c r="BX221" s="306"/>
      <c r="BY221" s="306"/>
      <c r="BZ221" s="306"/>
      <c r="CA221" s="306"/>
      <c r="CB221" s="306"/>
      <c r="CC221" s="306"/>
      <c r="CD221" s="306"/>
      <c r="CE221" s="306"/>
      <c r="CF221" s="306"/>
      <c r="CG221" s="306"/>
      <c r="CH221" s="306"/>
      <c r="CI221" s="306"/>
      <c r="CJ221" s="306"/>
      <c r="CK221" s="306"/>
      <c r="CL221" s="306"/>
      <c r="CM221" s="306"/>
      <c r="CN221" s="306"/>
      <c r="CO221" s="306"/>
      <c r="CP221" s="306"/>
      <c r="CQ221" s="306"/>
      <c r="CR221" s="306"/>
      <c r="CS221" s="306"/>
      <c r="CT221" s="306"/>
      <c r="CU221" s="306"/>
      <c r="CV221" s="306"/>
      <c r="CW221" s="306"/>
      <c r="CX221" s="306"/>
    </row>
    <row r="222" spans="2:102" x14ac:dyDescent="0.25">
      <c r="B222" s="305"/>
      <c r="C222" s="305"/>
      <c r="D222" s="305"/>
      <c r="E222" s="305"/>
      <c r="F222" s="305"/>
      <c r="AU222" s="22"/>
      <c r="AV222" s="23"/>
      <c r="AW222" s="22"/>
      <c r="AX222" s="22"/>
      <c r="AY222" s="23"/>
      <c r="AZ222" s="23"/>
      <c r="BA222" s="64"/>
      <c r="BB222" s="65"/>
      <c r="BC222" s="65"/>
      <c r="BD222" s="65"/>
      <c r="BE222" s="65"/>
      <c r="BF222" s="65"/>
      <c r="BG222" s="65"/>
      <c r="BH222" s="65"/>
      <c r="BI222" s="21"/>
      <c r="BJ222" s="64"/>
      <c r="BK222" s="65"/>
      <c r="BL222" s="65"/>
      <c r="BM222" s="65"/>
      <c r="BN222" s="65"/>
      <c r="BO222" s="65"/>
      <c r="BP222" s="65"/>
      <c r="BQ222" s="65"/>
      <c r="BR222" s="21"/>
      <c r="BS222" s="21"/>
      <c r="BT222" s="24"/>
      <c r="BU222" s="20"/>
      <c r="BV222" s="306"/>
      <c r="BW222" s="306"/>
      <c r="BX222" s="306"/>
      <c r="BY222" s="306"/>
      <c r="BZ222" s="306"/>
      <c r="CA222" s="306"/>
      <c r="CB222" s="306"/>
      <c r="CC222" s="306"/>
      <c r="CD222" s="306"/>
      <c r="CE222" s="306"/>
      <c r="CF222" s="306"/>
      <c r="CG222" s="306"/>
      <c r="CH222" s="306"/>
      <c r="CI222" s="306"/>
      <c r="CJ222" s="306"/>
      <c r="CK222" s="306"/>
      <c r="CL222" s="306"/>
      <c r="CM222" s="306"/>
      <c r="CN222" s="306"/>
      <c r="CO222" s="306"/>
      <c r="CP222" s="306"/>
      <c r="CQ222" s="306"/>
      <c r="CR222" s="306"/>
      <c r="CS222" s="306"/>
      <c r="CT222" s="306"/>
      <c r="CU222" s="306"/>
      <c r="CV222" s="306"/>
      <c r="CW222" s="306"/>
      <c r="CX222" s="306"/>
    </row>
    <row r="223" spans="2:102" x14ac:dyDescent="0.25">
      <c r="B223" s="305"/>
      <c r="C223" s="305"/>
      <c r="D223" s="305"/>
      <c r="E223" s="305"/>
      <c r="F223" s="305"/>
      <c r="AU223" s="22"/>
      <c r="AV223" s="23"/>
      <c r="AW223" s="22"/>
      <c r="AX223" s="22"/>
      <c r="AY223" s="23"/>
      <c r="AZ223" s="23"/>
      <c r="BA223" s="64"/>
      <c r="BB223" s="65"/>
      <c r="BC223" s="65"/>
      <c r="BD223" s="65"/>
      <c r="BE223" s="65"/>
      <c r="BF223" s="65"/>
      <c r="BG223" s="65"/>
      <c r="BH223" s="65"/>
      <c r="BI223" s="21"/>
      <c r="BJ223" s="64"/>
      <c r="BK223" s="65"/>
      <c r="BL223" s="65"/>
      <c r="BM223" s="65"/>
      <c r="BN223" s="65"/>
      <c r="BO223" s="65"/>
      <c r="BP223" s="65"/>
      <c r="BQ223" s="65"/>
      <c r="BR223" s="21"/>
      <c r="BS223" s="21"/>
      <c r="BT223" s="24"/>
      <c r="BU223" s="20"/>
      <c r="BV223" s="306"/>
      <c r="BW223" s="306"/>
      <c r="BX223" s="306"/>
      <c r="BY223" s="306"/>
      <c r="BZ223" s="306"/>
      <c r="CA223" s="306"/>
      <c r="CB223" s="306"/>
      <c r="CC223" s="306"/>
      <c r="CD223" s="306"/>
      <c r="CE223" s="306"/>
      <c r="CF223" s="306"/>
      <c r="CG223" s="306"/>
      <c r="CH223" s="306"/>
      <c r="CI223" s="306"/>
      <c r="CJ223" s="306"/>
      <c r="CK223" s="306"/>
      <c r="CL223" s="306"/>
      <c r="CM223" s="306"/>
      <c r="CN223" s="306"/>
      <c r="CO223" s="306"/>
      <c r="CP223" s="306"/>
      <c r="CQ223" s="306"/>
      <c r="CR223" s="306"/>
      <c r="CS223" s="306"/>
      <c r="CT223" s="306"/>
      <c r="CU223" s="306"/>
      <c r="CV223" s="306"/>
      <c r="CW223" s="306"/>
      <c r="CX223" s="306"/>
    </row>
    <row r="224" spans="2:102" x14ac:dyDescent="0.25">
      <c r="B224" s="305"/>
      <c r="C224" s="305"/>
      <c r="D224" s="305"/>
      <c r="E224" s="305"/>
      <c r="F224" s="305"/>
      <c r="AU224" s="22"/>
      <c r="AV224" s="23"/>
      <c r="AW224" s="22"/>
      <c r="AX224" s="22"/>
      <c r="AY224" s="23"/>
      <c r="AZ224" s="23"/>
      <c r="BA224" s="64"/>
      <c r="BB224" s="65"/>
      <c r="BC224" s="65"/>
      <c r="BD224" s="65"/>
      <c r="BE224" s="65"/>
      <c r="BF224" s="65"/>
      <c r="BG224" s="65"/>
      <c r="BH224" s="65"/>
      <c r="BI224" s="21"/>
      <c r="BJ224" s="64"/>
      <c r="BK224" s="65"/>
      <c r="BL224" s="65"/>
      <c r="BM224" s="65"/>
      <c r="BN224" s="65"/>
      <c r="BO224" s="65"/>
      <c r="BP224" s="65"/>
      <c r="BQ224" s="65"/>
      <c r="BR224" s="21"/>
      <c r="BS224" s="21"/>
      <c r="BT224" s="24"/>
      <c r="BU224" s="20"/>
      <c r="BV224" s="306"/>
      <c r="BW224" s="306"/>
      <c r="BX224" s="306"/>
      <c r="BY224" s="306"/>
      <c r="BZ224" s="306"/>
      <c r="CA224" s="306"/>
      <c r="CB224" s="306"/>
      <c r="CC224" s="306"/>
      <c r="CD224" s="306"/>
      <c r="CE224" s="306"/>
      <c r="CF224" s="306"/>
      <c r="CG224" s="306"/>
      <c r="CH224" s="306"/>
      <c r="CI224" s="306"/>
      <c r="CJ224" s="306"/>
      <c r="CK224" s="306"/>
      <c r="CL224" s="306"/>
      <c r="CM224" s="306"/>
      <c r="CN224" s="306"/>
      <c r="CO224" s="306"/>
      <c r="CP224" s="306"/>
      <c r="CQ224" s="306"/>
      <c r="CR224" s="306"/>
      <c r="CS224" s="306"/>
      <c r="CT224" s="306"/>
      <c r="CU224" s="306"/>
      <c r="CV224" s="306"/>
      <c r="CW224" s="306"/>
      <c r="CX224" s="306"/>
    </row>
  </sheetData>
  <sortState xmlns:xlrd2="http://schemas.microsoft.com/office/spreadsheetml/2017/richdata2" ref="B11:CX90">
    <sortCondition descending="1" ref="CX11:CX90"/>
    <sortCondition descending="1" ref="AW11:AW90"/>
  </sortState>
  <conditionalFormatting sqref="O11:P82">
    <cfRule type="expression" dxfId="1" priority="2">
      <formula>IF(O11&lt;&gt;"1 star",1,0)</formula>
    </cfRule>
  </conditionalFormatting>
  <pageMargins left="0.75" right="0.75" top="1" bottom="1" header="0.5" footer="0.5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 codeName="Sheet12">
    <tabColor theme="9"/>
  </sheetPr>
  <dimension ref="A1:CN202"/>
  <sheetViews>
    <sheetView zoomScale="85" zoomScaleNormal="85" workbookViewId="0">
      <pane xSplit="12" ySplit="10" topLeftCell="M92" activePane="bottomRight" state="frozenSplit"/>
      <selection pane="topRight" activeCell="H1" sqref="H1"/>
      <selection pane="bottomLeft" activeCell="A2" sqref="A2"/>
      <selection pane="bottomRight" activeCell="A113" sqref="A113"/>
    </sheetView>
  </sheetViews>
  <sheetFormatPr defaultColWidth="11.42578125" defaultRowHeight="15" x14ac:dyDescent="0.25"/>
  <cols>
    <col min="1" max="1" width="8.42578125" style="305" customWidth="1"/>
    <col min="2" max="2" width="5.5703125" customWidth="1"/>
    <col min="3" max="3" width="7.140625" customWidth="1"/>
    <col min="4" max="4" width="6.140625" customWidth="1"/>
    <col min="5" max="5" width="5.28515625" customWidth="1"/>
    <col min="6" max="6" width="19.5703125" bestFit="1" customWidth="1"/>
    <col min="7" max="7" width="19.5703125" style="305" customWidth="1"/>
    <col min="8" max="8" width="6" customWidth="1"/>
    <col min="9" max="9" width="6.7109375" customWidth="1"/>
    <col min="10" max="10" width="6.5703125" style="3" customWidth="1"/>
    <col min="11" max="11" width="4.28515625" customWidth="1"/>
    <col min="12" max="12" width="4.140625" customWidth="1"/>
    <col min="13" max="13" width="7.140625" bestFit="1" customWidth="1"/>
    <col min="14" max="14" width="7.140625" style="3" bestFit="1" customWidth="1"/>
    <col min="15" max="16" width="9.7109375" bestFit="1" customWidth="1"/>
    <col min="17" max="17" width="6.5703125" style="3" customWidth="1"/>
    <col min="18" max="18" width="7.7109375" customWidth="1"/>
    <col min="19" max="19" width="7.140625" customWidth="1"/>
    <col min="20" max="20" width="8.28515625" style="3" customWidth="1"/>
    <col min="21" max="21" width="9.42578125" customWidth="1"/>
    <col min="22" max="22" width="8.85546875" customWidth="1"/>
    <col min="23" max="23" width="5.28515625" customWidth="1"/>
    <col min="24" max="24" width="6.42578125" customWidth="1"/>
    <col min="25" max="25" width="5.42578125" customWidth="1"/>
    <col min="26" max="26" width="6.7109375" customWidth="1"/>
    <col min="27" max="27" width="5.42578125" customWidth="1"/>
    <col min="28" max="28" width="6.5703125" customWidth="1"/>
    <col min="29" max="29" width="5.140625" customWidth="1"/>
    <col min="30" max="30" width="6.28515625" customWidth="1"/>
    <col min="31" max="31" width="4.7109375" customWidth="1"/>
    <col min="32" max="32" width="6" customWidth="1"/>
    <col min="33" max="33" width="5.42578125" customWidth="1"/>
    <col min="34" max="34" width="6.5703125" customWidth="1"/>
    <col min="35" max="35" width="5.28515625" customWidth="1"/>
    <col min="36" max="36" width="6.42578125" customWidth="1"/>
    <col min="37" max="37" width="5.42578125" customWidth="1"/>
    <col min="38" max="38" width="6.7109375" customWidth="1"/>
    <col min="39" max="39" width="5.28515625" customWidth="1"/>
    <col min="40" max="40" width="6.42578125" customWidth="1"/>
    <col min="41" max="41" width="5.28515625" customWidth="1"/>
    <col min="42" max="42" width="6.42578125" customWidth="1"/>
    <col min="43" max="43" width="5.42578125" customWidth="1"/>
    <col min="44" max="44" width="6.5703125" style="3" customWidth="1"/>
    <col min="45" max="45" width="5.85546875" customWidth="1"/>
    <col min="46" max="46" width="7" customWidth="1"/>
    <col min="47" max="47" width="10.42578125" style="3" bestFit="1" customWidth="1"/>
    <col min="48" max="48" width="7.140625" customWidth="1"/>
    <col min="49" max="49" width="6.28515625" style="3" customWidth="1"/>
    <col min="50" max="50" width="12.5703125" bestFit="1" customWidth="1"/>
    <col min="51" max="51" width="9.5703125" style="5" bestFit="1" customWidth="1"/>
    <col min="52" max="52" width="9.7109375" style="372" customWidth="1"/>
    <col min="53" max="53" width="11.5703125" style="5" customWidth="1"/>
    <col min="54" max="54" width="10" style="5" customWidth="1"/>
    <col min="55" max="55" width="11.5703125" bestFit="1" customWidth="1"/>
    <col min="56" max="56" width="11.42578125" style="5"/>
    <col min="57" max="57" width="7.42578125" style="5" bestFit="1" customWidth="1"/>
    <col min="58" max="58" width="9" style="5" customWidth="1"/>
    <col min="60" max="60" width="5.85546875" customWidth="1"/>
    <col min="61" max="61" width="6.28515625" customWidth="1"/>
    <col min="62" max="62" width="8.42578125" bestFit="1" customWidth="1"/>
    <col min="63" max="63" width="8.7109375" customWidth="1"/>
    <col min="64" max="64" width="8.28515625" customWidth="1"/>
    <col min="65" max="65" width="9.42578125" customWidth="1"/>
    <col min="66" max="66" width="10.5703125" customWidth="1"/>
    <col min="67" max="67" width="10" customWidth="1"/>
    <col min="68" max="68" width="6.28515625" customWidth="1"/>
    <col min="69" max="69" width="8.5703125" customWidth="1"/>
    <col min="70" max="70" width="7.7109375" customWidth="1"/>
    <col min="71" max="71" width="8.85546875" customWidth="1"/>
    <col min="72" max="72" width="7.5703125" customWidth="1"/>
    <col min="73" max="73" width="8.7109375" customWidth="1"/>
    <col min="74" max="74" width="7.28515625" customWidth="1"/>
    <col min="75" max="75" width="8.42578125" customWidth="1"/>
    <col min="76" max="76" width="6.85546875" customWidth="1"/>
    <col min="77" max="77" width="8.140625" customWidth="1"/>
    <col min="78" max="78" width="7.5703125" customWidth="1"/>
    <col min="79" max="79" width="8.7109375" customWidth="1"/>
    <col min="80" max="80" width="7.42578125" customWidth="1"/>
    <col min="81" max="81" width="8.5703125" customWidth="1"/>
    <col min="82" max="82" width="7.7109375" customWidth="1"/>
    <col min="83" max="83" width="8.85546875" customWidth="1"/>
    <col min="84" max="84" width="7.42578125" customWidth="1"/>
    <col min="85" max="85" width="8.5703125" customWidth="1"/>
    <col min="86" max="86" width="7.42578125" customWidth="1"/>
    <col min="87" max="87" width="8.5703125" customWidth="1"/>
    <col min="88" max="88" width="7.5703125" customWidth="1"/>
    <col min="89" max="89" width="8.7109375" customWidth="1"/>
    <col min="90" max="90" width="7.85546875" customWidth="1"/>
    <col min="91" max="91" width="9.140625" customWidth="1"/>
  </cols>
  <sheetData>
    <row r="1" spans="1:92" s="84" customFormat="1" x14ac:dyDescent="0.25">
      <c r="A1" s="306"/>
      <c r="B1"/>
      <c r="C1" t="s">
        <v>124</v>
      </c>
      <c r="D1" t="s">
        <v>80</v>
      </c>
      <c r="E1"/>
      <c r="F1" t="s">
        <v>195</v>
      </c>
      <c r="G1" t="s">
        <v>194</v>
      </c>
      <c r="H1" t="s">
        <v>196</v>
      </c>
      <c r="J1"/>
      <c r="K1"/>
      <c r="L1"/>
      <c r="M1"/>
      <c r="N1" s="3"/>
      <c r="O1"/>
      <c r="P1" s="3"/>
      <c r="Q1"/>
      <c r="R1"/>
      <c r="S1"/>
      <c r="T1"/>
      <c r="U1" s="3"/>
      <c r="V1"/>
      <c r="W1"/>
      <c r="X1"/>
      <c r="Y1"/>
      <c r="Z1" s="3"/>
      <c r="AA1"/>
      <c r="AB1"/>
      <c r="AC1"/>
      <c r="AD1"/>
      <c r="AE1"/>
      <c r="AF1"/>
      <c r="AG1"/>
      <c r="AH1"/>
      <c r="AI1"/>
      <c r="AJ1"/>
      <c r="AK1" s="3"/>
      <c r="AL1"/>
      <c r="AM1"/>
      <c r="AN1" s="3"/>
      <c r="AO1"/>
      <c r="AP1" s="3"/>
      <c r="AQ1"/>
      <c r="AR1" s="5"/>
      <c r="AS1"/>
      <c r="AT1"/>
      <c r="AU1"/>
      <c r="AV1"/>
      <c r="AW1" s="46"/>
      <c r="AX1" s="5"/>
      <c r="AY1" s="5"/>
      <c r="AZ1" s="372"/>
      <c r="BA1" s="5"/>
      <c r="BB1" s="5"/>
      <c r="BC1" s="5"/>
      <c r="BD1" s="5"/>
      <c r="BE1" s="5"/>
      <c r="BF1" s="3"/>
      <c r="BG1" s="46"/>
      <c r="BH1" s="5"/>
      <c r="BI1" s="5"/>
      <c r="BJ1" s="5"/>
      <c r="BK1" s="5"/>
      <c r="BL1" s="5"/>
      <c r="BM1" s="5"/>
      <c r="BN1" s="5"/>
      <c r="BO1" s="3"/>
      <c r="BP1"/>
      <c r="BQ1"/>
      <c r="BR1"/>
    </row>
    <row r="2" spans="1:92" x14ac:dyDescent="0.25">
      <c r="B2" t="s">
        <v>184</v>
      </c>
      <c r="C2">
        <f>COUNTIF($B$11:$B$70,"=ML")</f>
        <v>6</v>
      </c>
      <c r="D2" s="84">
        <f>VLOOKUP($B2,AMABat!$B$2:$C$8,2,FALSE)</f>
        <v>11</v>
      </c>
      <c r="E2">
        <v>25</v>
      </c>
      <c r="F2" s="99">
        <f>C2/$E2</f>
        <v>0.24</v>
      </c>
      <c r="G2" s="90">
        <f>D2/$E2</f>
        <v>0.44</v>
      </c>
      <c r="H2" s="99">
        <f>(C2+D2)/$E2</f>
        <v>0.68</v>
      </c>
      <c r="J2"/>
      <c r="P2" s="3"/>
      <c r="Q2"/>
      <c r="T2"/>
      <c r="U2" s="3"/>
      <c r="Z2" s="3"/>
      <c r="AK2" s="3"/>
      <c r="AN2" s="3"/>
      <c r="AP2" s="3"/>
      <c r="AR2" s="5"/>
      <c r="AU2"/>
      <c r="AW2" s="46"/>
      <c r="AX2" s="5"/>
      <c r="BC2" s="5"/>
      <c r="BF2" s="3"/>
      <c r="BG2" s="46"/>
      <c r="BH2" s="5"/>
      <c r="BI2" s="5"/>
      <c r="BJ2" s="5"/>
      <c r="BK2" s="5"/>
      <c r="BL2" s="5"/>
      <c r="BM2" s="5"/>
      <c r="BN2" s="5"/>
      <c r="BO2" s="3"/>
    </row>
    <row r="3" spans="1:92" x14ac:dyDescent="0.25">
      <c r="B3" t="s">
        <v>185</v>
      </c>
      <c r="C3">
        <f>COUNTIF($B$11:$B$70,"=AAA")</f>
        <v>5</v>
      </c>
      <c r="D3" s="84">
        <f>VLOOKUP($B3,AMABat!$B$2:$C$8,2,FALSE)</f>
        <v>1</v>
      </c>
      <c r="E3">
        <v>25</v>
      </c>
      <c r="F3" s="99">
        <f t="shared" ref="F3:F6" si="0">C3/$E3</f>
        <v>0.2</v>
      </c>
      <c r="G3" s="90">
        <f>D3/$E3</f>
        <v>0.04</v>
      </c>
      <c r="H3" s="99">
        <f>(C3+D3)/$E3</f>
        <v>0.24</v>
      </c>
      <c r="J3"/>
      <c r="P3" s="3"/>
      <c r="Q3"/>
      <c r="T3"/>
      <c r="U3" s="3"/>
      <c r="Z3" s="3"/>
      <c r="AK3" s="3"/>
      <c r="AN3" s="3"/>
      <c r="AP3" s="3"/>
      <c r="AR3" s="5"/>
      <c r="AU3"/>
      <c r="AW3" s="46"/>
      <c r="AX3" s="5"/>
      <c r="BC3" s="5"/>
      <c r="BF3" s="3"/>
      <c r="BG3" s="46"/>
      <c r="BH3" s="5"/>
      <c r="BI3" s="5"/>
      <c r="BJ3" s="5"/>
      <c r="BK3" s="5"/>
      <c r="BL3" s="5"/>
      <c r="BM3" s="5"/>
      <c r="BN3" s="5"/>
      <c r="BO3" s="3"/>
    </row>
    <row r="4" spans="1:92" x14ac:dyDescent="0.25">
      <c r="B4" t="s">
        <v>186</v>
      </c>
      <c r="C4">
        <f>COUNTIF($B$11:$B$70,"=AA")</f>
        <v>1</v>
      </c>
      <c r="D4" s="84">
        <f>VLOOKUP($B4,AMABat!$B$2:$C$8,2,FALSE)</f>
        <v>0</v>
      </c>
      <c r="E4">
        <v>25</v>
      </c>
      <c r="F4" s="99">
        <f t="shared" si="0"/>
        <v>0.04</v>
      </c>
      <c r="G4" s="90">
        <f>D4/$E4</f>
        <v>0</v>
      </c>
      <c r="H4" s="99">
        <f>(C4+D4)/$E4</f>
        <v>0.04</v>
      </c>
      <c r="J4"/>
      <c r="P4" s="3"/>
      <c r="Q4"/>
      <c r="T4"/>
      <c r="U4" s="3"/>
      <c r="Z4" s="3"/>
      <c r="AK4" s="3"/>
      <c r="AN4" s="3"/>
      <c r="AP4" s="3"/>
      <c r="AR4" s="5"/>
      <c r="AU4"/>
      <c r="AW4" s="46"/>
      <c r="AX4" s="5"/>
      <c r="BC4" s="5"/>
      <c r="BF4" s="3"/>
      <c r="BG4" s="46"/>
      <c r="BH4" s="5"/>
      <c r="BI4" s="5"/>
      <c r="BJ4" s="5"/>
      <c r="BK4" s="5"/>
      <c r="BL4" s="5"/>
      <c r="BM4" s="5"/>
      <c r="BN4" s="5"/>
      <c r="BO4" s="3"/>
    </row>
    <row r="5" spans="1:92" x14ac:dyDescent="0.25">
      <c r="B5" t="s">
        <v>187</v>
      </c>
      <c r="C5">
        <f>COUNTIF($B$11:$B$70,"=A")</f>
        <v>1</v>
      </c>
      <c r="D5" s="84">
        <f>VLOOKUP($B5,AMABat!$B$2:$C$8,2,FALSE)</f>
        <v>0</v>
      </c>
      <c r="E5">
        <v>25</v>
      </c>
      <c r="F5" s="99">
        <f t="shared" si="0"/>
        <v>0.04</v>
      </c>
      <c r="G5" s="90">
        <f>D5/$E5</f>
        <v>0</v>
      </c>
      <c r="H5" s="99">
        <f>(C5+D5)/$E5</f>
        <v>0.04</v>
      </c>
      <c r="J5"/>
      <c r="P5" s="3"/>
      <c r="Q5"/>
      <c r="T5"/>
      <c r="U5" s="3"/>
      <c r="Z5" s="3"/>
      <c r="AK5" s="3"/>
      <c r="AN5" s="3"/>
      <c r="AP5" s="3"/>
      <c r="AR5" s="5"/>
      <c r="AU5"/>
      <c r="AW5" s="46"/>
      <c r="AX5" s="5"/>
      <c r="BC5" s="5"/>
      <c r="BF5" s="3"/>
      <c r="BG5" s="46"/>
      <c r="BH5" s="5"/>
      <c r="BI5" s="5"/>
      <c r="BJ5" s="5"/>
      <c r="BK5" s="5"/>
      <c r="BL5" s="5"/>
      <c r="BM5" s="5"/>
      <c r="BN5" s="5"/>
      <c r="BO5" s="3"/>
    </row>
    <row r="6" spans="1:92" x14ac:dyDescent="0.25">
      <c r="B6" t="s">
        <v>278</v>
      </c>
      <c r="C6">
        <f>COUNTIF($B$11:$B$70,"=SS-A")</f>
        <v>0</v>
      </c>
      <c r="D6" s="84" t="e">
        <f>VLOOKUP($B6,AMABat!$B$2:$C$8,2,FALSE)</f>
        <v>#N/A</v>
      </c>
      <c r="E6">
        <v>35</v>
      </c>
      <c r="F6" s="99">
        <f t="shared" si="0"/>
        <v>0</v>
      </c>
      <c r="G6" s="90" t="e">
        <f>D6/$E6</f>
        <v>#N/A</v>
      </c>
      <c r="H6" s="99" t="e">
        <f>(C6+D6)/$E6</f>
        <v>#N/A</v>
      </c>
      <c r="J6"/>
      <c r="P6" s="3"/>
      <c r="Q6"/>
      <c r="T6"/>
      <c r="U6" s="3"/>
      <c r="Z6" s="3"/>
      <c r="AK6" s="3"/>
      <c r="AN6" s="3"/>
      <c r="AP6" s="3"/>
      <c r="AR6" s="5"/>
      <c r="AU6"/>
      <c r="AW6" s="46"/>
      <c r="AX6" s="5"/>
      <c r="BC6" s="5"/>
      <c r="BF6" s="3"/>
      <c r="BG6" s="46"/>
      <c r="BH6" s="5"/>
      <c r="BI6" s="5"/>
      <c r="BJ6" s="5"/>
      <c r="BK6" s="5"/>
      <c r="BL6" s="5"/>
      <c r="BM6" s="5"/>
      <c r="BN6" s="5"/>
      <c r="BO6" s="3"/>
    </row>
    <row r="7" spans="1:92" s="84" customFormat="1" x14ac:dyDescent="0.25">
      <c r="A7" s="306"/>
      <c r="B7" t="s">
        <v>192</v>
      </c>
      <c r="C7">
        <f>COUNTBLANK($B$11:$B$70)-COUNTBLANK($I$11:$I$70)</f>
        <v>47</v>
      </c>
      <c r="D7" s="84">
        <f>VLOOKUP($B7,AMABat!$B$2:$C$8,2,FALSE)</f>
        <v>81</v>
      </c>
      <c r="E7" s="90"/>
      <c r="F7" s="99"/>
      <c r="G7" s="90"/>
      <c r="H7" s="99"/>
      <c r="J7"/>
      <c r="K7"/>
      <c r="L7"/>
      <c r="M7"/>
      <c r="N7" s="3"/>
      <c r="O7"/>
      <c r="P7" s="3"/>
      <c r="Q7"/>
      <c r="R7"/>
      <c r="S7"/>
      <c r="T7"/>
      <c r="U7" s="3"/>
      <c r="V7"/>
      <c r="W7"/>
      <c r="X7"/>
      <c r="Y7"/>
      <c r="Z7" s="3"/>
      <c r="AA7"/>
      <c r="AB7"/>
      <c r="AC7"/>
      <c r="AD7"/>
      <c r="AE7"/>
      <c r="AF7"/>
      <c r="AG7"/>
      <c r="AH7"/>
      <c r="AI7"/>
      <c r="AJ7"/>
      <c r="AK7" s="3"/>
      <c r="AL7"/>
      <c r="AM7"/>
      <c r="AN7" s="3"/>
      <c r="AO7"/>
      <c r="AP7" s="3"/>
      <c r="AQ7"/>
      <c r="AR7" s="5"/>
      <c r="AS7"/>
      <c r="AT7"/>
      <c r="AU7"/>
      <c r="AV7"/>
      <c r="AW7" s="46"/>
      <c r="AX7" s="5"/>
      <c r="AY7" s="5"/>
      <c r="AZ7" s="372"/>
      <c r="BA7" s="5"/>
      <c r="BB7" s="5"/>
      <c r="BC7" s="5"/>
      <c r="BD7" s="5"/>
      <c r="BE7" s="5"/>
      <c r="BF7" s="3"/>
      <c r="BG7" s="46"/>
      <c r="BH7" s="5"/>
      <c r="BI7" s="5"/>
      <c r="BJ7" s="5"/>
      <c r="BK7" s="5"/>
      <c r="BL7" s="5"/>
      <c r="BM7" s="5"/>
      <c r="BN7" s="5"/>
      <c r="BO7" s="3"/>
      <c r="BP7"/>
      <c r="BQ7"/>
      <c r="BR7"/>
    </row>
    <row r="8" spans="1:92" s="84" customFormat="1" x14ac:dyDescent="0.25">
      <c r="A8" s="306"/>
      <c r="B8" t="s">
        <v>193</v>
      </c>
      <c r="C8">
        <f>SUM(C2:C7)</f>
        <v>60</v>
      </c>
      <c r="D8" t="e">
        <f>SUM(D2:D7)</f>
        <v>#N/A</v>
      </c>
      <c r="E8">
        <f>SUM(E2:E7)</f>
        <v>135</v>
      </c>
      <c r="F8" s="99">
        <f t="shared" ref="F8" si="1">C8/$E8</f>
        <v>0.44444444444444442</v>
      </c>
      <c r="G8" s="90" t="e">
        <f>D8/$E8</f>
        <v>#N/A</v>
      </c>
      <c r="H8" s="99" t="e">
        <f>(C8+D8)/$E8</f>
        <v>#N/A</v>
      </c>
      <c r="J8"/>
      <c r="K8"/>
      <c r="L8"/>
      <c r="M8"/>
      <c r="N8" s="3"/>
      <c r="O8"/>
      <c r="P8" s="3"/>
      <c r="Q8"/>
      <c r="R8"/>
      <c r="S8"/>
      <c r="T8"/>
      <c r="U8" s="3"/>
      <c r="V8"/>
      <c r="W8"/>
      <c r="X8"/>
      <c r="Y8"/>
      <c r="Z8" s="3"/>
      <c r="AA8"/>
      <c r="AB8"/>
      <c r="AC8"/>
      <c r="AD8"/>
      <c r="AE8"/>
      <c r="AF8"/>
      <c r="AG8"/>
      <c r="AH8"/>
      <c r="AI8"/>
      <c r="AJ8"/>
      <c r="AK8" s="3"/>
      <c r="AL8"/>
      <c r="AM8"/>
      <c r="AN8" s="3"/>
      <c r="AO8"/>
      <c r="AP8" s="3"/>
      <c r="AQ8"/>
      <c r="AR8" s="5"/>
      <c r="AS8"/>
      <c r="AT8"/>
      <c r="AU8"/>
      <c r="AV8"/>
      <c r="AW8" s="46"/>
      <c r="AX8" s="5"/>
      <c r="AY8" s="5"/>
      <c r="AZ8" s="372"/>
      <c r="BA8" s="5"/>
      <c r="BB8" s="5"/>
      <c r="BC8" s="5"/>
      <c r="BD8" s="5"/>
      <c r="BE8" s="5"/>
      <c r="BF8" s="3"/>
      <c r="BG8" s="46"/>
      <c r="BH8" s="5"/>
      <c r="BI8" s="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</row>
    <row r="9" spans="1:92" x14ac:dyDescent="0.25">
      <c r="J9"/>
      <c r="N9"/>
      <c r="P9" s="3"/>
      <c r="Q9"/>
      <c r="R9" s="3"/>
      <c r="T9"/>
      <c r="W9" s="3"/>
      <c r="AB9" s="3"/>
      <c r="AM9" s="3"/>
      <c r="AP9" s="3"/>
      <c r="AT9" s="5"/>
      <c r="AU9"/>
      <c r="AW9"/>
      <c r="AY9" s="46"/>
      <c r="BC9" s="5"/>
      <c r="BG9" s="5"/>
      <c r="BH9" s="3"/>
      <c r="BI9" s="46"/>
      <c r="BJ9" s="84">
        <v>17</v>
      </c>
      <c r="BK9" s="84">
        <v>18</v>
      </c>
      <c r="BL9" s="306">
        <v>19</v>
      </c>
      <c r="BM9" s="306">
        <v>20</v>
      </c>
      <c r="BN9" s="306">
        <v>21</v>
      </c>
      <c r="BO9" s="306">
        <v>22</v>
      </c>
      <c r="BP9" s="306">
        <v>23</v>
      </c>
      <c r="BQ9" s="306">
        <v>24</v>
      </c>
      <c r="BR9" s="306">
        <v>25</v>
      </c>
      <c r="BS9" s="306">
        <v>26</v>
      </c>
      <c r="BT9" s="306">
        <v>27</v>
      </c>
      <c r="BU9" s="306">
        <v>28</v>
      </c>
      <c r="BV9" s="306">
        <v>29</v>
      </c>
      <c r="BW9" s="306">
        <v>30</v>
      </c>
      <c r="BX9" s="306">
        <v>31</v>
      </c>
      <c r="BY9" s="306">
        <v>32</v>
      </c>
      <c r="BZ9" s="306">
        <v>33</v>
      </c>
      <c r="CA9" s="306">
        <v>34</v>
      </c>
      <c r="CB9" s="306">
        <v>35</v>
      </c>
      <c r="CC9" s="306">
        <v>36</v>
      </c>
      <c r="CD9" s="306">
        <v>37</v>
      </c>
      <c r="CE9" s="306">
        <v>38</v>
      </c>
      <c r="CF9" s="306">
        <v>39</v>
      </c>
      <c r="CG9" s="306">
        <v>40</v>
      </c>
      <c r="CH9" s="306">
        <v>41</v>
      </c>
      <c r="CI9" s="306">
        <v>42</v>
      </c>
      <c r="CJ9" s="306">
        <v>43</v>
      </c>
      <c r="CK9" s="306">
        <v>44</v>
      </c>
      <c r="CL9" s="306">
        <v>45</v>
      </c>
      <c r="CM9" s="306">
        <v>46</v>
      </c>
    </row>
    <row r="10" spans="1:92" s="1" customFormat="1" x14ac:dyDescent="0.25">
      <c r="A10" s="1" t="s">
        <v>12</v>
      </c>
      <c r="B10" s="1" t="s">
        <v>183</v>
      </c>
      <c r="C10" s="1" t="s">
        <v>188</v>
      </c>
      <c r="D10" s="1" t="s">
        <v>92</v>
      </c>
      <c r="E10" s="1" t="s">
        <v>35</v>
      </c>
      <c r="F10" s="1" t="s">
        <v>398</v>
      </c>
      <c r="G10" s="1" t="s">
        <v>399</v>
      </c>
      <c r="H10" s="1" t="s">
        <v>318</v>
      </c>
      <c r="I10" s="1" t="s">
        <v>1030</v>
      </c>
      <c r="J10" s="1" t="s">
        <v>70</v>
      </c>
      <c r="K10" s="1" t="s">
        <v>80</v>
      </c>
      <c r="L10" s="2" t="s">
        <v>81</v>
      </c>
      <c r="M10" s="1" t="s">
        <v>13</v>
      </c>
      <c r="N10" s="1" t="s">
        <v>14</v>
      </c>
      <c r="O10" s="1" t="s">
        <v>15</v>
      </c>
      <c r="P10" s="2" t="s">
        <v>16</v>
      </c>
      <c r="Q10" s="1" t="s">
        <v>36</v>
      </c>
      <c r="R10" s="1" t="s">
        <v>37</v>
      </c>
      <c r="S10" s="2" t="s">
        <v>17</v>
      </c>
      <c r="T10" s="1" t="s">
        <v>38</v>
      </c>
      <c r="U10" s="1" t="s">
        <v>39</v>
      </c>
      <c r="V10" s="2" t="s">
        <v>22</v>
      </c>
      <c r="W10" s="1" t="s">
        <v>40</v>
      </c>
      <c r="X10" s="1" t="s">
        <v>41</v>
      </c>
      <c r="Y10" s="1" t="s">
        <v>42</v>
      </c>
      <c r="Z10" s="1" t="s">
        <v>43</v>
      </c>
      <c r="AA10" s="1" t="s">
        <v>44</v>
      </c>
      <c r="AB10" s="1" t="s">
        <v>45</v>
      </c>
      <c r="AC10" s="1" t="s">
        <v>46</v>
      </c>
      <c r="AD10" s="1" t="s">
        <v>47</v>
      </c>
      <c r="AE10" s="1" t="s">
        <v>48</v>
      </c>
      <c r="AF10" s="1" t="s">
        <v>49</v>
      </c>
      <c r="AG10" s="1" t="s">
        <v>87</v>
      </c>
      <c r="AH10" s="1" t="s">
        <v>50</v>
      </c>
      <c r="AI10" s="1" t="s">
        <v>51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  <c r="AO10" s="1" t="s">
        <v>57</v>
      </c>
      <c r="AP10" s="1" t="s">
        <v>58</v>
      </c>
      <c r="AQ10" s="1" t="s">
        <v>59</v>
      </c>
      <c r="AR10" s="1" t="s">
        <v>60</v>
      </c>
      <c r="AS10" s="1" t="s">
        <v>61</v>
      </c>
      <c r="AT10" s="2" t="s">
        <v>62</v>
      </c>
      <c r="AU10" s="1" t="s">
        <v>63</v>
      </c>
      <c r="AV10" s="1" t="s">
        <v>64</v>
      </c>
      <c r="AW10" s="2" t="s">
        <v>65</v>
      </c>
      <c r="AX10" s="1" t="s">
        <v>30</v>
      </c>
      <c r="AY10" s="2" t="s">
        <v>31</v>
      </c>
      <c r="AZ10" s="4" t="s">
        <v>760</v>
      </c>
      <c r="BA10" s="1" t="s">
        <v>90</v>
      </c>
      <c r="BB10" s="4" t="s">
        <v>67</v>
      </c>
      <c r="BC10" s="4" t="s">
        <v>91</v>
      </c>
      <c r="BD10" s="4" t="s">
        <v>1100</v>
      </c>
      <c r="BE10" s="4" t="s">
        <v>66</v>
      </c>
      <c r="BF10" s="4" t="s">
        <v>69</v>
      </c>
      <c r="BG10" s="4" t="s">
        <v>166</v>
      </c>
      <c r="BH10" s="4" t="s">
        <v>179</v>
      </c>
      <c r="BI10" s="1" t="s">
        <v>93</v>
      </c>
      <c r="BJ10" s="97" t="s">
        <v>1101</v>
      </c>
      <c r="BK10" s="97" t="s">
        <v>1102</v>
      </c>
      <c r="BL10" s="97" t="s">
        <v>1103</v>
      </c>
      <c r="BM10" s="97" t="s">
        <v>1104</v>
      </c>
      <c r="BN10" s="97" t="s">
        <v>1105</v>
      </c>
      <c r="BO10" s="97" t="s">
        <v>1106</v>
      </c>
      <c r="BP10" s="97" t="s">
        <v>1107</v>
      </c>
      <c r="BQ10" s="97" t="s">
        <v>1108</v>
      </c>
      <c r="BR10" s="97" t="s">
        <v>1109</v>
      </c>
      <c r="BS10" s="97" t="s">
        <v>1110</v>
      </c>
      <c r="BT10" s="97" t="s">
        <v>1111</v>
      </c>
      <c r="BU10" s="97" t="s">
        <v>1112</v>
      </c>
      <c r="BV10" s="97" t="s">
        <v>1113</v>
      </c>
      <c r="BW10" s="97" t="s">
        <v>1114</v>
      </c>
      <c r="BX10" s="97" t="s">
        <v>1115</v>
      </c>
      <c r="BY10" s="97" t="s">
        <v>1116</v>
      </c>
      <c r="BZ10" s="97" t="s">
        <v>1117</v>
      </c>
      <c r="CA10" s="97" t="s">
        <v>1118</v>
      </c>
      <c r="CB10" s="97" t="s">
        <v>1119</v>
      </c>
      <c r="CC10" s="97" t="s">
        <v>1120</v>
      </c>
      <c r="CD10" s="97" t="s">
        <v>1121</v>
      </c>
      <c r="CE10" s="97" t="s">
        <v>1122</v>
      </c>
      <c r="CF10" s="97" t="s">
        <v>1123</v>
      </c>
      <c r="CG10" s="97" t="s">
        <v>1124</v>
      </c>
      <c r="CH10" s="97" t="s">
        <v>1125</v>
      </c>
      <c r="CI10" s="97" t="s">
        <v>1126</v>
      </c>
      <c r="CJ10" s="97" t="s">
        <v>1127</v>
      </c>
      <c r="CK10" s="97" t="s">
        <v>1128</v>
      </c>
      <c r="CL10" s="97" t="s">
        <v>1129</v>
      </c>
      <c r="CM10" s="97" t="s">
        <v>1130</v>
      </c>
      <c r="CN10" s="1" t="s">
        <v>193</v>
      </c>
    </row>
    <row r="11" spans="1:92" x14ac:dyDescent="0.25">
      <c r="A11" s="305" t="s">
        <v>527</v>
      </c>
      <c r="D11" t="s">
        <v>72</v>
      </c>
      <c r="E11" t="s">
        <v>87</v>
      </c>
      <c r="F11" t="s">
        <v>1141</v>
      </c>
      <c r="G11" s="305" t="s">
        <v>1210</v>
      </c>
      <c r="H11" t="s">
        <v>763</v>
      </c>
      <c r="I11" t="s">
        <v>402</v>
      </c>
      <c r="J11">
        <v>31</v>
      </c>
      <c r="K11" t="s">
        <v>83</v>
      </c>
      <c r="L11" s="3" t="s">
        <v>82</v>
      </c>
      <c r="M11" t="s">
        <v>922</v>
      </c>
      <c r="N11" t="s">
        <v>922</v>
      </c>
      <c r="O11" t="s">
        <v>199</v>
      </c>
      <c r="P11" s="3" t="s">
        <v>200</v>
      </c>
      <c r="Q11">
        <v>10</v>
      </c>
      <c r="R11">
        <v>7</v>
      </c>
      <c r="S11" s="3">
        <v>5</v>
      </c>
      <c r="T11">
        <v>10</v>
      </c>
      <c r="U11">
        <v>7</v>
      </c>
      <c r="V11" s="3">
        <v>5</v>
      </c>
      <c r="W11">
        <v>10</v>
      </c>
      <c r="X11">
        <v>10</v>
      </c>
      <c r="Y11">
        <v>10</v>
      </c>
      <c r="Z11">
        <v>10</v>
      </c>
      <c r="AA11" t="s">
        <v>32</v>
      </c>
      <c r="AB11" t="s">
        <v>32</v>
      </c>
      <c r="AC11" t="s">
        <v>32</v>
      </c>
      <c r="AD11" t="s">
        <v>32</v>
      </c>
      <c r="AE11">
        <v>8</v>
      </c>
      <c r="AF11">
        <v>8</v>
      </c>
      <c r="AG11" t="s">
        <v>32</v>
      </c>
      <c r="AH11" t="s">
        <v>32</v>
      </c>
      <c r="AI11" t="s">
        <v>32</v>
      </c>
      <c r="AJ11" t="s">
        <v>32</v>
      </c>
      <c r="AK11" t="s">
        <v>32</v>
      </c>
      <c r="AL11" t="s">
        <v>32</v>
      </c>
      <c r="AM11" t="s">
        <v>32</v>
      </c>
      <c r="AN11" t="s">
        <v>32</v>
      </c>
      <c r="AO11" t="s">
        <v>32</v>
      </c>
      <c r="AP11" t="s">
        <v>32</v>
      </c>
      <c r="AQ11" t="s">
        <v>32</v>
      </c>
      <c r="AR11" t="s">
        <v>32</v>
      </c>
      <c r="AS11" t="s">
        <v>32</v>
      </c>
      <c r="AT11" s="3" t="s">
        <v>32</v>
      </c>
      <c r="AU11" t="s">
        <v>326</v>
      </c>
      <c r="AV11">
        <v>10</v>
      </c>
      <c r="AW11" s="11" t="s">
        <v>490</v>
      </c>
      <c r="AX11" s="78">
        <v>43980000</v>
      </c>
      <c r="AY11" s="3">
        <v>6</v>
      </c>
      <c r="AZ11" s="372" t="s">
        <v>199</v>
      </c>
      <c r="BA11" s="6">
        <f t="shared" ref="BA11:BA42" si="2">AVERAGE(Q11:S11)+0.25*MAX(0,(COUNT(W11,Y11,AA11,AC11,AE11,AG11,AI11,AK11,AM11,AO11,AQ11,AS11)-3))+IF(AW11&gt;0.55,0.25,0)+IF(MAX(W11,Y11,AA11,AC11,AE11,AG11,AI11,AK11,AM11,AO11,AQ11,AS11)&gt;5,0.25,0)</f>
        <v>7.833333333333333</v>
      </c>
      <c r="BB11" s="9" t="str">
        <f t="shared" ref="BB11:BB42" si="3">IF(BA11&gt;9,"SuperStar",IF(BA11&gt;8,"Star",IF(BA11&gt;6.5,"GoodReg",IF(BA11&gt;5,"Reg",IF(BA11&gt;4,"Bench","Minors")))))</f>
        <v>GoodReg</v>
      </c>
      <c r="BC11" s="9">
        <f t="shared" ref="BC11:BC42" si="4">AVERAGE(T11:V11)+0.25*MAX(0,(COUNT(X11,Z11,AB11,AD11,AF11,AH11,AJ11,AL11,AN11,AP11,AR11,AT11)-3))+IF(AW11&gt;0.55,0.25,0)+IF(MAX(X11,Z11,AB11,AD11,AF11,AH11,AJ11,AL11,AN11,AP11,AR11,AT11)&gt;5,0.25,0)</f>
        <v>7.833333333333333</v>
      </c>
      <c r="BD11" s="9" t="str">
        <f t="shared" ref="BD11:BD42" si="5">IF(BC11&gt;9,"SuperStar",IF(BC11&gt;8,"Star",IF(BC11&gt;6.5,"GoodReg",IF(BC11&gt;5,"Reg",IF(BC11&gt;4,"Bench","Minors")))))</f>
        <v>GoodReg</v>
      </c>
      <c r="BE11" s="9">
        <f t="shared" ref="BE11:BE42" si="6">MIN(BA11+(MAX(0,25-U11))^1.5,BC11)</f>
        <v>7.833333333333333</v>
      </c>
      <c r="BF11" s="9" t="str">
        <f t="shared" ref="BF11:BF42" si="7">IF(BE11&gt;9,"SuperStar",IF(BE11&gt;8,"Star",IF(BE11&gt;6.5,"GoodReg",IF(BE11&gt;5,"Reg",IF(BE11&gt;4,"Bench","Minors")))))</f>
        <v>GoodReg</v>
      </c>
      <c r="BG11" s="77">
        <f t="shared" ref="BG11:BG42" si="8">COUNT(W11:AT11)/2</f>
        <v>3</v>
      </c>
      <c r="BH11" s="76">
        <f t="shared" ref="BH11:BH42" si="9">COUNTIF(W11:AT11,"&gt;5")/2</f>
        <v>3</v>
      </c>
      <c r="BI11" t="str">
        <f t="shared" ref="BI11:BI42" si="10">IF(AY11=1,"Yes","")</f>
        <v/>
      </c>
      <c r="BJ11" s="84" t="e">
        <f>IF(Q11="-","-",VLOOKUP($A11,AMAPit!$A$10:$AY$122,BJ$9,FALSE)-Q11)</f>
        <v>#N/A</v>
      </c>
      <c r="BK11" s="306" t="e">
        <f>IF(R11="-","-",VLOOKUP($A11,AMAPit!$A$10:$AY$122,BK$9,FALSE)-R11)</f>
        <v>#N/A</v>
      </c>
      <c r="BL11" s="306" t="e">
        <f>IF(S11="-","-",VLOOKUP($A11,AMAPit!$A$10:$AY$122,BL$9,FALSE)-S11)</f>
        <v>#N/A</v>
      </c>
      <c r="BM11" s="306" t="e">
        <f>IF(T11="-","-",VLOOKUP($A11,AMAPit!$A$10:$AY$122,BM$9,FALSE)-T11)</f>
        <v>#N/A</v>
      </c>
      <c r="BN11" s="306" t="e">
        <f>IF(U11="-","-",VLOOKUP($A11,AMAPit!$A$10:$AY$122,BN$9,FALSE)-U11)</f>
        <v>#N/A</v>
      </c>
      <c r="BO11" s="306" t="e">
        <f>IF(V11="-","-",VLOOKUP($A11,AMAPit!$A$10:$AY$122,BO$9,FALSE)-V11)</f>
        <v>#N/A</v>
      </c>
      <c r="BP11" s="306" t="e">
        <f>IF(W11="-","-",VLOOKUP($A11,AMAPit!$A$10:$AY$122,BP$9,FALSE)-W11)</f>
        <v>#N/A</v>
      </c>
      <c r="BQ11" s="306" t="e">
        <f>IF(X11="-","-",VLOOKUP($A11,AMAPit!$A$10:$AY$122,BQ$9,FALSE)-X11)</f>
        <v>#N/A</v>
      </c>
      <c r="BR11" s="306" t="e">
        <f>IF(Y11="-","-",VLOOKUP($A11,AMAPit!$A$10:$AY$122,BR$9,FALSE)-Y11)</f>
        <v>#N/A</v>
      </c>
      <c r="BS11" s="306" t="e">
        <f>IF(Z11="-","-",VLOOKUP($A11,AMAPit!$A$10:$AY$122,BS$9,FALSE)-Z11)</f>
        <v>#N/A</v>
      </c>
      <c r="BT11" s="306" t="str">
        <f>IF(AA11="-","-",VLOOKUP($A11,AMAPit!$A$10:$AY$122,BT$9,FALSE)-AA11)</f>
        <v>-</v>
      </c>
      <c r="BU11" s="306" t="str">
        <f>IF(AB11="-","-",VLOOKUP($A11,AMAPit!$A$10:$AY$122,BU$9,FALSE)-AB11)</f>
        <v>-</v>
      </c>
      <c r="BV11" s="306" t="str">
        <f>IF(AC11="-","-",VLOOKUP($A11,AMAPit!$A$10:$AY$122,BV$9,FALSE)-AC11)</f>
        <v>-</v>
      </c>
      <c r="BW11" s="306" t="str">
        <f>IF(AD11="-","-",VLOOKUP($A11,AMAPit!$A$10:$AY$122,BW$9,FALSE)-AD11)</f>
        <v>-</v>
      </c>
      <c r="BX11" s="306" t="e">
        <f>IF(AE11="-","-",VLOOKUP($A11,AMAPit!$A$10:$AY$122,BX$9,FALSE)-AE11)</f>
        <v>#N/A</v>
      </c>
      <c r="BY11" s="306" t="e">
        <f>IF(AF11="-","-",VLOOKUP($A11,AMAPit!$A$10:$AY$122,BY$9,FALSE)-AF11)</f>
        <v>#N/A</v>
      </c>
      <c r="BZ11" s="306" t="str">
        <f>IF(AG11="-","-",VLOOKUP($A11,AMAPit!$A$10:$AY$122,BZ$9,FALSE)-AG11)</f>
        <v>-</v>
      </c>
      <c r="CA11" s="306" t="str">
        <f>IF(AH11="-","-",VLOOKUP($A11,AMAPit!$A$10:$AY$122,CA$9,FALSE)-AH11)</f>
        <v>-</v>
      </c>
      <c r="CB11" s="306" t="str">
        <f>IF(AI11="-","-",VLOOKUP($A11,AMAPit!$A$10:$AY$122,CB$9,FALSE)-AI11)</f>
        <v>-</v>
      </c>
      <c r="CC11" s="306" t="str">
        <f>IF(AJ11="-","-",VLOOKUP($A11,AMAPit!$A$10:$AY$122,CC$9,FALSE)-AJ11)</f>
        <v>-</v>
      </c>
      <c r="CD11" s="306" t="str">
        <f>IF(AK11="-","-",VLOOKUP($A11,AMAPit!$A$10:$AY$122,CD$9,FALSE)-AK11)</f>
        <v>-</v>
      </c>
      <c r="CE11" s="306" t="str">
        <f>IF(AL11="-","-",VLOOKUP($A11,AMAPit!$A$10:$AY$122,CE$9,FALSE)-AL11)</f>
        <v>-</v>
      </c>
      <c r="CF11" s="306" t="str">
        <f>IF(AM11="-","-",VLOOKUP($A11,AMAPit!$A$10:$AY$122,CF$9,FALSE)-AM11)</f>
        <v>-</v>
      </c>
      <c r="CG11" s="306" t="str">
        <f>IF(AN11="-","-",VLOOKUP($A11,AMAPit!$A$10:$AY$122,CG$9,FALSE)-AN11)</f>
        <v>-</v>
      </c>
      <c r="CH11" s="306" t="str">
        <f>IF(AO11="-","-",VLOOKUP($A11,AMAPit!$A$10:$AY$122,CH$9,FALSE)-AO11)</f>
        <v>-</v>
      </c>
      <c r="CI11" s="306" t="str">
        <f>IF(AP11="-","-",VLOOKUP($A11,AMAPit!$A$10:$AY$122,CI$9,FALSE)-AP11)</f>
        <v>-</v>
      </c>
      <c r="CJ11" s="306" t="str">
        <f>IF(AQ11="-","-",VLOOKUP($A11,AMAPit!$A$10:$AY$122,CJ$9,FALSE)-AQ11)</f>
        <v>-</v>
      </c>
      <c r="CK11" s="306" t="str">
        <f>IF(AR11="-","-",VLOOKUP($A11,AMAPit!$A$10:$AY$122,CK$9,FALSE)-AR11)</f>
        <v>-</v>
      </c>
      <c r="CL11" s="306" t="str">
        <f>IF(AS11="-","-",VLOOKUP($A11,AMAPit!$A$10:$AY$122,CL$9,FALSE)-AS11)</f>
        <v>-</v>
      </c>
      <c r="CM11" s="306" t="str">
        <f>IF(AT11="-","-",VLOOKUP($A11,AMAPit!$A$10:$AY$122,CM$9,FALSE)-AT11)</f>
        <v>-</v>
      </c>
      <c r="CN11" t="e">
        <f t="shared" ref="CN11:CN42" si="11">SUM(BJ11:CM11)</f>
        <v>#N/A</v>
      </c>
    </row>
    <row r="12" spans="1:92" x14ac:dyDescent="0.25">
      <c r="A12" s="305" t="s">
        <v>541</v>
      </c>
      <c r="B12" s="305"/>
      <c r="C12" s="305"/>
      <c r="D12" s="305" t="s">
        <v>81</v>
      </c>
      <c r="E12" t="s">
        <v>87</v>
      </c>
      <c r="F12" t="s">
        <v>539</v>
      </c>
      <c r="G12" s="305" t="s">
        <v>540</v>
      </c>
      <c r="H12" t="s">
        <v>763</v>
      </c>
      <c r="I12" t="s">
        <v>402</v>
      </c>
      <c r="J12">
        <v>26</v>
      </c>
      <c r="K12" t="s">
        <v>83</v>
      </c>
      <c r="L12" s="3" t="s">
        <v>83</v>
      </c>
      <c r="M12" t="s">
        <v>865</v>
      </c>
      <c r="N12" t="s">
        <v>922</v>
      </c>
      <c r="O12" t="s">
        <v>200</v>
      </c>
      <c r="P12" s="3" t="s">
        <v>200</v>
      </c>
      <c r="Q12">
        <v>7</v>
      </c>
      <c r="R12">
        <v>6</v>
      </c>
      <c r="S12" s="3">
        <v>7</v>
      </c>
      <c r="T12">
        <v>7</v>
      </c>
      <c r="U12">
        <v>7</v>
      </c>
      <c r="V12" s="3">
        <v>8</v>
      </c>
      <c r="W12">
        <v>7</v>
      </c>
      <c r="X12">
        <v>7</v>
      </c>
      <c r="Y12">
        <v>3</v>
      </c>
      <c r="Z12">
        <v>3</v>
      </c>
      <c r="AA12">
        <v>8</v>
      </c>
      <c r="AB12">
        <v>8</v>
      </c>
      <c r="AC12" t="s">
        <v>32</v>
      </c>
      <c r="AD12" t="s">
        <v>32</v>
      </c>
      <c r="AE12">
        <v>8</v>
      </c>
      <c r="AF12">
        <v>8</v>
      </c>
      <c r="AG12" t="s">
        <v>32</v>
      </c>
      <c r="AH12" t="s">
        <v>32</v>
      </c>
      <c r="AI12" t="s">
        <v>32</v>
      </c>
      <c r="AJ12" t="s">
        <v>32</v>
      </c>
      <c r="AK12">
        <v>7</v>
      </c>
      <c r="AL12">
        <v>8</v>
      </c>
      <c r="AM12" t="s">
        <v>32</v>
      </c>
      <c r="AN12" t="s">
        <v>32</v>
      </c>
      <c r="AO12" t="s">
        <v>32</v>
      </c>
      <c r="AP12" t="s">
        <v>32</v>
      </c>
      <c r="AQ12" t="s">
        <v>32</v>
      </c>
      <c r="AR12" t="s">
        <v>32</v>
      </c>
      <c r="AS12" t="s">
        <v>32</v>
      </c>
      <c r="AT12" s="3" t="s">
        <v>32</v>
      </c>
      <c r="AU12" t="s">
        <v>209</v>
      </c>
      <c r="AV12">
        <v>9</v>
      </c>
      <c r="AW12" s="11" t="s">
        <v>393</v>
      </c>
      <c r="AX12" s="78">
        <v>10520000</v>
      </c>
      <c r="AY12" s="3" t="s">
        <v>34</v>
      </c>
      <c r="AZ12" s="372" t="s">
        <v>199</v>
      </c>
      <c r="BA12" s="6">
        <f t="shared" si="2"/>
        <v>7.666666666666667</v>
      </c>
      <c r="BB12" s="9" t="str">
        <f t="shared" si="3"/>
        <v>GoodReg</v>
      </c>
      <c r="BC12" s="9">
        <f t="shared" si="4"/>
        <v>8.3333333333333321</v>
      </c>
      <c r="BD12" s="9" t="str">
        <f t="shared" si="5"/>
        <v>Star</v>
      </c>
      <c r="BE12" s="9">
        <f t="shared" si="6"/>
        <v>8.3333333333333321</v>
      </c>
      <c r="BF12" s="9" t="str">
        <f t="shared" si="7"/>
        <v>Star</v>
      </c>
      <c r="BG12" s="77">
        <f t="shared" si="8"/>
        <v>5</v>
      </c>
      <c r="BH12" s="76">
        <f t="shared" si="9"/>
        <v>4</v>
      </c>
      <c r="BI12" t="str">
        <f t="shared" si="10"/>
        <v/>
      </c>
      <c r="BJ12" s="306">
        <f>IF(Q12="-","-",VLOOKUP($A12,AMAPit!$A$10:$AY$122,BJ$9,FALSE)-Q12)</f>
        <v>0</v>
      </c>
      <c r="BK12" s="306">
        <f>IF(R12="-","-",VLOOKUP($A12,AMAPit!$A$10:$AY$122,BK$9,FALSE)-R12)</f>
        <v>1</v>
      </c>
      <c r="BL12" s="306">
        <f>IF(S12="-","-",VLOOKUP($A12,AMAPit!$A$10:$AY$122,BL$9,FALSE)-S12)</f>
        <v>0</v>
      </c>
      <c r="BM12" s="306">
        <f>IF(T12="-","-",VLOOKUP($A12,AMAPit!$A$10:$AY$122,BM$9,FALSE)-T12)</f>
        <v>0</v>
      </c>
      <c r="BN12" s="306">
        <f>IF(U12="-","-",VLOOKUP($A12,AMAPit!$A$10:$AY$122,BN$9,FALSE)-U12)</f>
        <v>0</v>
      </c>
      <c r="BO12" s="306">
        <f>IF(V12="-","-",VLOOKUP($A12,AMAPit!$A$10:$AY$122,BO$9,FALSE)-V12)</f>
        <v>0</v>
      </c>
      <c r="BP12" s="306">
        <f>IF(W12="-","-",VLOOKUP($A12,AMAPit!$A$10:$AY$122,BP$9,FALSE)-W12)</f>
        <v>0</v>
      </c>
      <c r="BQ12" s="306">
        <f>IF(X12="-","-",VLOOKUP($A12,AMAPit!$A$10:$AY$122,BQ$9,FALSE)-X12)</f>
        <v>0</v>
      </c>
      <c r="BR12" s="306">
        <f>IF(Y12="-","-",VLOOKUP($A12,AMAPit!$A$10:$AY$122,BR$9,FALSE)-Y12)</f>
        <v>0</v>
      </c>
      <c r="BS12" s="306">
        <f>IF(Z12="-","-",VLOOKUP($A12,AMAPit!$A$10:$AY$122,BS$9,FALSE)-Z12)</f>
        <v>0</v>
      </c>
      <c r="BT12" s="306">
        <f>IF(AA12="-","-",VLOOKUP($A12,AMAPit!$A$10:$AY$122,BT$9,FALSE)-AA12)</f>
        <v>0</v>
      </c>
      <c r="BU12" s="306">
        <f>IF(AB12="-","-",VLOOKUP($A12,AMAPit!$A$10:$AY$122,BU$9,FALSE)-AB12)</f>
        <v>0</v>
      </c>
      <c r="BV12" s="306" t="str">
        <f>IF(AC12="-","-",VLOOKUP($A12,AMAPit!$A$10:$AY$122,BV$9,FALSE)-AC12)</f>
        <v>-</v>
      </c>
      <c r="BW12" s="306" t="str">
        <f>IF(AD12="-","-",VLOOKUP($A12,AMAPit!$A$10:$AY$122,BW$9,FALSE)-AD12)</f>
        <v>-</v>
      </c>
      <c r="BX12" s="306">
        <f>IF(AE12="-","-",VLOOKUP($A12,AMAPit!$A$10:$AY$122,BX$9,FALSE)-AE12)</f>
        <v>0</v>
      </c>
      <c r="BY12" s="306">
        <f>IF(AF12="-","-",VLOOKUP($A12,AMAPit!$A$10:$AY$122,BY$9,FALSE)-AF12)</f>
        <v>0</v>
      </c>
      <c r="BZ12" s="306" t="str">
        <f>IF(AG12="-","-",VLOOKUP($A12,AMAPit!$A$10:$AY$122,BZ$9,FALSE)-AG12)</f>
        <v>-</v>
      </c>
      <c r="CA12" s="306" t="str">
        <f>IF(AH12="-","-",VLOOKUP($A12,AMAPit!$A$10:$AY$122,CA$9,FALSE)-AH12)</f>
        <v>-</v>
      </c>
      <c r="CB12" s="306" t="str">
        <f>IF(AI12="-","-",VLOOKUP($A12,AMAPit!$A$10:$AY$122,CB$9,FALSE)-AI12)</f>
        <v>-</v>
      </c>
      <c r="CC12" s="306" t="str">
        <f>IF(AJ12="-","-",VLOOKUP($A12,AMAPit!$A$10:$AY$122,CC$9,FALSE)-AJ12)</f>
        <v>-</v>
      </c>
      <c r="CD12" s="306">
        <f>IF(AK12="-","-",VLOOKUP($A12,AMAPit!$A$10:$AY$122,CD$9,FALSE)-AK12)</f>
        <v>1</v>
      </c>
      <c r="CE12" s="306">
        <f>IF(AL12="-","-",VLOOKUP($A12,AMAPit!$A$10:$AY$122,CE$9,FALSE)-AL12)</f>
        <v>0</v>
      </c>
      <c r="CF12" s="306" t="str">
        <f>IF(AM12="-","-",VLOOKUP($A12,AMAPit!$A$10:$AY$122,CF$9,FALSE)-AM12)</f>
        <v>-</v>
      </c>
      <c r="CG12" s="306" t="str">
        <f>IF(AN12="-","-",VLOOKUP($A12,AMAPit!$A$10:$AY$122,CG$9,FALSE)-AN12)</f>
        <v>-</v>
      </c>
      <c r="CH12" s="306" t="str">
        <f>IF(AO12="-","-",VLOOKUP($A12,AMAPit!$A$10:$AY$122,CH$9,FALSE)-AO12)</f>
        <v>-</v>
      </c>
      <c r="CI12" s="306" t="str">
        <f>IF(AP12="-","-",VLOOKUP($A12,AMAPit!$A$10:$AY$122,CI$9,FALSE)-AP12)</f>
        <v>-</v>
      </c>
      <c r="CJ12" s="306" t="str">
        <f>IF(AQ12="-","-",VLOOKUP($A12,AMAPit!$A$10:$AY$122,CJ$9,FALSE)-AQ12)</f>
        <v>-</v>
      </c>
      <c r="CK12" s="306" t="str">
        <f>IF(AR12="-","-",VLOOKUP($A12,AMAPit!$A$10:$AY$122,CK$9,FALSE)-AR12)</f>
        <v>-</v>
      </c>
      <c r="CL12" s="306" t="str">
        <f>IF(AS12="-","-",VLOOKUP($A12,AMAPit!$A$10:$AY$122,CL$9,FALSE)-AS12)</f>
        <v>-</v>
      </c>
      <c r="CM12" s="306" t="str">
        <f>IF(AT12="-","-",VLOOKUP($A12,AMAPit!$A$10:$AY$122,CM$9,FALSE)-AT12)</f>
        <v>-</v>
      </c>
      <c r="CN12">
        <f t="shared" si="11"/>
        <v>2</v>
      </c>
    </row>
    <row r="13" spans="1:92" x14ac:dyDescent="0.25">
      <c r="A13" s="305" t="s">
        <v>457</v>
      </c>
      <c r="B13" s="305" t="s">
        <v>184</v>
      </c>
      <c r="C13" s="305"/>
      <c r="D13" s="305" t="s">
        <v>81</v>
      </c>
      <c r="E13" t="s">
        <v>11</v>
      </c>
      <c r="F13" t="s">
        <v>923</v>
      </c>
      <c r="G13" s="305" t="s">
        <v>408</v>
      </c>
      <c r="H13" t="s">
        <v>763</v>
      </c>
      <c r="I13" t="s">
        <v>402</v>
      </c>
      <c r="J13">
        <v>28</v>
      </c>
      <c r="K13" t="s">
        <v>83</v>
      </c>
      <c r="L13" s="210" t="s">
        <v>83</v>
      </c>
      <c r="M13" t="s">
        <v>865</v>
      </c>
      <c r="N13" t="s">
        <v>865</v>
      </c>
      <c r="O13" t="s">
        <v>200</v>
      </c>
      <c r="P13" s="210" t="s">
        <v>200</v>
      </c>
      <c r="Q13">
        <v>6</v>
      </c>
      <c r="R13">
        <v>7</v>
      </c>
      <c r="S13" s="210">
        <v>7</v>
      </c>
      <c r="T13">
        <v>7</v>
      </c>
      <c r="U13">
        <v>7</v>
      </c>
      <c r="V13" s="210">
        <v>7</v>
      </c>
      <c r="W13">
        <v>7</v>
      </c>
      <c r="X13">
        <v>8</v>
      </c>
      <c r="Y13">
        <v>6</v>
      </c>
      <c r="Z13">
        <v>7</v>
      </c>
      <c r="AA13">
        <v>4</v>
      </c>
      <c r="AB13">
        <v>4</v>
      </c>
      <c r="AC13">
        <v>4</v>
      </c>
      <c r="AD13">
        <v>4</v>
      </c>
      <c r="AE13" t="s">
        <v>32</v>
      </c>
      <c r="AF13" t="s">
        <v>32</v>
      </c>
      <c r="AG13" t="s">
        <v>32</v>
      </c>
      <c r="AH13" t="s">
        <v>32</v>
      </c>
      <c r="AI13" t="s">
        <v>32</v>
      </c>
      <c r="AJ13" t="s">
        <v>32</v>
      </c>
      <c r="AK13" t="s">
        <v>32</v>
      </c>
      <c r="AL13" t="s">
        <v>32</v>
      </c>
      <c r="AM13" t="s">
        <v>32</v>
      </c>
      <c r="AN13" t="s">
        <v>32</v>
      </c>
      <c r="AO13" t="s">
        <v>32</v>
      </c>
      <c r="AP13" t="s">
        <v>32</v>
      </c>
      <c r="AQ13" t="s">
        <v>32</v>
      </c>
      <c r="AR13" t="s">
        <v>32</v>
      </c>
      <c r="AS13" t="s">
        <v>32</v>
      </c>
      <c r="AT13" s="210" t="s">
        <v>32</v>
      </c>
      <c r="AU13" t="s">
        <v>7</v>
      </c>
      <c r="AV13">
        <v>7</v>
      </c>
      <c r="AW13" s="235" t="s">
        <v>490</v>
      </c>
      <c r="AX13">
        <v>800000</v>
      </c>
      <c r="AY13" s="8" t="s">
        <v>34</v>
      </c>
      <c r="AZ13" s="9" t="s">
        <v>529</v>
      </c>
      <c r="BA13" s="6">
        <f t="shared" si="2"/>
        <v>7.416666666666667</v>
      </c>
      <c r="BB13" s="9" t="str">
        <f t="shared" si="3"/>
        <v>GoodReg</v>
      </c>
      <c r="BC13" s="9">
        <f t="shared" si="4"/>
        <v>7.75</v>
      </c>
      <c r="BD13" s="9" t="str">
        <f t="shared" si="5"/>
        <v>GoodReg</v>
      </c>
      <c r="BE13" s="9">
        <f t="shared" si="6"/>
        <v>7.75</v>
      </c>
      <c r="BF13" s="9" t="str">
        <f t="shared" si="7"/>
        <v>GoodReg</v>
      </c>
      <c r="BG13" s="77">
        <f t="shared" si="8"/>
        <v>4</v>
      </c>
      <c r="BH13" s="76">
        <f t="shared" si="9"/>
        <v>2</v>
      </c>
      <c r="BI13" t="str">
        <f t="shared" si="10"/>
        <v/>
      </c>
      <c r="BJ13" s="306" t="e">
        <f>IF(Q13="-","-",VLOOKUP($A13,AMAPit!$A$10:$AY$122,BJ$9,FALSE)-Q13)</f>
        <v>#N/A</v>
      </c>
      <c r="BK13" s="306" t="e">
        <f>IF(R13="-","-",VLOOKUP($A13,AMAPit!$A$10:$AY$122,BK$9,FALSE)-R13)</f>
        <v>#N/A</v>
      </c>
      <c r="BL13" s="306" t="e">
        <f>IF(S13="-","-",VLOOKUP($A13,AMAPit!$A$10:$AY$122,BL$9,FALSE)-S13)</f>
        <v>#N/A</v>
      </c>
      <c r="BM13" s="306" t="e">
        <f>IF(T13="-","-",VLOOKUP($A13,AMAPit!$A$10:$AY$122,BM$9,FALSE)-T13)</f>
        <v>#N/A</v>
      </c>
      <c r="BN13" s="306" t="e">
        <f>IF(U13="-","-",VLOOKUP($A13,AMAPit!$A$10:$AY$122,BN$9,FALSE)-U13)</f>
        <v>#N/A</v>
      </c>
      <c r="BO13" s="306" t="e">
        <f>IF(V13="-","-",VLOOKUP($A13,AMAPit!$A$10:$AY$122,BO$9,FALSE)-V13)</f>
        <v>#N/A</v>
      </c>
      <c r="BP13" s="306" t="e">
        <f>IF(W13="-","-",VLOOKUP($A13,AMAPit!$A$10:$AY$122,BP$9,FALSE)-W13)</f>
        <v>#N/A</v>
      </c>
      <c r="BQ13" s="306" t="e">
        <f>IF(X13="-","-",VLOOKUP($A13,AMAPit!$A$10:$AY$122,BQ$9,FALSE)-X13)</f>
        <v>#N/A</v>
      </c>
      <c r="BR13" s="306" t="e">
        <f>IF(Y13="-","-",VLOOKUP($A13,AMAPit!$A$10:$AY$122,BR$9,FALSE)-Y13)</f>
        <v>#N/A</v>
      </c>
      <c r="BS13" s="306" t="e">
        <f>IF(Z13="-","-",VLOOKUP($A13,AMAPit!$A$10:$AY$122,BS$9,FALSE)-Z13)</f>
        <v>#N/A</v>
      </c>
      <c r="BT13" s="306" t="e">
        <f>IF(AA13="-","-",VLOOKUP($A13,AMAPit!$A$10:$AY$122,BT$9,FALSE)-AA13)</f>
        <v>#N/A</v>
      </c>
      <c r="BU13" s="306" t="e">
        <f>IF(AB13="-","-",VLOOKUP($A13,AMAPit!$A$10:$AY$122,BU$9,FALSE)-AB13)</f>
        <v>#N/A</v>
      </c>
      <c r="BV13" s="306" t="e">
        <f>IF(AC13="-","-",VLOOKUP($A13,AMAPit!$A$10:$AY$122,BV$9,FALSE)-AC13)</f>
        <v>#N/A</v>
      </c>
      <c r="BW13" s="306" t="e">
        <f>IF(AD13="-","-",VLOOKUP($A13,AMAPit!$A$10:$AY$122,BW$9,FALSE)-AD13)</f>
        <v>#N/A</v>
      </c>
      <c r="BX13" s="306" t="str">
        <f>IF(AE13="-","-",VLOOKUP($A13,AMAPit!$A$10:$AY$122,BX$9,FALSE)-AE13)</f>
        <v>-</v>
      </c>
      <c r="BY13" s="306" t="str">
        <f>IF(AF13="-","-",VLOOKUP($A13,AMAPit!$A$10:$AY$122,BY$9,FALSE)-AF13)</f>
        <v>-</v>
      </c>
      <c r="BZ13" s="306" t="str">
        <f>IF(AG13="-","-",VLOOKUP($A13,AMAPit!$A$10:$AY$122,BZ$9,FALSE)-AG13)</f>
        <v>-</v>
      </c>
      <c r="CA13" s="306" t="str">
        <f>IF(AH13="-","-",VLOOKUP($A13,AMAPit!$A$10:$AY$122,CA$9,FALSE)-AH13)</f>
        <v>-</v>
      </c>
      <c r="CB13" s="306" t="str">
        <f>IF(AI13="-","-",VLOOKUP($A13,AMAPit!$A$10:$AY$122,CB$9,FALSE)-AI13)</f>
        <v>-</v>
      </c>
      <c r="CC13" s="306" t="str">
        <f>IF(AJ13="-","-",VLOOKUP($A13,AMAPit!$A$10:$AY$122,CC$9,FALSE)-AJ13)</f>
        <v>-</v>
      </c>
      <c r="CD13" s="306" t="str">
        <f>IF(AK13="-","-",VLOOKUP($A13,AMAPit!$A$10:$AY$122,CD$9,FALSE)-AK13)</f>
        <v>-</v>
      </c>
      <c r="CE13" s="306" t="str">
        <f>IF(AL13="-","-",VLOOKUP($A13,AMAPit!$A$10:$AY$122,CE$9,FALSE)-AL13)</f>
        <v>-</v>
      </c>
      <c r="CF13" s="306" t="str">
        <f>IF(AM13="-","-",VLOOKUP($A13,AMAPit!$A$10:$AY$122,CF$9,FALSE)-AM13)</f>
        <v>-</v>
      </c>
      <c r="CG13" s="306" t="str">
        <f>IF(AN13="-","-",VLOOKUP($A13,AMAPit!$A$10:$AY$122,CG$9,FALSE)-AN13)</f>
        <v>-</v>
      </c>
      <c r="CH13" s="306" t="str">
        <f>IF(AO13="-","-",VLOOKUP($A13,AMAPit!$A$10:$AY$122,CH$9,FALSE)-AO13)</f>
        <v>-</v>
      </c>
      <c r="CI13" s="306" t="str">
        <f>IF(AP13="-","-",VLOOKUP($A13,AMAPit!$A$10:$AY$122,CI$9,FALSE)-AP13)</f>
        <v>-</v>
      </c>
      <c r="CJ13" s="306" t="str">
        <f>IF(AQ13="-","-",VLOOKUP($A13,AMAPit!$A$10:$AY$122,CJ$9,FALSE)-AQ13)</f>
        <v>-</v>
      </c>
      <c r="CK13" s="306" t="str">
        <f>IF(AR13="-","-",VLOOKUP($A13,AMAPit!$A$10:$AY$122,CK$9,FALSE)-AR13)</f>
        <v>-</v>
      </c>
      <c r="CL13" s="306" t="str">
        <f>IF(AS13="-","-",VLOOKUP($A13,AMAPit!$A$10:$AY$122,CL$9,FALSE)-AS13)</f>
        <v>-</v>
      </c>
      <c r="CM13" s="306" t="str">
        <f>IF(AT13="-","-",VLOOKUP($A13,AMAPit!$A$10:$AY$122,CM$9,FALSE)-AT13)</f>
        <v>-</v>
      </c>
      <c r="CN13" t="e">
        <f t="shared" si="11"/>
        <v>#N/A</v>
      </c>
    </row>
    <row r="14" spans="1:92" x14ac:dyDescent="0.25">
      <c r="A14" s="305" t="s">
        <v>507</v>
      </c>
      <c r="B14" s="305" t="s">
        <v>184</v>
      </c>
      <c r="C14" s="305"/>
      <c r="D14" s="305" t="s">
        <v>72</v>
      </c>
      <c r="E14" t="s">
        <v>87</v>
      </c>
      <c r="F14" t="s">
        <v>924</v>
      </c>
      <c r="G14" s="305" t="s">
        <v>925</v>
      </c>
      <c r="H14" t="s">
        <v>763</v>
      </c>
      <c r="I14" t="s">
        <v>402</v>
      </c>
      <c r="J14">
        <v>34</v>
      </c>
      <c r="K14" t="s">
        <v>83</v>
      </c>
      <c r="L14" s="210" t="s">
        <v>83</v>
      </c>
      <c r="M14" t="s">
        <v>768</v>
      </c>
      <c r="N14" t="s">
        <v>768</v>
      </c>
      <c r="O14" t="s">
        <v>200</v>
      </c>
      <c r="P14" s="210" t="s">
        <v>200</v>
      </c>
      <c r="Q14">
        <v>9</v>
      </c>
      <c r="R14">
        <v>4</v>
      </c>
      <c r="S14" s="210">
        <v>6</v>
      </c>
      <c r="T14">
        <v>9</v>
      </c>
      <c r="U14">
        <v>4</v>
      </c>
      <c r="V14" s="210">
        <v>6</v>
      </c>
      <c r="W14">
        <v>10</v>
      </c>
      <c r="X14">
        <v>10</v>
      </c>
      <c r="Y14">
        <v>4</v>
      </c>
      <c r="Z14">
        <v>4</v>
      </c>
      <c r="AA14">
        <v>8</v>
      </c>
      <c r="AB14">
        <v>8</v>
      </c>
      <c r="AC14">
        <v>5</v>
      </c>
      <c r="AD14">
        <v>5</v>
      </c>
      <c r="AE14" t="s">
        <v>32</v>
      </c>
      <c r="AF14" t="s">
        <v>32</v>
      </c>
      <c r="AG14" t="s">
        <v>32</v>
      </c>
      <c r="AH14" t="s">
        <v>32</v>
      </c>
      <c r="AI14" t="s">
        <v>32</v>
      </c>
      <c r="AJ14" t="s">
        <v>32</v>
      </c>
      <c r="AK14">
        <v>8</v>
      </c>
      <c r="AL14">
        <v>8</v>
      </c>
      <c r="AM14" t="s">
        <v>32</v>
      </c>
      <c r="AN14" t="s">
        <v>32</v>
      </c>
      <c r="AO14" t="s">
        <v>32</v>
      </c>
      <c r="AP14" t="s">
        <v>32</v>
      </c>
      <c r="AQ14" t="s">
        <v>32</v>
      </c>
      <c r="AR14" t="s">
        <v>32</v>
      </c>
      <c r="AS14" t="s">
        <v>32</v>
      </c>
      <c r="AT14" s="210" t="s">
        <v>32</v>
      </c>
      <c r="AU14" t="s">
        <v>7</v>
      </c>
      <c r="AV14">
        <v>3</v>
      </c>
      <c r="AW14" s="235" t="s">
        <v>395</v>
      </c>
      <c r="AX14">
        <v>20000000</v>
      </c>
      <c r="AY14" s="8">
        <v>4</v>
      </c>
      <c r="AZ14" s="9" t="s">
        <v>529</v>
      </c>
      <c r="BA14" s="6">
        <f t="shared" si="2"/>
        <v>7.333333333333333</v>
      </c>
      <c r="BB14" s="9" t="str">
        <f t="shared" si="3"/>
        <v>GoodReg</v>
      </c>
      <c r="BC14" s="9">
        <f t="shared" si="4"/>
        <v>7.333333333333333</v>
      </c>
      <c r="BD14" s="9" t="str">
        <f t="shared" si="5"/>
        <v>GoodReg</v>
      </c>
      <c r="BE14" s="9">
        <f t="shared" si="6"/>
        <v>7.333333333333333</v>
      </c>
      <c r="BF14" s="9" t="str">
        <f t="shared" si="7"/>
        <v>GoodReg</v>
      </c>
      <c r="BG14" s="77">
        <f t="shared" si="8"/>
        <v>5</v>
      </c>
      <c r="BH14" s="76">
        <f t="shared" si="9"/>
        <v>3</v>
      </c>
      <c r="BI14" t="str">
        <f t="shared" si="10"/>
        <v/>
      </c>
      <c r="BJ14" s="306" t="e">
        <f>IF(Q14="-","-",VLOOKUP($A14,AMAPit!$A$10:$AY$122,BJ$9,FALSE)-Q14)</f>
        <v>#N/A</v>
      </c>
      <c r="BK14" s="306" t="e">
        <f>IF(R14="-","-",VLOOKUP($A14,AMAPit!$A$10:$AY$122,BK$9,FALSE)-R14)</f>
        <v>#N/A</v>
      </c>
      <c r="BL14" s="306" t="e">
        <f>IF(S14="-","-",VLOOKUP($A14,AMAPit!$A$10:$AY$122,BL$9,FALSE)-S14)</f>
        <v>#N/A</v>
      </c>
      <c r="BM14" s="306" t="e">
        <f>IF(T14="-","-",VLOOKUP($A14,AMAPit!$A$10:$AY$122,BM$9,FALSE)-T14)</f>
        <v>#N/A</v>
      </c>
      <c r="BN14" s="306" t="e">
        <f>IF(U14="-","-",VLOOKUP($A14,AMAPit!$A$10:$AY$122,BN$9,FALSE)-U14)</f>
        <v>#N/A</v>
      </c>
      <c r="BO14" s="306" t="e">
        <f>IF(V14="-","-",VLOOKUP($A14,AMAPit!$A$10:$AY$122,BO$9,FALSE)-V14)</f>
        <v>#N/A</v>
      </c>
      <c r="BP14" s="306" t="e">
        <f>IF(W14="-","-",VLOOKUP($A14,AMAPit!$A$10:$AY$122,BP$9,FALSE)-W14)</f>
        <v>#N/A</v>
      </c>
      <c r="BQ14" s="306" t="e">
        <f>IF(X14="-","-",VLOOKUP($A14,AMAPit!$A$10:$AY$122,BQ$9,FALSE)-X14)</f>
        <v>#N/A</v>
      </c>
      <c r="BR14" s="306" t="e">
        <f>IF(Y14="-","-",VLOOKUP($A14,AMAPit!$A$10:$AY$122,BR$9,FALSE)-Y14)</f>
        <v>#N/A</v>
      </c>
      <c r="BS14" s="306" t="e">
        <f>IF(Z14="-","-",VLOOKUP($A14,AMAPit!$A$10:$AY$122,BS$9,FALSE)-Z14)</f>
        <v>#N/A</v>
      </c>
      <c r="BT14" s="306" t="e">
        <f>IF(AA14="-","-",VLOOKUP($A14,AMAPit!$A$10:$AY$122,BT$9,FALSE)-AA14)</f>
        <v>#N/A</v>
      </c>
      <c r="BU14" s="306" t="e">
        <f>IF(AB14="-","-",VLOOKUP($A14,AMAPit!$A$10:$AY$122,BU$9,FALSE)-AB14)</f>
        <v>#N/A</v>
      </c>
      <c r="BV14" s="306" t="e">
        <f>IF(AC14="-","-",VLOOKUP($A14,AMAPit!$A$10:$AY$122,BV$9,FALSE)-AC14)</f>
        <v>#N/A</v>
      </c>
      <c r="BW14" s="306" t="e">
        <f>IF(AD14="-","-",VLOOKUP($A14,AMAPit!$A$10:$AY$122,BW$9,FALSE)-AD14)</f>
        <v>#N/A</v>
      </c>
      <c r="BX14" s="306" t="str">
        <f>IF(AE14="-","-",VLOOKUP($A14,AMAPit!$A$10:$AY$122,BX$9,FALSE)-AE14)</f>
        <v>-</v>
      </c>
      <c r="BY14" s="306" t="str">
        <f>IF(AF14="-","-",VLOOKUP($A14,AMAPit!$A$10:$AY$122,BY$9,FALSE)-AF14)</f>
        <v>-</v>
      </c>
      <c r="BZ14" s="306" t="str">
        <f>IF(AG14="-","-",VLOOKUP($A14,AMAPit!$A$10:$AY$122,BZ$9,FALSE)-AG14)</f>
        <v>-</v>
      </c>
      <c r="CA14" s="306" t="str">
        <f>IF(AH14="-","-",VLOOKUP($A14,AMAPit!$A$10:$AY$122,CA$9,FALSE)-AH14)</f>
        <v>-</v>
      </c>
      <c r="CB14" s="306" t="str">
        <f>IF(AI14="-","-",VLOOKUP($A14,AMAPit!$A$10:$AY$122,CB$9,FALSE)-AI14)</f>
        <v>-</v>
      </c>
      <c r="CC14" s="306" t="str">
        <f>IF(AJ14="-","-",VLOOKUP($A14,AMAPit!$A$10:$AY$122,CC$9,FALSE)-AJ14)</f>
        <v>-</v>
      </c>
      <c r="CD14" s="306" t="e">
        <f>IF(AK14="-","-",VLOOKUP($A14,AMAPit!$A$10:$AY$122,CD$9,FALSE)-AK14)</f>
        <v>#N/A</v>
      </c>
      <c r="CE14" s="306" t="e">
        <f>IF(AL14="-","-",VLOOKUP($A14,AMAPit!$A$10:$AY$122,CE$9,FALSE)-AL14)</f>
        <v>#N/A</v>
      </c>
      <c r="CF14" s="306" t="str">
        <f>IF(AM14="-","-",VLOOKUP($A14,AMAPit!$A$10:$AY$122,CF$9,FALSE)-AM14)</f>
        <v>-</v>
      </c>
      <c r="CG14" s="306" t="str">
        <f>IF(AN14="-","-",VLOOKUP($A14,AMAPit!$A$10:$AY$122,CG$9,FALSE)-AN14)</f>
        <v>-</v>
      </c>
      <c r="CH14" s="306" t="str">
        <f>IF(AO14="-","-",VLOOKUP($A14,AMAPit!$A$10:$AY$122,CH$9,FALSE)-AO14)</f>
        <v>-</v>
      </c>
      <c r="CI14" s="306" t="str">
        <f>IF(AP14="-","-",VLOOKUP($A14,AMAPit!$A$10:$AY$122,CI$9,FALSE)-AP14)</f>
        <v>-</v>
      </c>
      <c r="CJ14" s="306" t="str">
        <f>IF(AQ14="-","-",VLOOKUP($A14,AMAPit!$A$10:$AY$122,CJ$9,FALSE)-AQ14)</f>
        <v>-</v>
      </c>
      <c r="CK14" s="306" t="str">
        <f>IF(AR14="-","-",VLOOKUP($A14,AMAPit!$A$10:$AY$122,CK$9,FALSE)-AR14)</f>
        <v>-</v>
      </c>
      <c r="CL14" s="306" t="str">
        <f>IF(AS14="-","-",VLOOKUP($A14,AMAPit!$A$10:$AY$122,CL$9,FALSE)-AS14)</f>
        <v>-</v>
      </c>
      <c r="CM14" s="306" t="str">
        <f>IF(AT14="-","-",VLOOKUP($A14,AMAPit!$A$10:$AY$122,CM$9,FALSE)-AT14)</f>
        <v>-</v>
      </c>
      <c r="CN14" t="e">
        <f t="shared" si="11"/>
        <v>#N/A</v>
      </c>
    </row>
    <row r="15" spans="1:92" x14ac:dyDescent="0.25">
      <c r="A15" s="305" t="s">
        <v>544</v>
      </c>
      <c r="B15" s="305" t="s">
        <v>534</v>
      </c>
      <c r="C15" s="305"/>
      <c r="D15" s="305" t="s">
        <v>72</v>
      </c>
      <c r="E15" t="s">
        <v>11</v>
      </c>
      <c r="F15" t="s">
        <v>920</v>
      </c>
      <c r="G15" s="305" t="s">
        <v>921</v>
      </c>
      <c r="H15" t="s">
        <v>763</v>
      </c>
      <c r="I15" t="s">
        <v>402</v>
      </c>
      <c r="J15">
        <v>28</v>
      </c>
      <c r="K15" t="s">
        <v>83</v>
      </c>
      <c r="L15" s="210" t="s">
        <v>83</v>
      </c>
      <c r="M15" t="s">
        <v>765</v>
      </c>
      <c r="N15" t="s">
        <v>765</v>
      </c>
      <c r="O15" t="s">
        <v>200</v>
      </c>
      <c r="P15" s="210" t="s">
        <v>200</v>
      </c>
      <c r="Q15">
        <v>10</v>
      </c>
      <c r="R15">
        <v>5</v>
      </c>
      <c r="S15" s="210">
        <v>5</v>
      </c>
      <c r="T15">
        <v>10</v>
      </c>
      <c r="U15">
        <v>6</v>
      </c>
      <c r="V15" s="210">
        <v>7</v>
      </c>
      <c r="W15">
        <v>9</v>
      </c>
      <c r="X15">
        <v>9</v>
      </c>
      <c r="Y15">
        <v>2</v>
      </c>
      <c r="Z15">
        <v>2</v>
      </c>
      <c r="AA15" t="s">
        <v>32</v>
      </c>
      <c r="AB15" t="s">
        <v>32</v>
      </c>
      <c r="AC15">
        <v>10</v>
      </c>
      <c r="AD15">
        <v>10</v>
      </c>
      <c r="AE15" t="s">
        <v>32</v>
      </c>
      <c r="AF15" t="s">
        <v>32</v>
      </c>
      <c r="AG15" t="s">
        <v>32</v>
      </c>
      <c r="AH15" t="s">
        <v>32</v>
      </c>
      <c r="AI15" t="s">
        <v>32</v>
      </c>
      <c r="AJ15" t="s">
        <v>32</v>
      </c>
      <c r="AK15" t="s">
        <v>32</v>
      </c>
      <c r="AL15" t="s">
        <v>32</v>
      </c>
      <c r="AM15" t="s">
        <v>32</v>
      </c>
      <c r="AN15" t="s">
        <v>32</v>
      </c>
      <c r="AO15" t="s">
        <v>32</v>
      </c>
      <c r="AP15" t="s">
        <v>32</v>
      </c>
      <c r="AQ15" t="s">
        <v>32</v>
      </c>
      <c r="AR15" t="s">
        <v>32</v>
      </c>
      <c r="AS15" t="s">
        <v>32</v>
      </c>
      <c r="AT15" s="210" t="s">
        <v>32</v>
      </c>
      <c r="AU15" t="s">
        <v>4</v>
      </c>
      <c r="AV15">
        <v>9</v>
      </c>
      <c r="AW15" s="235" t="s">
        <v>393</v>
      </c>
      <c r="AX15">
        <v>865000</v>
      </c>
      <c r="AY15" s="8" t="s">
        <v>34</v>
      </c>
      <c r="AZ15" s="9" t="s">
        <v>529</v>
      </c>
      <c r="BA15" s="6">
        <f t="shared" si="2"/>
        <v>7.166666666666667</v>
      </c>
      <c r="BB15" s="9" t="str">
        <f t="shared" si="3"/>
        <v>GoodReg</v>
      </c>
      <c r="BC15" s="9">
        <f t="shared" si="4"/>
        <v>8.1666666666666679</v>
      </c>
      <c r="BD15" s="9" t="str">
        <f t="shared" si="5"/>
        <v>Star</v>
      </c>
      <c r="BE15" s="9">
        <f t="shared" si="6"/>
        <v>8.1666666666666679</v>
      </c>
      <c r="BF15" s="9" t="str">
        <f t="shared" si="7"/>
        <v>Star</v>
      </c>
      <c r="BG15" s="77">
        <f t="shared" si="8"/>
        <v>3</v>
      </c>
      <c r="BH15" s="76">
        <f t="shared" si="9"/>
        <v>2</v>
      </c>
      <c r="BI15" t="str">
        <f t="shared" si="10"/>
        <v/>
      </c>
      <c r="BJ15" s="306" t="e">
        <f>IF(Q15="-","-",VLOOKUP($A15,AMAPit!$A$10:$AY$122,BJ$9,FALSE)-Q15)</f>
        <v>#N/A</v>
      </c>
      <c r="BK15" s="306" t="e">
        <f>IF(R15="-","-",VLOOKUP($A15,AMAPit!$A$10:$AY$122,BK$9,FALSE)-R15)</f>
        <v>#N/A</v>
      </c>
      <c r="BL15" s="306" t="e">
        <f>IF(S15="-","-",VLOOKUP($A15,AMAPit!$A$10:$AY$122,BL$9,FALSE)-S15)</f>
        <v>#N/A</v>
      </c>
      <c r="BM15" s="306" t="e">
        <f>IF(T15="-","-",VLOOKUP($A15,AMAPit!$A$10:$AY$122,BM$9,FALSE)-T15)</f>
        <v>#N/A</v>
      </c>
      <c r="BN15" s="306" t="e">
        <f>IF(U15="-","-",VLOOKUP($A15,AMAPit!$A$10:$AY$122,BN$9,FALSE)-U15)</f>
        <v>#N/A</v>
      </c>
      <c r="BO15" s="306" t="e">
        <f>IF(V15="-","-",VLOOKUP($A15,AMAPit!$A$10:$AY$122,BO$9,FALSE)-V15)</f>
        <v>#N/A</v>
      </c>
      <c r="BP15" s="306" t="e">
        <f>IF(W15="-","-",VLOOKUP($A15,AMAPit!$A$10:$AY$122,BP$9,FALSE)-W15)</f>
        <v>#N/A</v>
      </c>
      <c r="BQ15" s="306" t="e">
        <f>IF(X15="-","-",VLOOKUP($A15,AMAPit!$A$10:$AY$122,BQ$9,FALSE)-X15)</f>
        <v>#N/A</v>
      </c>
      <c r="BR15" s="306" t="e">
        <f>IF(Y15="-","-",VLOOKUP($A15,AMAPit!$A$10:$AY$122,BR$9,FALSE)-Y15)</f>
        <v>#N/A</v>
      </c>
      <c r="BS15" s="306" t="e">
        <f>IF(Z15="-","-",VLOOKUP($A15,AMAPit!$A$10:$AY$122,BS$9,FALSE)-Z15)</f>
        <v>#N/A</v>
      </c>
      <c r="BT15" s="306" t="str">
        <f>IF(AA15="-","-",VLOOKUP($A15,AMAPit!$A$10:$AY$122,BT$9,FALSE)-AA15)</f>
        <v>-</v>
      </c>
      <c r="BU15" s="306" t="str">
        <f>IF(AB15="-","-",VLOOKUP($A15,AMAPit!$A$10:$AY$122,BU$9,FALSE)-AB15)</f>
        <v>-</v>
      </c>
      <c r="BV15" s="306" t="e">
        <f>IF(AC15="-","-",VLOOKUP($A15,AMAPit!$A$10:$AY$122,BV$9,FALSE)-AC15)</f>
        <v>#N/A</v>
      </c>
      <c r="BW15" s="306" t="e">
        <f>IF(AD15="-","-",VLOOKUP($A15,AMAPit!$A$10:$AY$122,BW$9,FALSE)-AD15)</f>
        <v>#N/A</v>
      </c>
      <c r="BX15" s="306" t="str">
        <f>IF(AE15="-","-",VLOOKUP($A15,AMAPit!$A$10:$AY$122,BX$9,FALSE)-AE15)</f>
        <v>-</v>
      </c>
      <c r="BY15" s="306" t="str">
        <f>IF(AF15="-","-",VLOOKUP($A15,AMAPit!$A$10:$AY$122,BY$9,FALSE)-AF15)</f>
        <v>-</v>
      </c>
      <c r="BZ15" s="306" t="str">
        <f>IF(AG15="-","-",VLOOKUP($A15,AMAPit!$A$10:$AY$122,BZ$9,FALSE)-AG15)</f>
        <v>-</v>
      </c>
      <c r="CA15" s="306" t="str">
        <f>IF(AH15="-","-",VLOOKUP($A15,AMAPit!$A$10:$AY$122,CA$9,FALSE)-AH15)</f>
        <v>-</v>
      </c>
      <c r="CB15" s="306" t="str">
        <f>IF(AI15="-","-",VLOOKUP($A15,AMAPit!$A$10:$AY$122,CB$9,FALSE)-AI15)</f>
        <v>-</v>
      </c>
      <c r="CC15" s="306" t="str">
        <f>IF(AJ15="-","-",VLOOKUP($A15,AMAPit!$A$10:$AY$122,CC$9,FALSE)-AJ15)</f>
        <v>-</v>
      </c>
      <c r="CD15" s="306" t="str">
        <f>IF(AK15="-","-",VLOOKUP($A15,AMAPit!$A$10:$AY$122,CD$9,FALSE)-AK15)</f>
        <v>-</v>
      </c>
      <c r="CE15" s="306" t="str">
        <f>IF(AL15="-","-",VLOOKUP($A15,AMAPit!$A$10:$AY$122,CE$9,FALSE)-AL15)</f>
        <v>-</v>
      </c>
      <c r="CF15" s="306" t="str">
        <f>IF(AM15="-","-",VLOOKUP($A15,AMAPit!$A$10:$AY$122,CF$9,FALSE)-AM15)</f>
        <v>-</v>
      </c>
      <c r="CG15" s="306" t="str">
        <f>IF(AN15="-","-",VLOOKUP($A15,AMAPit!$A$10:$AY$122,CG$9,FALSE)-AN15)</f>
        <v>-</v>
      </c>
      <c r="CH15" s="306" t="str">
        <f>IF(AO15="-","-",VLOOKUP($A15,AMAPit!$A$10:$AY$122,CH$9,FALSE)-AO15)</f>
        <v>-</v>
      </c>
      <c r="CI15" s="306" t="str">
        <f>IF(AP15="-","-",VLOOKUP($A15,AMAPit!$A$10:$AY$122,CI$9,FALSE)-AP15)</f>
        <v>-</v>
      </c>
      <c r="CJ15" s="306" t="str">
        <f>IF(AQ15="-","-",VLOOKUP($A15,AMAPit!$A$10:$AY$122,CJ$9,FALSE)-AQ15)</f>
        <v>-</v>
      </c>
      <c r="CK15" s="306" t="str">
        <f>IF(AR15="-","-",VLOOKUP($A15,AMAPit!$A$10:$AY$122,CK$9,FALSE)-AR15)</f>
        <v>-</v>
      </c>
      <c r="CL15" s="306" t="str">
        <f>IF(AS15="-","-",VLOOKUP($A15,AMAPit!$A$10:$AY$122,CL$9,FALSE)-AS15)</f>
        <v>-</v>
      </c>
      <c r="CM15" s="306" t="str">
        <f>IF(AT15="-","-",VLOOKUP($A15,AMAPit!$A$10:$AY$122,CM$9,FALSE)-AT15)</f>
        <v>-</v>
      </c>
      <c r="CN15" t="e">
        <f t="shared" si="11"/>
        <v>#N/A</v>
      </c>
    </row>
    <row r="16" spans="1:92" x14ac:dyDescent="0.25">
      <c r="A16" s="305" t="s">
        <v>545</v>
      </c>
      <c r="B16" s="305" t="s">
        <v>534</v>
      </c>
      <c r="C16" s="305"/>
      <c r="D16" s="305" t="s">
        <v>72</v>
      </c>
      <c r="E16" t="s">
        <v>87</v>
      </c>
      <c r="F16" t="s">
        <v>429</v>
      </c>
      <c r="G16" s="305" t="s">
        <v>711</v>
      </c>
      <c r="H16" t="s">
        <v>763</v>
      </c>
      <c r="I16" t="s">
        <v>402</v>
      </c>
      <c r="J16">
        <v>24</v>
      </c>
      <c r="K16" t="s">
        <v>83</v>
      </c>
      <c r="L16" s="210" t="s">
        <v>83</v>
      </c>
      <c r="M16" t="s">
        <v>764</v>
      </c>
      <c r="N16" t="s">
        <v>765</v>
      </c>
      <c r="O16" t="s">
        <v>201</v>
      </c>
      <c r="P16" s="210" t="s">
        <v>199</v>
      </c>
      <c r="Q16">
        <v>9</v>
      </c>
      <c r="R16">
        <v>3</v>
      </c>
      <c r="S16" s="210">
        <v>6</v>
      </c>
      <c r="T16">
        <v>10</v>
      </c>
      <c r="U16">
        <v>4</v>
      </c>
      <c r="V16" s="210">
        <v>8</v>
      </c>
      <c r="W16">
        <v>8</v>
      </c>
      <c r="X16">
        <v>8</v>
      </c>
      <c r="Y16">
        <v>5</v>
      </c>
      <c r="Z16">
        <v>8</v>
      </c>
      <c r="AA16">
        <v>10</v>
      </c>
      <c r="AB16">
        <v>10</v>
      </c>
      <c r="AC16">
        <v>3</v>
      </c>
      <c r="AD16">
        <v>3</v>
      </c>
      <c r="AE16" t="s">
        <v>32</v>
      </c>
      <c r="AF16" t="s">
        <v>32</v>
      </c>
      <c r="AG16" t="s">
        <v>32</v>
      </c>
      <c r="AH16" t="s">
        <v>32</v>
      </c>
      <c r="AI16">
        <v>7</v>
      </c>
      <c r="AJ16">
        <v>7</v>
      </c>
      <c r="AK16" t="s">
        <v>32</v>
      </c>
      <c r="AL16" t="s">
        <v>32</v>
      </c>
      <c r="AM16" t="s">
        <v>32</v>
      </c>
      <c r="AN16" t="s">
        <v>32</v>
      </c>
      <c r="AO16" t="s">
        <v>32</v>
      </c>
      <c r="AP16" t="s">
        <v>32</v>
      </c>
      <c r="AQ16" t="s">
        <v>32</v>
      </c>
      <c r="AR16" t="s">
        <v>32</v>
      </c>
      <c r="AS16" t="s">
        <v>32</v>
      </c>
      <c r="AT16" s="210" t="s">
        <v>32</v>
      </c>
      <c r="AU16" t="s">
        <v>6</v>
      </c>
      <c r="AV16">
        <v>6</v>
      </c>
      <c r="AW16" s="235" t="s">
        <v>393</v>
      </c>
      <c r="AX16">
        <v>510000</v>
      </c>
      <c r="AY16" s="8" t="s">
        <v>33</v>
      </c>
      <c r="AZ16" s="9" t="s">
        <v>199</v>
      </c>
      <c r="BA16" s="6">
        <f t="shared" si="2"/>
        <v>7</v>
      </c>
      <c r="BB16" s="9" t="str">
        <f t="shared" si="3"/>
        <v>GoodReg</v>
      </c>
      <c r="BC16" s="9">
        <f t="shared" si="4"/>
        <v>8.3333333333333321</v>
      </c>
      <c r="BD16" s="9" t="str">
        <f t="shared" si="5"/>
        <v>Star</v>
      </c>
      <c r="BE16" s="9">
        <f t="shared" si="6"/>
        <v>8.3333333333333321</v>
      </c>
      <c r="BF16" s="9" t="str">
        <f t="shared" si="7"/>
        <v>Star</v>
      </c>
      <c r="BG16" s="77">
        <f t="shared" si="8"/>
        <v>5</v>
      </c>
      <c r="BH16" s="76">
        <f t="shared" si="9"/>
        <v>3.5</v>
      </c>
      <c r="BI16" t="str">
        <f t="shared" si="10"/>
        <v/>
      </c>
      <c r="BJ16" s="306" t="e">
        <f>IF(Q16="-","-",VLOOKUP($A16,AMAPit!$A$10:$AY$122,BJ$9,FALSE)-Q16)</f>
        <v>#N/A</v>
      </c>
      <c r="BK16" s="306" t="e">
        <f>IF(R16="-","-",VLOOKUP($A16,AMAPit!$A$10:$AY$122,BK$9,FALSE)-R16)</f>
        <v>#N/A</v>
      </c>
      <c r="BL16" s="306" t="e">
        <f>IF(S16="-","-",VLOOKUP($A16,AMAPit!$A$10:$AY$122,BL$9,FALSE)-S16)</f>
        <v>#N/A</v>
      </c>
      <c r="BM16" s="306" t="e">
        <f>IF(T16="-","-",VLOOKUP($A16,AMAPit!$A$10:$AY$122,BM$9,FALSE)-T16)</f>
        <v>#N/A</v>
      </c>
      <c r="BN16" s="306" t="e">
        <f>IF(U16="-","-",VLOOKUP($A16,AMAPit!$A$10:$AY$122,BN$9,FALSE)-U16)</f>
        <v>#N/A</v>
      </c>
      <c r="BO16" s="306" t="e">
        <f>IF(V16="-","-",VLOOKUP($A16,AMAPit!$A$10:$AY$122,BO$9,FALSE)-V16)</f>
        <v>#N/A</v>
      </c>
      <c r="BP16" s="306" t="e">
        <f>IF(W16="-","-",VLOOKUP($A16,AMAPit!$A$10:$AY$122,BP$9,FALSE)-W16)</f>
        <v>#N/A</v>
      </c>
      <c r="BQ16" s="306" t="e">
        <f>IF(X16="-","-",VLOOKUP($A16,AMAPit!$A$10:$AY$122,BQ$9,FALSE)-X16)</f>
        <v>#N/A</v>
      </c>
      <c r="BR16" s="306" t="e">
        <f>IF(Y16="-","-",VLOOKUP($A16,AMAPit!$A$10:$AY$122,BR$9,FALSE)-Y16)</f>
        <v>#N/A</v>
      </c>
      <c r="BS16" s="306" t="e">
        <f>IF(Z16="-","-",VLOOKUP($A16,AMAPit!$A$10:$AY$122,BS$9,FALSE)-Z16)</f>
        <v>#N/A</v>
      </c>
      <c r="BT16" s="306" t="e">
        <f>IF(AA16="-","-",VLOOKUP($A16,AMAPit!$A$10:$AY$122,BT$9,FALSE)-AA16)</f>
        <v>#N/A</v>
      </c>
      <c r="BU16" s="306" t="e">
        <f>IF(AB16="-","-",VLOOKUP($A16,AMAPit!$A$10:$AY$122,BU$9,FALSE)-AB16)</f>
        <v>#N/A</v>
      </c>
      <c r="BV16" s="306" t="e">
        <f>IF(AC16="-","-",VLOOKUP($A16,AMAPit!$A$10:$AY$122,BV$9,FALSE)-AC16)</f>
        <v>#N/A</v>
      </c>
      <c r="BW16" s="306" t="e">
        <f>IF(AD16="-","-",VLOOKUP($A16,AMAPit!$A$10:$AY$122,BW$9,FALSE)-AD16)</f>
        <v>#N/A</v>
      </c>
      <c r="BX16" s="306" t="str">
        <f>IF(AE16="-","-",VLOOKUP($A16,AMAPit!$A$10:$AY$122,BX$9,FALSE)-AE16)</f>
        <v>-</v>
      </c>
      <c r="BY16" s="306" t="str">
        <f>IF(AF16="-","-",VLOOKUP($A16,AMAPit!$A$10:$AY$122,BY$9,FALSE)-AF16)</f>
        <v>-</v>
      </c>
      <c r="BZ16" s="306" t="str">
        <f>IF(AG16="-","-",VLOOKUP($A16,AMAPit!$A$10:$AY$122,BZ$9,FALSE)-AG16)</f>
        <v>-</v>
      </c>
      <c r="CA16" s="306" t="str">
        <f>IF(AH16="-","-",VLOOKUP($A16,AMAPit!$A$10:$AY$122,CA$9,FALSE)-AH16)</f>
        <v>-</v>
      </c>
      <c r="CB16" s="306" t="e">
        <f>IF(AI16="-","-",VLOOKUP($A16,AMAPit!$A$10:$AY$122,CB$9,FALSE)-AI16)</f>
        <v>#N/A</v>
      </c>
      <c r="CC16" s="306" t="e">
        <f>IF(AJ16="-","-",VLOOKUP($A16,AMAPit!$A$10:$AY$122,CC$9,FALSE)-AJ16)</f>
        <v>#N/A</v>
      </c>
      <c r="CD16" s="306" t="str">
        <f>IF(AK16="-","-",VLOOKUP($A16,AMAPit!$A$10:$AY$122,CD$9,FALSE)-AK16)</f>
        <v>-</v>
      </c>
      <c r="CE16" s="306" t="str">
        <f>IF(AL16="-","-",VLOOKUP($A16,AMAPit!$A$10:$AY$122,CE$9,FALSE)-AL16)</f>
        <v>-</v>
      </c>
      <c r="CF16" s="306" t="str">
        <f>IF(AM16="-","-",VLOOKUP($A16,AMAPit!$A$10:$AY$122,CF$9,FALSE)-AM16)</f>
        <v>-</v>
      </c>
      <c r="CG16" s="306" t="str">
        <f>IF(AN16="-","-",VLOOKUP($A16,AMAPit!$A$10:$AY$122,CG$9,FALSE)-AN16)</f>
        <v>-</v>
      </c>
      <c r="CH16" s="306" t="str">
        <f>IF(AO16="-","-",VLOOKUP($A16,AMAPit!$A$10:$AY$122,CH$9,FALSE)-AO16)</f>
        <v>-</v>
      </c>
      <c r="CI16" s="306" t="str">
        <f>IF(AP16="-","-",VLOOKUP($A16,AMAPit!$A$10:$AY$122,CI$9,FALSE)-AP16)</f>
        <v>-</v>
      </c>
      <c r="CJ16" s="306" t="str">
        <f>IF(AQ16="-","-",VLOOKUP($A16,AMAPit!$A$10:$AY$122,CJ$9,FALSE)-AQ16)</f>
        <v>-</v>
      </c>
      <c r="CK16" s="306" t="str">
        <f>IF(AR16="-","-",VLOOKUP($A16,AMAPit!$A$10:$AY$122,CK$9,FALSE)-AR16)</f>
        <v>-</v>
      </c>
      <c r="CL16" s="306" t="str">
        <f>IF(AS16="-","-",VLOOKUP($A16,AMAPit!$A$10:$AY$122,CL$9,FALSE)-AS16)</f>
        <v>-</v>
      </c>
      <c r="CM16" s="306" t="str">
        <f>IF(AT16="-","-",VLOOKUP($A16,AMAPit!$A$10:$AY$122,CM$9,FALSE)-AT16)</f>
        <v>-</v>
      </c>
      <c r="CN16" t="e">
        <f t="shared" si="11"/>
        <v>#N/A</v>
      </c>
    </row>
    <row r="17" spans="1:92" x14ac:dyDescent="0.25">
      <c r="A17" s="305" t="s">
        <v>546</v>
      </c>
      <c r="B17" s="305" t="s">
        <v>534</v>
      </c>
      <c r="C17" s="305"/>
      <c r="D17" s="305" t="s">
        <v>72</v>
      </c>
      <c r="E17" t="s">
        <v>87</v>
      </c>
      <c r="F17" t="s">
        <v>728</v>
      </c>
      <c r="G17" s="305" t="s">
        <v>926</v>
      </c>
      <c r="H17" t="s">
        <v>763</v>
      </c>
      <c r="I17" t="s">
        <v>402</v>
      </c>
      <c r="J17">
        <v>27</v>
      </c>
      <c r="K17" t="s">
        <v>83</v>
      </c>
      <c r="L17" s="210" t="s">
        <v>83</v>
      </c>
      <c r="M17" t="s">
        <v>768</v>
      </c>
      <c r="N17" t="s">
        <v>865</v>
      </c>
      <c r="O17" t="s">
        <v>200</v>
      </c>
      <c r="P17" s="210" t="s">
        <v>200</v>
      </c>
      <c r="Q17">
        <v>9</v>
      </c>
      <c r="R17">
        <v>6</v>
      </c>
      <c r="S17" s="210">
        <v>3</v>
      </c>
      <c r="T17">
        <v>9</v>
      </c>
      <c r="U17">
        <v>7</v>
      </c>
      <c r="V17" s="210">
        <v>5</v>
      </c>
      <c r="W17">
        <v>9</v>
      </c>
      <c r="X17">
        <v>9</v>
      </c>
      <c r="Y17">
        <v>2</v>
      </c>
      <c r="Z17">
        <v>2</v>
      </c>
      <c r="AA17">
        <v>10</v>
      </c>
      <c r="AB17">
        <v>10</v>
      </c>
      <c r="AC17" t="s">
        <v>32</v>
      </c>
      <c r="AD17" t="s">
        <v>32</v>
      </c>
      <c r="AE17" t="s">
        <v>32</v>
      </c>
      <c r="AF17" t="s">
        <v>32</v>
      </c>
      <c r="AG17" t="s">
        <v>32</v>
      </c>
      <c r="AH17" t="s">
        <v>32</v>
      </c>
      <c r="AI17" t="s">
        <v>32</v>
      </c>
      <c r="AJ17" t="s">
        <v>32</v>
      </c>
      <c r="AK17" t="s">
        <v>32</v>
      </c>
      <c r="AL17" t="s">
        <v>32</v>
      </c>
      <c r="AM17">
        <v>5</v>
      </c>
      <c r="AN17">
        <v>5</v>
      </c>
      <c r="AO17" t="s">
        <v>32</v>
      </c>
      <c r="AP17" t="s">
        <v>32</v>
      </c>
      <c r="AQ17" t="s">
        <v>32</v>
      </c>
      <c r="AR17" t="s">
        <v>32</v>
      </c>
      <c r="AS17" t="s">
        <v>32</v>
      </c>
      <c r="AT17" s="210" t="s">
        <v>32</v>
      </c>
      <c r="AU17" t="s">
        <v>8</v>
      </c>
      <c r="AV17">
        <v>6</v>
      </c>
      <c r="AW17" s="235" t="s">
        <v>394</v>
      </c>
      <c r="AX17">
        <v>510000</v>
      </c>
      <c r="AY17" s="8" t="s">
        <v>33</v>
      </c>
      <c r="AZ17" s="9" t="s">
        <v>529</v>
      </c>
      <c r="BA17" s="6">
        <f t="shared" si="2"/>
        <v>6.75</v>
      </c>
      <c r="BB17" s="9" t="str">
        <f t="shared" si="3"/>
        <v>GoodReg</v>
      </c>
      <c r="BC17" s="9">
        <f t="shared" si="4"/>
        <v>7.75</v>
      </c>
      <c r="BD17" s="9" t="str">
        <f t="shared" si="5"/>
        <v>GoodReg</v>
      </c>
      <c r="BE17" s="9">
        <f t="shared" si="6"/>
        <v>7.75</v>
      </c>
      <c r="BF17" s="9" t="str">
        <f t="shared" si="7"/>
        <v>GoodReg</v>
      </c>
      <c r="BG17" s="77">
        <f t="shared" si="8"/>
        <v>4</v>
      </c>
      <c r="BH17" s="76">
        <f t="shared" si="9"/>
        <v>2</v>
      </c>
      <c r="BI17" t="str">
        <f t="shared" si="10"/>
        <v/>
      </c>
      <c r="BJ17" s="306" t="e">
        <f>IF(Q17="-","-",VLOOKUP($A17,AMAPit!$A$10:$AY$122,BJ$9,FALSE)-Q17)</f>
        <v>#N/A</v>
      </c>
      <c r="BK17" s="306" t="e">
        <f>IF(R17="-","-",VLOOKUP($A17,AMAPit!$A$10:$AY$122,BK$9,FALSE)-R17)</f>
        <v>#N/A</v>
      </c>
      <c r="BL17" s="306" t="e">
        <f>IF(S17="-","-",VLOOKUP($A17,AMAPit!$A$10:$AY$122,BL$9,FALSE)-S17)</f>
        <v>#N/A</v>
      </c>
      <c r="BM17" s="306" t="e">
        <f>IF(T17="-","-",VLOOKUP($A17,AMAPit!$A$10:$AY$122,BM$9,FALSE)-T17)</f>
        <v>#N/A</v>
      </c>
      <c r="BN17" s="306" t="e">
        <f>IF(U17="-","-",VLOOKUP($A17,AMAPit!$A$10:$AY$122,BN$9,FALSE)-U17)</f>
        <v>#N/A</v>
      </c>
      <c r="BO17" s="306" t="e">
        <f>IF(V17="-","-",VLOOKUP($A17,AMAPit!$A$10:$AY$122,BO$9,FALSE)-V17)</f>
        <v>#N/A</v>
      </c>
      <c r="BP17" s="306" t="e">
        <f>IF(W17="-","-",VLOOKUP($A17,AMAPit!$A$10:$AY$122,BP$9,FALSE)-W17)</f>
        <v>#N/A</v>
      </c>
      <c r="BQ17" s="306" t="e">
        <f>IF(X17="-","-",VLOOKUP($A17,AMAPit!$A$10:$AY$122,BQ$9,FALSE)-X17)</f>
        <v>#N/A</v>
      </c>
      <c r="BR17" s="306" t="e">
        <f>IF(Y17="-","-",VLOOKUP($A17,AMAPit!$A$10:$AY$122,BR$9,FALSE)-Y17)</f>
        <v>#N/A</v>
      </c>
      <c r="BS17" s="306" t="e">
        <f>IF(Z17="-","-",VLOOKUP($A17,AMAPit!$A$10:$AY$122,BS$9,FALSE)-Z17)</f>
        <v>#N/A</v>
      </c>
      <c r="BT17" s="306" t="e">
        <f>IF(AA17="-","-",VLOOKUP($A17,AMAPit!$A$10:$AY$122,BT$9,FALSE)-AA17)</f>
        <v>#N/A</v>
      </c>
      <c r="BU17" s="306" t="e">
        <f>IF(AB17="-","-",VLOOKUP($A17,AMAPit!$A$10:$AY$122,BU$9,FALSE)-AB17)</f>
        <v>#N/A</v>
      </c>
      <c r="BV17" s="306" t="str">
        <f>IF(AC17="-","-",VLOOKUP($A17,AMAPit!$A$10:$AY$122,BV$9,FALSE)-AC17)</f>
        <v>-</v>
      </c>
      <c r="BW17" s="306" t="str">
        <f>IF(AD17="-","-",VLOOKUP($A17,AMAPit!$A$10:$AY$122,BW$9,FALSE)-AD17)</f>
        <v>-</v>
      </c>
      <c r="BX17" s="306" t="str">
        <f>IF(AE17="-","-",VLOOKUP($A17,AMAPit!$A$10:$AY$122,BX$9,FALSE)-AE17)</f>
        <v>-</v>
      </c>
      <c r="BY17" s="306" t="str">
        <f>IF(AF17="-","-",VLOOKUP($A17,AMAPit!$A$10:$AY$122,BY$9,FALSE)-AF17)</f>
        <v>-</v>
      </c>
      <c r="BZ17" s="306" t="str">
        <f>IF(AG17="-","-",VLOOKUP($A17,AMAPit!$A$10:$AY$122,BZ$9,FALSE)-AG17)</f>
        <v>-</v>
      </c>
      <c r="CA17" s="306" t="str">
        <f>IF(AH17="-","-",VLOOKUP($A17,AMAPit!$A$10:$AY$122,CA$9,FALSE)-AH17)</f>
        <v>-</v>
      </c>
      <c r="CB17" s="306" t="str">
        <f>IF(AI17="-","-",VLOOKUP($A17,AMAPit!$A$10:$AY$122,CB$9,FALSE)-AI17)</f>
        <v>-</v>
      </c>
      <c r="CC17" s="306" t="str">
        <f>IF(AJ17="-","-",VLOOKUP($A17,AMAPit!$A$10:$AY$122,CC$9,FALSE)-AJ17)</f>
        <v>-</v>
      </c>
      <c r="CD17" s="306" t="str">
        <f>IF(AK17="-","-",VLOOKUP($A17,AMAPit!$A$10:$AY$122,CD$9,FALSE)-AK17)</f>
        <v>-</v>
      </c>
      <c r="CE17" s="306" t="str">
        <f>IF(AL17="-","-",VLOOKUP($A17,AMAPit!$A$10:$AY$122,CE$9,FALSE)-AL17)</f>
        <v>-</v>
      </c>
      <c r="CF17" s="306" t="e">
        <f>IF(AM17="-","-",VLOOKUP($A17,AMAPit!$A$10:$AY$122,CF$9,FALSE)-AM17)</f>
        <v>#N/A</v>
      </c>
      <c r="CG17" s="306" t="e">
        <f>IF(AN17="-","-",VLOOKUP($A17,AMAPit!$A$10:$AY$122,CG$9,FALSE)-AN17)</f>
        <v>#N/A</v>
      </c>
      <c r="CH17" s="306" t="str">
        <f>IF(AO17="-","-",VLOOKUP($A17,AMAPit!$A$10:$AY$122,CH$9,FALSE)-AO17)</f>
        <v>-</v>
      </c>
      <c r="CI17" s="306" t="str">
        <f>IF(AP17="-","-",VLOOKUP($A17,AMAPit!$A$10:$AY$122,CI$9,FALSE)-AP17)</f>
        <v>-</v>
      </c>
      <c r="CJ17" s="306" t="str">
        <f>IF(AQ17="-","-",VLOOKUP($A17,AMAPit!$A$10:$AY$122,CJ$9,FALSE)-AQ17)</f>
        <v>-</v>
      </c>
      <c r="CK17" s="306" t="str">
        <f>IF(AR17="-","-",VLOOKUP($A17,AMAPit!$A$10:$AY$122,CK$9,FALSE)-AR17)</f>
        <v>-</v>
      </c>
      <c r="CL17" s="306" t="str">
        <f>IF(AS17="-","-",VLOOKUP($A17,AMAPit!$A$10:$AY$122,CL$9,FALSE)-AS17)</f>
        <v>-</v>
      </c>
      <c r="CM17" s="306" t="str">
        <f>IF(AT17="-","-",VLOOKUP($A17,AMAPit!$A$10:$AY$122,CM$9,FALSE)-AT17)</f>
        <v>-</v>
      </c>
      <c r="CN17" t="e">
        <f t="shared" si="11"/>
        <v>#N/A</v>
      </c>
    </row>
    <row r="18" spans="1:92" x14ac:dyDescent="0.25">
      <c r="A18" s="305" t="s">
        <v>512</v>
      </c>
      <c r="B18" s="305" t="s">
        <v>185</v>
      </c>
      <c r="C18" s="305"/>
      <c r="D18" s="305" t="s">
        <v>81</v>
      </c>
      <c r="E18" t="s">
        <v>11</v>
      </c>
      <c r="F18" t="s">
        <v>780</v>
      </c>
      <c r="G18" s="305" t="s">
        <v>524</v>
      </c>
      <c r="H18" t="s">
        <v>763</v>
      </c>
      <c r="I18" t="s">
        <v>402</v>
      </c>
      <c r="J18">
        <v>30</v>
      </c>
      <c r="K18" t="s">
        <v>83</v>
      </c>
      <c r="L18" s="210" t="s">
        <v>83</v>
      </c>
      <c r="M18" t="s">
        <v>764</v>
      </c>
      <c r="N18" t="s">
        <v>764</v>
      </c>
      <c r="O18" t="s">
        <v>200</v>
      </c>
      <c r="P18" s="210" t="s">
        <v>200</v>
      </c>
      <c r="Q18">
        <v>5</v>
      </c>
      <c r="R18">
        <v>5</v>
      </c>
      <c r="S18" s="210">
        <v>8</v>
      </c>
      <c r="T18">
        <v>5</v>
      </c>
      <c r="U18">
        <v>5</v>
      </c>
      <c r="V18" s="210">
        <v>8</v>
      </c>
      <c r="W18">
        <v>6</v>
      </c>
      <c r="X18">
        <v>6</v>
      </c>
      <c r="Y18" t="s">
        <v>32</v>
      </c>
      <c r="Z18" t="s">
        <v>32</v>
      </c>
      <c r="AA18">
        <v>3</v>
      </c>
      <c r="AB18">
        <v>3</v>
      </c>
      <c r="AC18" t="s">
        <v>32</v>
      </c>
      <c r="AD18" t="s">
        <v>32</v>
      </c>
      <c r="AE18" t="s">
        <v>32</v>
      </c>
      <c r="AF18" t="s">
        <v>32</v>
      </c>
      <c r="AG18">
        <v>6</v>
      </c>
      <c r="AH18">
        <v>6</v>
      </c>
      <c r="AI18" t="s">
        <v>32</v>
      </c>
      <c r="AJ18" t="s">
        <v>32</v>
      </c>
      <c r="AK18">
        <v>6</v>
      </c>
      <c r="AL18">
        <v>6</v>
      </c>
      <c r="AM18" t="s">
        <v>32</v>
      </c>
      <c r="AN18" t="s">
        <v>32</v>
      </c>
      <c r="AO18" t="s">
        <v>32</v>
      </c>
      <c r="AP18" t="s">
        <v>32</v>
      </c>
      <c r="AQ18" t="s">
        <v>32</v>
      </c>
      <c r="AR18" t="s">
        <v>32</v>
      </c>
      <c r="AS18" t="s">
        <v>32</v>
      </c>
      <c r="AT18" s="210" t="s">
        <v>32</v>
      </c>
      <c r="AU18" t="s">
        <v>2</v>
      </c>
      <c r="AV18">
        <v>7</v>
      </c>
      <c r="AW18" s="235" t="s">
        <v>394</v>
      </c>
      <c r="AX18">
        <v>1400000</v>
      </c>
      <c r="AY18" s="210" t="s">
        <v>34</v>
      </c>
      <c r="AZ18" s="372" t="s">
        <v>199</v>
      </c>
      <c r="BA18" s="6">
        <f t="shared" si="2"/>
        <v>6.75</v>
      </c>
      <c r="BB18" s="9" t="str">
        <f t="shared" si="3"/>
        <v>GoodReg</v>
      </c>
      <c r="BC18" s="9">
        <f t="shared" si="4"/>
        <v>6.75</v>
      </c>
      <c r="BD18" s="9" t="str">
        <f t="shared" si="5"/>
        <v>GoodReg</v>
      </c>
      <c r="BE18" s="9">
        <f t="shared" si="6"/>
        <v>6.75</v>
      </c>
      <c r="BF18" s="9" t="str">
        <f t="shared" si="7"/>
        <v>GoodReg</v>
      </c>
      <c r="BG18" s="77">
        <f t="shared" si="8"/>
        <v>4</v>
      </c>
      <c r="BH18" s="76">
        <f t="shared" si="9"/>
        <v>3</v>
      </c>
      <c r="BI18" t="str">
        <f t="shared" si="10"/>
        <v/>
      </c>
      <c r="BJ18" s="306" t="e">
        <f>IF(Q18="-","-",VLOOKUP($A18,AMAPit!$A$10:$AY$122,BJ$9,FALSE)-Q18)</f>
        <v>#N/A</v>
      </c>
      <c r="BK18" s="306" t="e">
        <f>IF(R18="-","-",VLOOKUP($A18,AMAPit!$A$10:$AY$122,BK$9,FALSE)-R18)</f>
        <v>#N/A</v>
      </c>
      <c r="BL18" s="306" t="e">
        <f>IF(S18="-","-",VLOOKUP($A18,AMAPit!$A$10:$AY$122,BL$9,FALSE)-S18)</f>
        <v>#N/A</v>
      </c>
      <c r="BM18" s="306" t="e">
        <f>IF(T18="-","-",VLOOKUP($A18,AMAPit!$A$10:$AY$122,BM$9,FALSE)-T18)</f>
        <v>#N/A</v>
      </c>
      <c r="BN18" s="306" t="e">
        <f>IF(U18="-","-",VLOOKUP($A18,AMAPit!$A$10:$AY$122,BN$9,FALSE)-U18)</f>
        <v>#N/A</v>
      </c>
      <c r="BO18" s="306" t="e">
        <f>IF(V18="-","-",VLOOKUP($A18,AMAPit!$A$10:$AY$122,BO$9,FALSE)-V18)</f>
        <v>#N/A</v>
      </c>
      <c r="BP18" s="306" t="e">
        <f>IF(W18="-","-",VLOOKUP($A18,AMAPit!$A$10:$AY$122,BP$9,FALSE)-W18)</f>
        <v>#N/A</v>
      </c>
      <c r="BQ18" s="306" t="e">
        <f>IF(X18="-","-",VLOOKUP($A18,AMAPit!$A$10:$AY$122,BQ$9,FALSE)-X18)</f>
        <v>#N/A</v>
      </c>
      <c r="BR18" s="306" t="str">
        <f>IF(Y18="-","-",VLOOKUP($A18,AMAPit!$A$10:$AY$122,BR$9,FALSE)-Y18)</f>
        <v>-</v>
      </c>
      <c r="BS18" s="306" t="str">
        <f>IF(Z18="-","-",VLOOKUP($A18,AMAPit!$A$10:$AY$122,BS$9,FALSE)-Z18)</f>
        <v>-</v>
      </c>
      <c r="BT18" s="306" t="e">
        <f>IF(AA18="-","-",VLOOKUP($A18,AMAPit!$A$10:$AY$122,BT$9,FALSE)-AA18)</f>
        <v>#N/A</v>
      </c>
      <c r="BU18" s="306" t="e">
        <f>IF(AB18="-","-",VLOOKUP($A18,AMAPit!$A$10:$AY$122,BU$9,FALSE)-AB18)</f>
        <v>#N/A</v>
      </c>
      <c r="BV18" s="306" t="str">
        <f>IF(AC18="-","-",VLOOKUP($A18,AMAPit!$A$10:$AY$122,BV$9,FALSE)-AC18)</f>
        <v>-</v>
      </c>
      <c r="BW18" s="306" t="str">
        <f>IF(AD18="-","-",VLOOKUP($A18,AMAPit!$A$10:$AY$122,BW$9,FALSE)-AD18)</f>
        <v>-</v>
      </c>
      <c r="BX18" s="306" t="str">
        <f>IF(AE18="-","-",VLOOKUP($A18,AMAPit!$A$10:$AY$122,BX$9,FALSE)-AE18)</f>
        <v>-</v>
      </c>
      <c r="BY18" s="306" t="str">
        <f>IF(AF18="-","-",VLOOKUP($A18,AMAPit!$A$10:$AY$122,BY$9,FALSE)-AF18)</f>
        <v>-</v>
      </c>
      <c r="BZ18" s="306" t="e">
        <f>IF(AG18="-","-",VLOOKUP($A18,AMAPit!$A$10:$AY$122,BZ$9,FALSE)-AG18)</f>
        <v>#N/A</v>
      </c>
      <c r="CA18" s="306" t="e">
        <f>IF(AH18="-","-",VLOOKUP($A18,AMAPit!$A$10:$AY$122,CA$9,FALSE)-AH18)</f>
        <v>#N/A</v>
      </c>
      <c r="CB18" s="306" t="str">
        <f>IF(AI18="-","-",VLOOKUP($A18,AMAPit!$A$10:$AY$122,CB$9,FALSE)-AI18)</f>
        <v>-</v>
      </c>
      <c r="CC18" s="306" t="str">
        <f>IF(AJ18="-","-",VLOOKUP($A18,AMAPit!$A$10:$AY$122,CC$9,FALSE)-AJ18)</f>
        <v>-</v>
      </c>
      <c r="CD18" s="306" t="e">
        <f>IF(AK18="-","-",VLOOKUP($A18,AMAPit!$A$10:$AY$122,CD$9,FALSE)-AK18)</f>
        <v>#N/A</v>
      </c>
      <c r="CE18" s="306" t="e">
        <f>IF(AL18="-","-",VLOOKUP($A18,AMAPit!$A$10:$AY$122,CE$9,FALSE)-AL18)</f>
        <v>#N/A</v>
      </c>
      <c r="CF18" s="306" t="str">
        <f>IF(AM18="-","-",VLOOKUP($A18,AMAPit!$A$10:$AY$122,CF$9,FALSE)-AM18)</f>
        <v>-</v>
      </c>
      <c r="CG18" s="306" t="str">
        <f>IF(AN18="-","-",VLOOKUP($A18,AMAPit!$A$10:$AY$122,CG$9,FALSE)-AN18)</f>
        <v>-</v>
      </c>
      <c r="CH18" s="306" t="str">
        <f>IF(AO18="-","-",VLOOKUP($A18,AMAPit!$A$10:$AY$122,CH$9,FALSE)-AO18)</f>
        <v>-</v>
      </c>
      <c r="CI18" s="306" t="str">
        <f>IF(AP18="-","-",VLOOKUP($A18,AMAPit!$A$10:$AY$122,CI$9,FALSE)-AP18)</f>
        <v>-</v>
      </c>
      <c r="CJ18" s="306" t="str">
        <f>IF(AQ18="-","-",VLOOKUP($A18,AMAPit!$A$10:$AY$122,CJ$9,FALSE)-AQ18)</f>
        <v>-</v>
      </c>
      <c r="CK18" s="306" t="str">
        <f>IF(AR18="-","-",VLOOKUP($A18,AMAPit!$A$10:$AY$122,CK$9,FALSE)-AR18)</f>
        <v>-</v>
      </c>
      <c r="CL18" s="306" t="str">
        <f>IF(AS18="-","-",VLOOKUP($A18,AMAPit!$A$10:$AY$122,CL$9,FALSE)-AS18)</f>
        <v>-</v>
      </c>
      <c r="CM18" s="306" t="str">
        <f>IF(AT18="-","-",VLOOKUP($A18,AMAPit!$A$10:$AY$122,CM$9,FALSE)-AT18)</f>
        <v>-</v>
      </c>
      <c r="CN18" t="e">
        <f t="shared" si="11"/>
        <v>#N/A</v>
      </c>
    </row>
    <row r="19" spans="1:92" x14ac:dyDescent="0.25">
      <c r="A19" s="305" t="s">
        <v>511</v>
      </c>
      <c r="B19" s="305" t="s">
        <v>187</v>
      </c>
      <c r="C19" s="305"/>
      <c r="D19" s="305" t="s">
        <v>81</v>
      </c>
      <c r="E19" t="s">
        <v>11</v>
      </c>
      <c r="F19" t="s">
        <v>407</v>
      </c>
      <c r="G19" s="305" t="s">
        <v>927</v>
      </c>
      <c r="H19" t="s">
        <v>763</v>
      </c>
      <c r="I19" t="s">
        <v>402</v>
      </c>
      <c r="J19">
        <v>33</v>
      </c>
      <c r="K19" t="s">
        <v>83</v>
      </c>
      <c r="L19" s="210" t="s">
        <v>83</v>
      </c>
      <c r="M19" t="s">
        <v>764</v>
      </c>
      <c r="N19" t="s">
        <v>764</v>
      </c>
      <c r="O19" t="s">
        <v>199</v>
      </c>
      <c r="P19" s="210" t="s">
        <v>200</v>
      </c>
      <c r="Q19">
        <v>9</v>
      </c>
      <c r="R19">
        <v>2</v>
      </c>
      <c r="S19" s="210">
        <v>7</v>
      </c>
      <c r="T19">
        <v>9</v>
      </c>
      <c r="U19">
        <v>2</v>
      </c>
      <c r="V19" s="210">
        <v>7</v>
      </c>
      <c r="W19">
        <v>9</v>
      </c>
      <c r="X19">
        <v>9</v>
      </c>
      <c r="Y19" t="s">
        <v>32</v>
      </c>
      <c r="Z19" t="s">
        <v>32</v>
      </c>
      <c r="AA19" t="s">
        <v>32</v>
      </c>
      <c r="AB19" t="s">
        <v>32</v>
      </c>
      <c r="AC19">
        <v>8</v>
      </c>
      <c r="AD19">
        <v>8</v>
      </c>
      <c r="AE19" t="s">
        <v>32</v>
      </c>
      <c r="AF19" t="s">
        <v>32</v>
      </c>
      <c r="AG19" t="s">
        <v>32</v>
      </c>
      <c r="AH19" t="s">
        <v>32</v>
      </c>
      <c r="AI19" t="s">
        <v>32</v>
      </c>
      <c r="AJ19" t="s">
        <v>32</v>
      </c>
      <c r="AK19" t="s">
        <v>32</v>
      </c>
      <c r="AL19" t="s">
        <v>32</v>
      </c>
      <c r="AM19" t="s">
        <v>32</v>
      </c>
      <c r="AN19" t="s">
        <v>32</v>
      </c>
      <c r="AO19" t="s">
        <v>32</v>
      </c>
      <c r="AP19" t="s">
        <v>32</v>
      </c>
      <c r="AQ19" t="s">
        <v>32</v>
      </c>
      <c r="AR19" t="s">
        <v>32</v>
      </c>
      <c r="AS19" t="s">
        <v>32</v>
      </c>
      <c r="AT19" s="210" t="s">
        <v>32</v>
      </c>
      <c r="AU19" t="s">
        <v>326</v>
      </c>
      <c r="AV19">
        <v>3</v>
      </c>
      <c r="AW19" s="235" t="s">
        <v>393</v>
      </c>
      <c r="AX19">
        <v>930000</v>
      </c>
      <c r="AY19" s="210">
        <v>2</v>
      </c>
      <c r="AZ19" s="372" t="s">
        <v>529</v>
      </c>
      <c r="BA19" s="6">
        <f t="shared" si="2"/>
        <v>6.5</v>
      </c>
      <c r="BB19" s="9" t="str">
        <f t="shared" si="3"/>
        <v>Reg</v>
      </c>
      <c r="BC19" s="9">
        <f t="shared" si="4"/>
        <v>6.5</v>
      </c>
      <c r="BD19" s="9" t="str">
        <f t="shared" si="5"/>
        <v>Reg</v>
      </c>
      <c r="BE19" s="9">
        <f t="shared" si="6"/>
        <v>6.5</v>
      </c>
      <c r="BF19" s="9" t="str">
        <f t="shared" si="7"/>
        <v>Reg</v>
      </c>
      <c r="BG19" s="77">
        <f t="shared" si="8"/>
        <v>2</v>
      </c>
      <c r="BH19" s="76">
        <f t="shared" si="9"/>
        <v>2</v>
      </c>
      <c r="BI19" t="str">
        <f t="shared" si="10"/>
        <v/>
      </c>
      <c r="BJ19" s="306" t="e">
        <f>IF(Q19="-","-",VLOOKUP($A19,AMAPit!$A$10:$AY$122,BJ$9,FALSE)-Q19)</f>
        <v>#N/A</v>
      </c>
      <c r="BK19" s="306" t="e">
        <f>IF(R19="-","-",VLOOKUP($A19,AMAPit!$A$10:$AY$122,BK$9,FALSE)-R19)</f>
        <v>#N/A</v>
      </c>
      <c r="BL19" s="306" t="e">
        <f>IF(S19="-","-",VLOOKUP($A19,AMAPit!$A$10:$AY$122,BL$9,FALSE)-S19)</f>
        <v>#N/A</v>
      </c>
      <c r="BM19" s="306" t="e">
        <f>IF(T19="-","-",VLOOKUP($A19,AMAPit!$A$10:$AY$122,BM$9,FALSE)-T19)</f>
        <v>#N/A</v>
      </c>
      <c r="BN19" s="306" t="e">
        <f>IF(U19="-","-",VLOOKUP($A19,AMAPit!$A$10:$AY$122,BN$9,FALSE)-U19)</f>
        <v>#N/A</v>
      </c>
      <c r="BO19" s="306" t="e">
        <f>IF(V19="-","-",VLOOKUP($A19,AMAPit!$A$10:$AY$122,BO$9,FALSE)-V19)</f>
        <v>#N/A</v>
      </c>
      <c r="BP19" s="306" t="e">
        <f>IF(W19="-","-",VLOOKUP($A19,AMAPit!$A$10:$AY$122,BP$9,FALSE)-W19)</f>
        <v>#N/A</v>
      </c>
      <c r="BQ19" s="306" t="e">
        <f>IF(X19="-","-",VLOOKUP($A19,AMAPit!$A$10:$AY$122,BQ$9,FALSE)-X19)</f>
        <v>#N/A</v>
      </c>
      <c r="BR19" s="306" t="str">
        <f>IF(Y19="-","-",VLOOKUP($A19,AMAPit!$A$10:$AY$122,BR$9,FALSE)-Y19)</f>
        <v>-</v>
      </c>
      <c r="BS19" s="306" t="str">
        <f>IF(Z19="-","-",VLOOKUP($A19,AMAPit!$A$10:$AY$122,BS$9,FALSE)-Z19)</f>
        <v>-</v>
      </c>
      <c r="BT19" s="306" t="str">
        <f>IF(AA19="-","-",VLOOKUP($A19,AMAPit!$A$10:$AY$122,BT$9,FALSE)-AA19)</f>
        <v>-</v>
      </c>
      <c r="BU19" s="306" t="str">
        <f>IF(AB19="-","-",VLOOKUP($A19,AMAPit!$A$10:$AY$122,BU$9,FALSE)-AB19)</f>
        <v>-</v>
      </c>
      <c r="BV19" s="306" t="e">
        <f>IF(AC19="-","-",VLOOKUP($A19,AMAPit!$A$10:$AY$122,BV$9,FALSE)-AC19)</f>
        <v>#N/A</v>
      </c>
      <c r="BW19" s="306" t="e">
        <f>IF(AD19="-","-",VLOOKUP($A19,AMAPit!$A$10:$AY$122,BW$9,FALSE)-AD19)</f>
        <v>#N/A</v>
      </c>
      <c r="BX19" s="306" t="str">
        <f>IF(AE19="-","-",VLOOKUP($A19,AMAPit!$A$10:$AY$122,BX$9,FALSE)-AE19)</f>
        <v>-</v>
      </c>
      <c r="BY19" s="306" t="str">
        <f>IF(AF19="-","-",VLOOKUP($A19,AMAPit!$A$10:$AY$122,BY$9,FALSE)-AF19)</f>
        <v>-</v>
      </c>
      <c r="BZ19" s="306" t="str">
        <f>IF(AG19="-","-",VLOOKUP($A19,AMAPit!$A$10:$AY$122,BZ$9,FALSE)-AG19)</f>
        <v>-</v>
      </c>
      <c r="CA19" s="306" t="str">
        <f>IF(AH19="-","-",VLOOKUP($A19,AMAPit!$A$10:$AY$122,CA$9,FALSE)-AH19)</f>
        <v>-</v>
      </c>
      <c r="CB19" s="306" t="str">
        <f>IF(AI19="-","-",VLOOKUP($A19,AMAPit!$A$10:$AY$122,CB$9,FALSE)-AI19)</f>
        <v>-</v>
      </c>
      <c r="CC19" s="306" t="str">
        <f>IF(AJ19="-","-",VLOOKUP($A19,AMAPit!$A$10:$AY$122,CC$9,FALSE)-AJ19)</f>
        <v>-</v>
      </c>
      <c r="CD19" s="306" t="str">
        <f>IF(AK19="-","-",VLOOKUP($A19,AMAPit!$A$10:$AY$122,CD$9,FALSE)-AK19)</f>
        <v>-</v>
      </c>
      <c r="CE19" s="306" t="str">
        <f>IF(AL19="-","-",VLOOKUP($A19,AMAPit!$A$10:$AY$122,CE$9,FALSE)-AL19)</f>
        <v>-</v>
      </c>
      <c r="CF19" s="306" t="str">
        <f>IF(AM19="-","-",VLOOKUP($A19,AMAPit!$A$10:$AY$122,CF$9,FALSE)-AM19)</f>
        <v>-</v>
      </c>
      <c r="CG19" s="306" t="str">
        <f>IF(AN19="-","-",VLOOKUP($A19,AMAPit!$A$10:$AY$122,CG$9,FALSE)-AN19)</f>
        <v>-</v>
      </c>
      <c r="CH19" s="306" t="str">
        <f>IF(AO19="-","-",VLOOKUP($A19,AMAPit!$A$10:$AY$122,CH$9,FALSE)-AO19)</f>
        <v>-</v>
      </c>
      <c r="CI19" s="306" t="str">
        <f>IF(AP19="-","-",VLOOKUP($A19,AMAPit!$A$10:$AY$122,CI$9,FALSE)-AP19)</f>
        <v>-</v>
      </c>
      <c r="CJ19" s="306" t="str">
        <f>IF(AQ19="-","-",VLOOKUP($A19,AMAPit!$A$10:$AY$122,CJ$9,FALSE)-AQ19)</f>
        <v>-</v>
      </c>
      <c r="CK19" s="306" t="str">
        <f>IF(AR19="-","-",VLOOKUP($A19,AMAPit!$A$10:$AY$122,CK$9,FALSE)-AR19)</f>
        <v>-</v>
      </c>
      <c r="CL19" s="306" t="str">
        <f>IF(AS19="-","-",VLOOKUP($A19,AMAPit!$A$10:$AY$122,CL$9,FALSE)-AS19)</f>
        <v>-</v>
      </c>
      <c r="CM19" s="306" t="str">
        <f>IF(AT19="-","-",VLOOKUP($A19,AMAPit!$A$10:$AY$122,CM$9,FALSE)-AT19)</f>
        <v>-</v>
      </c>
      <c r="CN19" t="e">
        <f t="shared" si="11"/>
        <v>#N/A</v>
      </c>
    </row>
    <row r="20" spans="1:92" x14ac:dyDescent="0.25">
      <c r="A20" s="305" t="s">
        <v>516</v>
      </c>
      <c r="B20" s="305" t="s">
        <v>185</v>
      </c>
      <c r="C20" s="305"/>
      <c r="D20" s="305" t="s">
        <v>81</v>
      </c>
      <c r="E20" t="s">
        <v>11</v>
      </c>
      <c r="F20" t="s">
        <v>461</v>
      </c>
      <c r="G20" s="305" t="s">
        <v>855</v>
      </c>
      <c r="H20" t="s">
        <v>769</v>
      </c>
      <c r="I20" t="s">
        <v>186</v>
      </c>
      <c r="J20">
        <v>29</v>
      </c>
      <c r="K20" t="s">
        <v>82</v>
      </c>
      <c r="L20" s="210" t="s">
        <v>82</v>
      </c>
      <c r="M20" t="s">
        <v>808</v>
      </c>
      <c r="N20" t="s">
        <v>808</v>
      </c>
      <c r="O20" t="s">
        <v>201</v>
      </c>
      <c r="P20" s="210" t="s">
        <v>200</v>
      </c>
      <c r="Q20">
        <v>5</v>
      </c>
      <c r="R20">
        <v>2</v>
      </c>
      <c r="S20" s="210">
        <v>8</v>
      </c>
      <c r="T20">
        <v>5</v>
      </c>
      <c r="U20">
        <v>3</v>
      </c>
      <c r="V20" s="210">
        <v>8</v>
      </c>
      <c r="W20">
        <v>6</v>
      </c>
      <c r="X20">
        <v>6</v>
      </c>
      <c r="Y20">
        <v>1</v>
      </c>
      <c r="Z20">
        <v>1</v>
      </c>
      <c r="AA20">
        <v>2</v>
      </c>
      <c r="AB20">
        <v>2</v>
      </c>
      <c r="AC20">
        <v>4</v>
      </c>
      <c r="AD20">
        <v>4</v>
      </c>
      <c r="AE20" t="s">
        <v>32</v>
      </c>
      <c r="AF20" t="s">
        <v>32</v>
      </c>
      <c r="AG20">
        <v>5</v>
      </c>
      <c r="AH20">
        <v>5</v>
      </c>
      <c r="AI20" t="s">
        <v>32</v>
      </c>
      <c r="AJ20" t="s">
        <v>32</v>
      </c>
      <c r="AK20" t="s">
        <v>32</v>
      </c>
      <c r="AL20" t="s">
        <v>32</v>
      </c>
      <c r="AM20" t="s">
        <v>32</v>
      </c>
      <c r="AN20" t="s">
        <v>32</v>
      </c>
      <c r="AO20" t="s">
        <v>32</v>
      </c>
      <c r="AP20" t="s">
        <v>32</v>
      </c>
      <c r="AQ20">
        <v>3</v>
      </c>
      <c r="AR20">
        <v>4</v>
      </c>
      <c r="AS20" t="s">
        <v>32</v>
      </c>
      <c r="AT20" s="210" t="s">
        <v>32</v>
      </c>
      <c r="AU20" t="s">
        <v>209</v>
      </c>
      <c r="AV20">
        <v>8</v>
      </c>
      <c r="AW20" s="11" t="s">
        <v>394</v>
      </c>
      <c r="AX20" s="78" t="s">
        <v>32</v>
      </c>
      <c r="AY20" s="210" t="s">
        <v>33</v>
      </c>
      <c r="AZ20" s="372" t="s">
        <v>199</v>
      </c>
      <c r="BA20" s="6">
        <f t="shared" si="2"/>
        <v>6.25</v>
      </c>
      <c r="BB20" s="9" t="str">
        <f t="shared" si="3"/>
        <v>Reg</v>
      </c>
      <c r="BC20" s="9">
        <f t="shared" si="4"/>
        <v>6.583333333333333</v>
      </c>
      <c r="BD20" s="9" t="str">
        <f t="shared" si="5"/>
        <v>GoodReg</v>
      </c>
      <c r="BE20" s="9">
        <f t="shared" si="6"/>
        <v>6.583333333333333</v>
      </c>
      <c r="BF20" s="9" t="str">
        <f t="shared" si="7"/>
        <v>GoodReg</v>
      </c>
      <c r="BG20" s="77">
        <f t="shared" si="8"/>
        <v>6</v>
      </c>
      <c r="BH20" s="76">
        <f t="shared" si="9"/>
        <v>1</v>
      </c>
      <c r="BI20" t="str">
        <f t="shared" si="10"/>
        <v/>
      </c>
      <c r="BJ20" s="306" t="e">
        <f>IF(Q20="-","-",VLOOKUP($A20,AMAPit!$A$10:$AY$122,BJ$9,FALSE)-Q20)</f>
        <v>#N/A</v>
      </c>
      <c r="BK20" s="306" t="e">
        <f>IF(R20="-","-",VLOOKUP($A20,AMAPit!$A$10:$AY$122,BK$9,FALSE)-R20)</f>
        <v>#N/A</v>
      </c>
      <c r="BL20" s="306" t="e">
        <f>IF(S20="-","-",VLOOKUP($A20,AMAPit!$A$10:$AY$122,BL$9,FALSE)-S20)</f>
        <v>#N/A</v>
      </c>
      <c r="BM20" s="306" t="e">
        <f>IF(T20="-","-",VLOOKUP($A20,AMAPit!$A$10:$AY$122,BM$9,FALSE)-T20)</f>
        <v>#N/A</v>
      </c>
      <c r="BN20" s="306" t="e">
        <f>IF(U20="-","-",VLOOKUP($A20,AMAPit!$A$10:$AY$122,BN$9,FALSE)-U20)</f>
        <v>#N/A</v>
      </c>
      <c r="BO20" s="306" t="e">
        <f>IF(V20="-","-",VLOOKUP($A20,AMAPit!$A$10:$AY$122,BO$9,FALSE)-V20)</f>
        <v>#N/A</v>
      </c>
      <c r="BP20" s="306" t="e">
        <f>IF(W20="-","-",VLOOKUP($A20,AMAPit!$A$10:$AY$122,BP$9,FALSE)-W20)</f>
        <v>#N/A</v>
      </c>
      <c r="BQ20" s="306" t="e">
        <f>IF(X20="-","-",VLOOKUP($A20,AMAPit!$A$10:$AY$122,BQ$9,FALSE)-X20)</f>
        <v>#N/A</v>
      </c>
      <c r="BR20" s="306" t="e">
        <f>IF(Y20="-","-",VLOOKUP($A20,AMAPit!$A$10:$AY$122,BR$9,FALSE)-Y20)</f>
        <v>#N/A</v>
      </c>
      <c r="BS20" s="306" t="e">
        <f>IF(Z20="-","-",VLOOKUP($A20,AMAPit!$A$10:$AY$122,BS$9,FALSE)-Z20)</f>
        <v>#N/A</v>
      </c>
      <c r="BT20" s="306" t="e">
        <f>IF(AA20="-","-",VLOOKUP($A20,AMAPit!$A$10:$AY$122,BT$9,FALSE)-AA20)</f>
        <v>#N/A</v>
      </c>
      <c r="BU20" s="306" t="e">
        <f>IF(AB20="-","-",VLOOKUP($A20,AMAPit!$A$10:$AY$122,BU$9,FALSE)-AB20)</f>
        <v>#N/A</v>
      </c>
      <c r="BV20" s="306" t="e">
        <f>IF(AC20="-","-",VLOOKUP($A20,AMAPit!$A$10:$AY$122,BV$9,FALSE)-AC20)</f>
        <v>#N/A</v>
      </c>
      <c r="BW20" s="306" t="e">
        <f>IF(AD20="-","-",VLOOKUP($A20,AMAPit!$A$10:$AY$122,BW$9,FALSE)-AD20)</f>
        <v>#N/A</v>
      </c>
      <c r="BX20" s="306" t="str">
        <f>IF(AE20="-","-",VLOOKUP($A20,AMAPit!$A$10:$AY$122,BX$9,FALSE)-AE20)</f>
        <v>-</v>
      </c>
      <c r="BY20" s="306" t="str">
        <f>IF(AF20="-","-",VLOOKUP($A20,AMAPit!$A$10:$AY$122,BY$9,FALSE)-AF20)</f>
        <v>-</v>
      </c>
      <c r="BZ20" s="306" t="e">
        <f>IF(AG20="-","-",VLOOKUP($A20,AMAPit!$A$10:$AY$122,BZ$9,FALSE)-AG20)</f>
        <v>#N/A</v>
      </c>
      <c r="CA20" s="306" t="e">
        <f>IF(AH20="-","-",VLOOKUP($A20,AMAPit!$A$10:$AY$122,CA$9,FALSE)-AH20)</f>
        <v>#N/A</v>
      </c>
      <c r="CB20" s="306" t="str">
        <f>IF(AI20="-","-",VLOOKUP($A20,AMAPit!$A$10:$AY$122,CB$9,FALSE)-AI20)</f>
        <v>-</v>
      </c>
      <c r="CC20" s="306" t="str">
        <f>IF(AJ20="-","-",VLOOKUP($A20,AMAPit!$A$10:$AY$122,CC$9,FALSE)-AJ20)</f>
        <v>-</v>
      </c>
      <c r="CD20" s="306" t="str">
        <f>IF(AK20="-","-",VLOOKUP($A20,AMAPit!$A$10:$AY$122,CD$9,FALSE)-AK20)</f>
        <v>-</v>
      </c>
      <c r="CE20" s="306" t="str">
        <f>IF(AL20="-","-",VLOOKUP($A20,AMAPit!$A$10:$AY$122,CE$9,FALSE)-AL20)</f>
        <v>-</v>
      </c>
      <c r="CF20" s="306" t="str">
        <f>IF(AM20="-","-",VLOOKUP($A20,AMAPit!$A$10:$AY$122,CF$9,FALSE)-AM20)</f>
        <v>-</v>
      </c>
      <c r="CG20" s="306" t="str">
        <f>IF(AN20="-","-",VLOOKUP($A20,AMAPit!$A$10:$AY$122,CG$9,FALSE)-AN20)</f>
        <v>-</v>
      </c>
      <c r="CH20" s="306" t="str">
        <f>IF(AO20="-","-",VLOOKUP($A20,AMAPit!$A$10:$AY$122,CH$9,FALSE)-AO20)</f>
        <v>-</v>
      </c>
      <c r="CI20" s="306" t="str">
        <f>IF(AP20="-","-",VLOOKUP($A20,AMAPit!$A$10:$AY$122,CI$9,FALSE)-AP20)</f>
        <v>-</v>
      </c>
      <c r="CJ20" s="306" t="e">
        <f>IF(AQ20="-","-",VLOOKUP($A20,AMAPit!$A$10:$AY$122,CJ$9,FALSE)-AQ20)</f>
        <v>#N/A</v>
      </c>
      <c r="CK20" s="306" t="e">
        <f>IF(AR20="-","-",VLOOKUP($A20,AMAPit!$A$10:$AY$122,CK$9,FALSE)-AR20)</f>
        <v>#N/A</v>
      </c>
      <c r="CL20" s="306" t="str">
        <f>IF(AS20="-","-",VLOOKUP($A20,AMAPit!$A$10:$AY$122,CL$9,FALSE)-AS20)</f>
        <v>-</v>
      </c>
      <c r="CM20" s="306" t="str">
        <f>IF(AT20="-","-",VLOOKUP($A20,AMAPit!$A$10:$AY$122,CM$9,FALSE)-AT20)</f>
        <v>-</v>
      </c>
      <c r="CN20" t="e">
        <f t="shared" si="11"/>
        <v>#N/A</v>
      </c>
    </row>
    <row r="21" spans="1:92" x14ac:dyDescent="0.25">
      <c r="A21" s="305" t="s">
        <v>514</v>
      </c>
      <c r="B21" s="305" t="s">
        <v>184</v>
      </c>
      <c r="C21" s="305"/>
      <c r="D21" s="305" t="s">
        <v>81</v>
      </c>
      <c r="E21" t="s">
        <v>87</v>
      </c>
      <c r="F21" t="s">
        <v>494</v>
      </c>
      <c r="G21" s="305" t="s">
        <v>495</v>
      </c>
      <c r="H21" t="s">
        <v>763</v>
      </c>
      <c r="I21" t="s">
        <v>402</v>
      </c>
      <c r="J21">
        <v>30</v>
      </c>
      <c r="K21" t="s">
        <v>83</v>
      </c>
      <c r="L21" s="210" t="s">
        <v>83</v>
      </c>
      <c r="M21" t="s">
        <v>764</v>
      </c>
      <c r="N21" t="s">
        <v>764</v>
      </c>
      <c r="O21" t="s">
        <v>201</v>
      </c>
      <c r="P21" s="210" t="s">
        <v>201</v>
      </c>
      <c r="Q21">
        <v>5</v>
      </c>
      <c r="R21">
        <v>3</v>
      </c>
      <c r="S21" s="210">
        <v>9</v>
      </c>
      <c r="T21">
        <v>5</v>
      </c>
      <c r="U21">
        <v>3</v>
      </c>
      <c r="V21" s="210">
        <v>9</v>
      </c>
      <c r="W21" t="s">
        <v>32</v>
      </c>
      <c r="X21" t="s">
        <v>32</v>
      </c>
      <c r="Y21">
        <v>6</v>
      </c>
      <c r="Z21">
        <v>6</v>
      </c>
      <c r="AA21" t="s">
        <v>32</v>
      </c>
      <c r="AB21" t="s">
        <v>32</v>
      </c>
      <c r="AC21">
        <v>7</v>
      </c>
      <c r="AD21">
        <v>7</v>
      </c>
      <c r="AE21" t="s">
        <v>32</v>
      </c>
      <c r="AF21" t="s">
        <v>32</v>
      </c>
      <c r="AG21" t="s">
        <v>32</v>
      </c>
      <c r="AH21" t="s">
        <v>32</v>
      </c>
      <c r="AI21">
        <v>6</v>
      </c>
      <c r="AJ21">
        <v>6</v>
      </c>
      <c r="AK21" t="s">
        <v>32</v>
      </c>
      <c r="AL21" t="s">
        <v>32</v>
      </c>
      <c r="AM21" t="s">
        <v>32</v>
      </c>
      <c r="AN21" t="s">
        <v>32</v>
      </c>
      <c r="AO21" t="s">
        <v>32</v>
      </c>
      <c r="AP21" t="s">
        <v>32</v>
      </c>
      <c r="AQ21" t="s">
        <v>32</v>
      </c>
      <c r="AR21" t="s">
        <v>32</v>
      </c>
      <c r="AS21" t="s">
        <v>32</v>
      </c>
      <c r="AT21" s="210" t="s">
        <v>32</v>
      </c>
      <c r="AU21" t="s">
        <v>5</v>
      </c>
      <c r="AV21">
        <v>6</v>
      </c>
      <c r="AW21" s="11" t="s">
        <v>394</v>
      </c>
      <c r="AX21" s="78">
        <v>2850000</v>
      </c>
      <c r="AY21" s="210" t="s">
        <v>34</v>
      </c>
      <c r="AZ21" s="372" t="s">
        <v>529</v>
      </c>
      <c r="BA21" s="6">
        <f t="shared" si="2"/>
        <v>6.166666666666667</v>
      </c>
      <c r="BB21" s="9" t="str">
        <f t="shared" si="3"/>
        <v>Reg</v>
      </c>
      <c r="BC21" s="9">
        <f t="shared" si="4"/>
        <v>6.166666666666667</v>
      </c>
      <c r="BD21" s="9" t="str">
        <f t="shared" si="5"/>
        <v>Reg</v>
      </c>
      <c r="BE21" s="9">
        <f t="shared" si="6"/>
        <v>6.166666666666667</v>
      </c>
      <c r="BF21" s="9" t="str">
        <f t="shared" si="7"/>
        <v>Reg</v>
      </c>
      <c r="BG21" s="77">
        <f t="shared" si="8"/>
        <v>3</v>
      </c>
      <c r="BH21" s="76">
        <f t="shared" si="9"/>
        <v>3</v>
      </c>
      <c r="BI21" t="str">
        <f t="shared" si="10"/>
        <v/>
      </c>
      <c r="BJ21" s="306" t="e">
        <f>IF(Q21="-","-",VLOOKUP($A21,AMAPit!$A$10:$AY$122,BJ$9,FALSE)-Q21)</f>
        <v>#N/A</v>
      </c>
      <c r="BK21" s="306" t="e">
        <f>IF(R21="-","-",VLOOKUP($A21,AMAPit!$A$10:$AY$122,BK$9,FALSE)-R21)</f>
        <v>#N/A</v>
      </c>
      <c r="BL21" s="306" t="e">
        <f>IF(S21="-","-",VLOOKUP($A21,AMAPit!$A$10:$AY$122,BL$9,FALSE)-S21)</f>
        <v>#N/A</v>
      </c>
      <c r="BM21" s="306" t="e">
        <f>IF(T21="-","-",VLOOKUP($A21,AMAPit!$A$10:$AY$122,BM$9,FALSE)-T21)</f>
        <v>#N/A</v>
      </c>
      <c r="BN21" s="306" t="e">
        <f>IF(U21="-","-",VLOOKUP($A21,AMAPit!$A$10:$AY$122,BN$9,FALSE)-U21)</f>
        <v>#N/A</v>
      </c>
      <c r="BO21" s="306" t="e">
        <f>IF(V21="-","-",VLOOKUP($A21,AMAPit!$A$10:$AY$122,BO$9,FALSE)-V21)</f>
        <v>#N/A</v>
      </c>
      <c r="BP21" s="306" t="str">
        <f>IF(W21="-","-",VLOOKUP($A21,AMAPit!$A$10:$AY$122,BP$9,FALSE)-W21)</f>
        <v>-</v>
      </c>
      <c r="BQ21" s="306" t="str">
        <f>IF(X21="-","-",VLOOKUP($A21,AMAPit!$A$10:$AY$122,BQ$9,FALSE)-X21)</f>
        <v>-</v>
      </c>
      <c r="BR21" s="306" t="e">
        <f>IF(Y21="-","-",VLOOKUP($A21,AMAPit!$A$10:$AY$122,BR$9,FALSE)-Y21)</f>
        <v>#N/A</v>
      </c>
      <c r="BS21" s="306" t="e">
        <f>IF(Z21="-","-",VLOOKUP($A21,AMAPit!$A$10:$AY$122,BS$9,FALSE)-Z21)</f>
        <v>#N/A</v>
      </c>
      <c r="BT21" s="306" t="str">
        <f>IF(AA21="-","-",VLOOKUP($A21,AMAPit!$A$10:$AY$122,BT$9,FALSE)-AA21)</f>
        <v>-</v>
      </c>
      <c r="BU21" s="306" t="str">
        <f>IF(AB21="-","-",VLOOKUP($A21,AMAPit!$A$10:$AY$122,BU$9,FALSE)-AB21)</f>
        <v>-</v>
      </c>
      <c r="BV21" s="306" t="e">
        <f>IF(AC21="-","-",VLOOKUP($A21,AMAPit!$A$10:$AY$122,BV$9,FALSE)-AC21)</f>
        <v>#N/A</v>
      </c>
      <c r="BW21" s="306" t="e">
        <f>IF(AD21="-","-",VLOOKUP($A21,AMAPit!$A$10:$AY$122,BW$9,FALSE)-AD21)</f>
        <v>#N/A</v>
      </c>
      <c r="BX21" s="306" t="str">
        <f>IF(AE21="-","-",VLOOKUP($A21,AMAPit!$A$10:$AY$122,BX$9,FALSE)-AE21)</f>
        <v>-</v>
      </c>
      <c r="BY21" s="306" t="str">
        <f>IF(AF21="-","-",VLOOKUP($A21,AMAPit!$A$10:$AY$122,BY$9,FALSE)-AF21)</f>
        <v>-</v>
      </c>
      <c r="BZ21" s="306" t="str">
        <f>IF(AG21="-","-",VLOOKUP($A21,AMAPit!$A$10:$AY$122,BZ$9,FALSE)-AG21)</f>
        <v>-</v>
      </c>
      <c r="CA21" s="306" t="str">
        <f>IF(AH21="-","-",VLOOKUP($A21,AMAPit!$A$10:$AY$122,CA$9,FALSE)-AH21)</f>
        <v>-</v>
      </c>
      <c r="CB21" s="306" t="e">
        <f>IF(AI21="-","-",VLOOKUP($A21,AMAPit!$A$10:$AY$122,CB$9,FALSE)-AI21)</f>
        <v>#N/A</v>
      </c>
      <c r="CC21" s="306" t="e">
        <f>IF(AJ21="-","-",VLOOKUP($A21,AMAPit!$A$10:$AY$122,CC$9,FALSE)-AJ21)</f>
        <v>#N/A</v>
      </c>
      <c r="CD21" s="306" t="str">
        <f>IF(AK21="-","-",VLOOKUP($A21,AMAPit!$A$10:$AY$122,CD$9,FALSE)-AK21)</f>
        <v>-</v>
      </c>
      <c r="CE21" s="306" t="str">
        <f>IF(AL21="-","-",VLOOKUP($A21,AMAPit!$A$10:$AY$122,CE$9,FALSE)-AL21)</f>
        <v>-</v>
      </c>
      <c r="CF21" s="306" t="str">
        <f>IF(AM21="-","-",VLOOKUP($A21,AMAPit!$A$10:$AY$122,CF$9,FALSE)-AM21)</f>
        <v>-</v>
      </c>
      <c r="CG21" s="306" t="str">
        <f>IF(AN21="-","-",VLOOKUP($A21,AMAPit!$A$10:$AY$122,CG$9,FALSE)-AN21)</f>
        <v>-</v>
      </c>
      <c r="CH21" s="306" t="str">
        <f>IF(AO21="-","-",VLOOKUP($A21,AMAPit!$A$10:$AY$122,CH$9,FALSE)-AO21)</f>
        <v>-</v>
      </c>
      <c r="CI21" s="306" t="str">
        <f>IF(AP21="-","-",VLOOKUP($A21,AMAPit!$A$10:$AY$122,CI$9,FALSE)-AP21)</f>
        <v>-</v>
      </c>
      <c r="CJ21" s="306" t="str">
        <f>IF(AQ21="-","-",VLOOKUP($A21,AMAPit!$A$10:$AY$122,CJ$9,FALSE)-AQ21)</f>
        <v>-</v>
      </c>
      <c r="CK21" s="306" t="str">
        <f>IF(AR21="-","-",VLOOKUP($A21,AMAPit!$A$10:$AY$122,CK$9,FALSE)-AR21)</f>
        <v>-</v>
      </c>
      <c r="CL21" s="306" t="str">
        <f>IF(AS21="-","-",VLOOKUP($A21,AMAPit!$A$10:$AY$122,CL$9,FALSE)-AS21)</f>
        <v>-</v>
      </c>
      <c r="CM21" s="306" t="str">
        <f>IF(AT21="-","-",VLOOKUP($A21,AMAPit!$A$10:$AY$122,CM$9,FALSE)-AT21)</f>
        <v>-</v>
      </c>
      <c r="CN21" t="e">
        <f t="shared" si="11"/>
        <v>#N/A</v>
      </c>
    </row>
    <row r="22" spans="1:92" x14ac:dyDescent="0.25">
      <c r="A22" s="305" t="s">
        <v>547</v>
      </c>
      <c r="B22" s="305" t="s">
        <v>534</v>
      </c>
      <c r="C22" s="305"/>
      <c r="D22" s="305" t="s">
        <v>81</v>
      </c>
      <c r="E22" t="s">
        <v>87</v>
      </c>
      <c r="F22" t="s">
        <v>928</v>
      </c>
      <c r="G22" s="305" t="s">
        <v>929</v>
      </c>
      <c r="H22" t="s">
        <v>763</v>
      </c>
      <c r="I22" t="s">
        <v>402</v>
      </c>
      <c r="J22">
        <v>26</v>
      </c>
      <c r="K22" t="s">
        <v>82</v>
      </c>
      <c r="L22" s="210" t="s">
        <v>82</v>
      </c>
      <c r="M22" t="s">
        <v>764</v>
      </c>
      <c r="N22" t="s">
        <v>768</v>
      </c>
      <c r="O22" t="s">
        <v>201</v>
      </c>
      <c r="P22" s="210" t="s">
        <v>200</v>
      </c>
      <c r="Q22">
        <v>8</v>
      </c>
      <c r="R22">
        <v>3</v>
      </c>
      <c r="S22" s="210">
        <v>5</v>
      </c>
      <c r="T22">
        <v>8</v>
      </c>
      <c r="U22">
        <v>4</v>
      </c>
      <c r="V22" s="210">
        <v>7</v>
      </c>
      <c r="W22">
        <v>8</v>
      </c>
      <c r="X22">
        <v>8</v>
      </c>
      <c r="Y22">
        <v>9</v>
      </c>
      <c r="Z22">
        <v>9</v>
      </c>
      <c r="AA22" t="s">
        <v>32</v>
      </c>
      <c r="AB22" t="s">
        <v>32</v>
      </c>
      <c r="AC22">
        <v>5</v>
      </c>
      <c r="AD22">
        <v>5</v>
      </c>
      <c r="AE22" t="s">
        <v>32</v>
      </c>
      <c r="AF22" t="s">
        <v>32</v>
      </c>
      <c r="AG22" t="s">
        <v>32</v>
      </c>
      <c r="AH22" t="s">
        <v>32</v>
      </c>
      <c r="AI22" t="s">
        <v>32</v>
      </c>
      <c r="AJ22" t="s">
        <v>32</v>
      </c>
      <c r="AK22" t="s">
        <v>32</v>
      </c>
      <c r="AL22" t="s">
        <v>32</v>
      </c>
      <c r="AM22" t="s">
        <v>32</v>
      </c>
      <c r="AN22" t="s">
        <v>32</v>
      </c>
      <c r="AO22" t="s">
        <v>32</v>
      </c>
      <c r="AP22" t="s">
        <v>32</v>
      </c>
      <c r="AQ22">
        <v>8</v>
      </c>
      <c r="AR22">
        <v>8</v>
      </c>
      <c r="AS22" t="s">
        <v>32</v>
      </c>
      <c r="AT22" s="210" t="s">
        <v>32</v>
      </c>
      <c r="AU22" t="s">
        <v>326</v>
      </c>
      <c r="AV22">
        <v>6</v>
      </c>
      <c r="AW22" s="11" t="s">
        <v>395</v>
      </c>
      <c r="AX22" s="78">
        <v>510000</v>
      </c>
      <c r="AY22" s="210" t="s">
        <v>33</v>
      </c>
      <c r="AZ22" s="372" t="s">
        <v>529</v>
      </c>
      <c r="BA22" s="6">
        <f t="shared" si="2"/>
        <v>6.083333333333333</v>
      </c>
      <c r="BB22" s="9" t="str">
        <f t="shared" si="3"/>
        <v>Reg</v>
      </c>
      <c r="BC22" s="9">
        <f t="shared" si="4"/>
        <v>7.083333333333333</v>
      </c>
      <c r="BD22" s="9" t="str">
        <f t="shared" si="5"/>
        <v>GoodReg</v>
      </c>
      <c r="BE22" s="9">
        <f t="shared" si="6"/>
        <v>7.083333333333333</v>
      </c>
      <c r="BF22" s="9" t="str">
        <f t="shared" si="7"/>
        <v>GoodReg</v>
      </c>
      <c r="BG22" s="77">
        <f t="shared" si="8"/>
        <v>4</v>
      </c>
      <c r="BH22" s="76">
        <f t="shared" si="9"/>
        <v>3</v>
      </c>
      <c r="BI22" t="str">
        <f t="shared" si="10"/>
        <v/>
      </c>
      <c r="BJ22" s="306" t="e">
        <f>IF(Q22="-","-",VLOOKUP($A22,AMAPit!$A$10:$AY$122,BJ$9,FALSE)-Q22)</f>
        <v>#N/A</v>
      </c>
      <c r="BK22" s="306" t="e">
        <f>IF(R22="-","-",VLOOKUP($A22,AMAPit!$A$10:$AY$122,BK$9,FALSE)-R22)</f>
        <v>#N/A</v>
      </c>
      <c r="BL22" s="306" t="e">
        <f>IF(S22="-","-",VLOOKUP($A22,AMAPit!$A$10:$AY$122,BL$9,FALSE)-S22)</f>
        <v>#N/A</v>
      </c>
      <c r="BM22" s="306" t="e">
        <f>IF(T22="-","-",VLOOKUP($A22,AMAPit!$A$10:$AY$122,BM$9,FALSE)-T22)</f>
        <v>#N/A</v>
      </c>
      <c r="BN22" s="306" t="e">
        <f>IF(U22="-","-",VLOOKUP($A22,AMAPit!$A$10:$AY$122,BN$9,FALSE)-U22)</f>
        <v>#N/A</v>
      </c>
      <c r="BO22" s="306" t="e">
        <f>IF(V22="-","-",VLOOKUP($A22,AMAPit!$A$10:$AY$122,BO$9,FALSE)-V22)</f>
        <v>#N/A</v>
      </c>
      <c r="BP22" s="306" t="e">
        <f>IF(W22="-","-",VLOOKUP($A22,AMAPit!$A$10:$AY$122,BP$9,FALSE)-W22)</f>
        <v>#N/A</v>
      </c>
      <c r="BQ22" s="306" t="e">
        <f>IF(X22="-","-",VLOOKUP($A22,AMAPit!$A$10:$AY$122,BQ$9,FALSE)-X22)</f>
        <v>#N/A</v>
      </c>
      <c r="BR22" s="306" t="e">
        <f>IF(Y22="-","-",VLOOKUP($A22,AMAPit!$A$10:$AY$122,BR$9,FALSE)-Y22)</f>
        <v>#N/A</v>
      </c>
      <c r="BS22" s="306" t="e">
        <f>IF(Z22="-","-",VLOOKUP($A22,AMAPit!$A$10:$AY$122,BS$9,FALSE)-Z22)</f>
        <v>#N/A</v>
      </c>
      <c r="BT22" s="306" t="str">
        <f>IF(AA22="-","-",VLOOKUP($A22,AMAPit!$A$10:$AY$122,BT$9,FALSE)-AA22)</f>
        <v>-</v>
      </c>
      <c r="BU22" s="306" t="str">
        <f>IF(AB22="-","-",VLOOKUP($A22,AMAPit!$A$10:$AY$122,BU$9,FALSE)-AB22)</f>
        <v>-</v>
      </c>
      <c r="BV22" s="306" t="e">
        <f>IF(AC22="-","-",VLOOKUP($A22,AMAPit!$A$10:$AY$122,BV$9,FALSE)-AC22)</f>
        <v>#N/A</v>
      </c>
      <c r="BW22" s="306" t="e">
        <f>IF(AD22="-","-",VLOOKUP($A22,AMAPit!$A$10:$AY$122,BW$9,FALSE)-AD22)</f>
        <v>#N/A</v>
      </c>
      <c r="BX22" s="306" t="str">
        <f>IF(AE22="-","-",VLOOKUP($A22,AMAPit!$A$10:$AY$122,BX$9,FALSE)-AE22)</f>
        <v>-</v>
      </c>
      <c r="BY22" s="306" t="str">
        <f>IF(AF22="-","-",VLOOKUP($A22,AMAPit!$A$10:$AY$122,BY$9,FALSE)-AF22)</f>
        <v>-</v>
      </c>
      <c r="BZ22" s="306" t="str">
        <f>IF(AG22="-","-",VLOOKUP($A22,AMAPit!$A$10:$AY$122,BZ$9,FALSE)-AG22)</f>
        <v>-</v>
      </c>
      <c r="CA22" s="306" t="str">
        <f>IF(AH22="-","-",VLOOKUP($A22,AMAPit!$A$10:$AY$122,CA$9,FALSE)-AH22)</f>
        <v>-</v>
      </c>
      <c r="CB22" s="306" t="str">
        <f>IF(AI22="-","-",VLOOKUP($A22,AMAPit!$A$10:$AY$122,CB$9,FALSE)-AI22)</f>
        <v>-</v>
      </c>
      <c r="CC22" s="306" t="str">
        <f>IF(AJ22="-","-",VLOOKUP($A22,AMAPit!$A$10:$AY$122,CC$9,FALSE)-AJ22)</f>
        <v>-</v>
      </c>
      <c r="CD22" s="306" t="str">
        <f>IF(AK22="-","-",VLOOKUP($A22,AMAPit!$A$10:$AY$122,CD$9,FALSE)-AK22)</f>
        <v>-</v>
      </c>
      <c r="CE22" s="306" t="str">
        <f>IF(AL22="-","-",VLOOKUP($A22,AMAPit!$A$10:$AY$122,CE$9,FALSE)-AL22)</f>
        <v>-</v>
      </c>
      <c r="CF22" s="306" t="str">
        <f>IF(AM22="-","-",VLOOKUP($A22,AMAPit!$A$10:$AY$122,CF$9,FALSE)-AM22)</f>
        <v>-</v>
      </c>
      <c r="CG22" s="306" t="str">
        <f>IF(AN22="-","-",VLOOKUP($A22,AMAPit!$A$10:$AY$122,CG$9,FALSE)-AN22)</f>
        <v>-</v>
      </c>
      <c r="CH22" s="306" t="str">
        <f>IF(AO22="-","-",VLOOKUP($A22,AMAPit!$A$10:$AY$122,CH$9,FALSE)-AO22)</f>
        <v>-</v>
      </c>
      <c r="CI22" s="306" t="str">
        <f>IF(AP22="-","-",VLOOKUP($A22,AMAPit!$A$10:$AY$122,CI$9,FALSE)-AP22)</f>
        <v>-</v>
      </c>
      <c r="CJ22" s="306" t="e">
        <f>IF(AQ22="-","-",VLOOKUP($A22,AMAPit!$A$10:$AY$122,CJ$9,FALSE)-AQ22)</f>
        <v>#N/A</v>
      </c>
      <c r="CK22" s="306" t="e">
        <f>IF(AR22="-","-",VLOOKUP($A22,AMAPit!$A$10:$AY$122,CK$9,FALSE)-AR22)</f>
        <v>#N/A</v>
      </c>
      <c r="CL22" s="306" t="str">
        <f>IF(AS22="-","-",VLOOKUP($A22,AMAPit!$A$10:$AY$122,CL$9,FALSE)-AS22)</f>
        <v>-</v>
      </c>
      <c r="CM22" s="306" t="str">
        <f>IF(AT22="-","-",VLOOKUP($A22,AMAPit!$A$10:$AY$122,CM$9,FALSE)-AT22)</f>
        <v>-</v>
      </c>
      <c r="CN22" t="e">
        <f t="shared" si="11"/>
        <v>#N/A</v>
      </c>
    </row>
    <row r="23" spans="1:92" x14ac:dyDescent="0.25">
      <c r="A23" s="305" t="s">
        <v>458</v>
      </c>
      <c r="B23" s="305" t="s">
        <v>184</v>
      </c>
      <c r="C23" s="305"/>
      <c r="D23" s="305" t="s">
        <v>81</v>
      </c>
      <c r="E23" t="s">
        <v>87</v>
      </c>
      <c r="F23" t="s">
        <v>932</v>
      </c>
      <c r="G23" s="305" t="s">
        <v>933</v>
      </c>
      <c r="H23" t="s">
        <v>783</v>
      </c>
      <c r="I23" t="s">
        <v>185</v>
      </c>
      <c r="J23">
        <v>37</v>
      </c>
      <c r="K23" t="s">
        <v>83</v>
      </c>
      <c r="L23" s="210" t="s">
        <v>82</v>
      </c>
      <c r="M23" t="s">
        <v>773</v>
      </c>
      <c r="N23" t="s">
        <v>773</v>
      </c>
      <c r="O23" t="s">
        <v>200</v>
      </c>
      <c r="P23" s="210" t="s">
        <v>200</v>
      </c>
      <c r="Q23">
        <v>6</v>
      </c>
      <c r="R23">
        <v>4</v>
      </c>
      <c r="S23" s="210">
        <v>4</v>
      </c>
      <c r="T23">
        <v>6</v>
      </c>
      <c r="U23">
        <v>4</v>
      </c>
      <c r="V23" s="210">
        <v>4</v>
      </c>
      <c r="W23" t="s">
        <v>32</v>
      </c>
      <c r="X23" t="s">
        <v>32</v>
      </c>
      <c r="Y23">
        <v>5</v>
      </c>
      <c r="Z23">
        <v>5</v>
      </c>
      <c r="AA23">
        <v>6</v>
      </c>
      <c r="AB23">
        <v>6</v>
      </c>
      <c r="AC23" t="s">
        <v>32</v>
      </c>
      <c r="AD23" t="s">
        <v>32</v>
      </c>
      <c r="AE23" t="s">
        <v>32</v>
      </c>
      <c r="AF23" t="s">
        <v>32</v>
      </c>
      <c r="AG23">
        <v>7</v>
      </c>
      <c r="AH23">
        <v>7</v>
      </c>
      <c r="AI23">
        <v>6</v>
      </c>
      <c r="AJ23">
        <v>6</v>
      </c>
      <c r="AK23">
        <v>5</v>
      </c>
      <c r="AL23">
        <v>5</v>
      </c>
      <c r="AM23">
        <v>2</v>
      </c>
      <c r="AN23">
        <v>2</v>
      </c>
      <c r="AO23" t="s">
        <v>32</v>
      </c>
      <c r="AP23" t="s">
        <v>32</v>
      </c>
      <c r="AQ23" t="s">
        <v>32</v>
      </c>
      <c r="AR23" t="s">
        <v>32</v>
      </c>
      <c r="AS23" t="s">
        <v>32</v>
      </c>
      <c r="AT23" s="210" t="s">
        <v>32</v>
      </c>
      <c r="AU23" t="s">
        <v>2</v>
      </c>
      <c r="AV23">
        <v>4</v>
      </c>
      <c r="AW23" s="11" t="s">
        <v>393</v>
      </c>
      <c r="AX23" s="78" t="s">
        <v>32</v>
      </c>
      <c r="AY23" s="210">
        <v>1</v>
      </c>
      <c r="AZ23" s="372" t="s">
        <v>529</v>
      </c>
      <c r="BA23" s="6">
        <f t="shared" si="2"/>
        <v>5.916666666666667</v>
      </c>
      <c r="BB23" s="9" t="str">
        <f t="shared" si="3"/>
        <v>Reg</v>
      </c>
      <c r="BC23" s="9">
        <f t="shared" si="4"/>
        <v>5.916666666666667</v>
      </c>
      <c r="BD23" s="9" t="str">
        <f t="shared" si="5"/>
        <v>Reg</v>
      </c>
      <c r="BE23" s="9">
        <f t="shared" si="6"/>
        <v>5.916666666666667</v>
      </c>
      <c r="BF23" s="9" t="str">
        <f t="shared" si="7"/>
        <v>Reg</v>
      </c>
      <c r="BG23" s="77">
        <f t="shared" si="8"/>
        <v>6</v>
      </c>
      <c r="BH23" s="76">
        <f t="shared" si="9"/>
        <v>3</v>
      </c>
      <c r="BI23" t="str">
        <f t="shared" si="10"/>
        <v>Yes</v>
      </c>
      <c r="BJ23" s="306" t="e">
        <f>IF(Q23="-","-",VLOOKUP($A23,AMAPit!$A$10:$AY$122,BJ$9,FALSE)-Q23)</f>
        <v>#N/A</v>
      </c>
      <c r="BK23" s="306" t="e">
        <f>IF(R23="-","-",VLOOKUP($A23,AMAPit!$A$10:$AY$122,BK$9,FALSE)-R23)</f>
        <v>#N/A</v>
      </c>
      <c r="BL23" s="306" t="e">
        <f>IF(S23="-","-",VLOOKUP($A23,AMAPit!$A$10:$AY$122,BL$9,FALSE)-S23)</f>
        <v>#N/A</v>
      </c>
      <c r="BM23" s="306" t="e">
        <f>IF(T23="-","-",VLOOKUP($A23,AMAPit!$A$10:$AY$122,BM$9,FALSE)-T23)</f>
        <v>#N/A</v>
      </c>
      <c r="BN23" s="306" t="e">
        <f>IF(U23="-","-",VLOOKUP($A23,AMAPit!$A$10:$AY$122,BN$9,FALSE)-U23)</f>
        <v>#N/A</v>
      </c>
      <c r="BO23" s="306" t="e">
        <f>IF(V23="-","-",VLOOKUP($A23,AMAPit!$A$10:$AY$122,BO$9,FALSE)-V23)</f>
        <v>#N/A</v>
      </c>
      <c r="BP23" s="306" t="str">
        <f>IF(W23="-","-",VLOOKUP($A23,AMAPit!$A$10:$AY$122,BP$9,FALSE)-W23)</f>
        <v>-</v>
      </c>
      <c r="BQ23" s="306" t="str">
        <f>IF(X23="-","-",VLOOKUP($A23,AMAPit!$A$10:$AY$122,BQ$9,FALSE)-X23)</f>
        <v>-</v>
      </c>
      <c r="BR23" s="306" t="e">
        <f>IF(Y23="-","-",VLOOKUP($A23,AMAPit!$A$10:$AY$122,BR$9,FALSE)-Y23)</f>
        <v>#N/A</v>
      </c>
      <c r="BS23" s="306" t="e">
        <f>IF(Z23="-","-",VLOOKUP($A23,AMAPit!$A$10:$AY$122,BS$9,FALSE)-Z23)</f>
        <v>#N/A</v>
      </c>
      <c r="BT23" s="306" t="e">
        <f>IF(AA23="-","-",VLOOKUP($A23,AMAPit!$A$10:$AY$122,BT$9,FALSE)-AA23)</f>
        <v>#N/A</v>
      </c>
      <c r="BU23" s="306" t="e">
        <f>IF(AB23="-","-",VLOOKUP($A23,AMAPit!$A$10:$AY$122,BU$9,FALSE)-AB23)</f>
        <v>#N/A</v>
      </c>
      <c r="BV23" s="306" t="str">
        <f>IF(AC23="-","-",VLOOKUP($A23,AMAPit!$A$10:$AY$122,BV$9,FALSE)-AC23)</f>
        <v>-</v>
      </c>
      <c r="BW23" s="306" t="str">
        <f>IF(AD23="-","-",VLOOKUP($A23,AMAPit!$A$10:$AY$122,BW$9,FALSE)-AD23)</f>
        <v>-</v>
      </c>
      <c r="BX23" s="306" t="str">
        <f>IF(AE23="-","-",VLOOKUP($A23,AMAPit!$A$10:$AY$122,BX$9,FALSE)-AE23)</f>
        <v>-</v>
      </c>
      <c r="BY23" s="306" t="str">
        <f>IF(AF23="-","-",VLOOKUP($A23,AMAPit!$A$10:$AY$122,BY$9,FALSE)-AF23)</f>
        <v>-</v>
      </c>
      <c r="BZ23" s="306" t="e">
        <f>IF(AG23="-","-",VLOOKUP($A23,AMAPit!$A$10:$AY$122,BZ$9,FALSE)-AG23)</f>
        <v>#N/A</v>
      </c>
      <c r="CA23" s="306" t="e">
        <f>IF(AH23="-","-",VLOOKUP($A23,AMAPit!$A$10:$AY$122,CA$9,FALSE)-AH23)</f>
        <v>#N/A</v>
      </c>
      <c r="CB23" s="306" t="e">
        <f>IF(AI23="-","-",VLOOKUP($A23,AMAPit!$A$10:$AY$122,CB$9,FALSE)-AI23)</f>
        <v>#N/A</v>
      </c>
      <c r="CC23" s="306" t="e">
        <f>IF(AJ23="-","-",VLOOKUP($A23,AMAPit!$A$10:$AY$122,CC$9,FALSE)-AJ23)</f>
        <v>#N/A</v>
      </c>
      <c r="CD23" s="306" t="e">
        <f>IF(AK23="-","-",VLOOKUP($A23,AMAPit!$A$10:$AY$122,CD$9,FALSE)-AK23)</f>
        <v>#N/A</v>
      </c>
      <c r="CE23" s="306" t="e">
        <f>IF(AL23="-","-",VLOOKUP($A23,AMAPit!$A$10:$AY$122,CE$9,FALSE)-AL23)</f>
        <v>#N/A</v>
      </c>
      <c r="CF23" s="306" t="e">
        <f>IF(AM23="-","-",VLOOKUP($A23,AMAPit!$A$10:$AY$122,CF$9,FALSE)-AM23)</f>
        <v>#N/A</v>
      </c>
      <c r="CG23" s="306" t="e">
        <f>IF(AN23="-","-",VLOOKUP($A23,AMAPit!$A$10:$AY$122,CG$9,FALSE)-AN23)</f>
        <v>#N/A</v>
      </c>
      <c r="CH23" s="306" t="str">
        <f>IF(AO23="-","-",VLOOKUP($A23,AMAPit!$A$10:$AY$122,CH$9,FALSE)-AO23)</f>
        <v>-</v>
      </c>
      <c r="CI23" s="306" t="str">
        <f>IF(AP23="-","-",VLOOKUP($A23,AMAPit!$A$10:$AY$122,CI$9,FALSE)-AP23)</f>
        <v>-</v>
      </c>
      <c r="CJ23" s="306" t="str">
        <f>IF(AQ23="-","-",VLOOKUP($A23,AMAPit!$A$10:$AY$122,CJ$9,FALSE)-AQ23)</f>
        <v>-</v>
      </c>
      <c r="CK23" s="306" t="str">
        <f>IF(AR23="-","-",VLOOKUP($A23,AMAPit!$A$10:$AY$122,CK$9,FALSE)-AR23)</f>
        <v>-</v>
      </c>
      <c r="CL23" s="306" t="str">
        <f>IF(AS23="-","-",VLOOKUP($A23,AMAPit!$A$10:$AY$122,CL$9,FALSE)-AS23)</f>
        <v>-</v>
      </c>
      <c r="CM23" s="306" t="str">
        <f>IF(AT23="-","-",VLOOKUP($A23,AMAPit!$A$10:$AY$122,CM$9,FALSE)-AT23)</f>
        <v>-</v>
      </c>
      <c r="CN23" t="e">
        <f t="shared" si="11"/>
        <v>#N/A</v>
      </c>
    </row>
    <row r="24" spans="1:92" x14ac:dyDescent="0.25">
      <c r="A24" s="305" t="s">
        <v>548</v>
      </c>
      <c r="B24" s="305" t="s">
        <v>534</v>
      </c>
      <c r="C24" s="305"/>
      <c r="D24" s="305" t="s">
        <v>81</v>
      </c>
      <c r="E24" t="s">
        <v>11</v>
      </c>
      <c r="F24" t="s">
        <v>1142</v>
      </c>
      <c r="G24" s="305" t="s">
        <v>1143</v>
      </c>
      <c r="H24" t="s">
        <v>763</v>
      </c>
      <c r="I24" t="s">
        <v>402</v>
      </c>
      <c r="J24">
        <v>22</v>
      </c>
      <c r="K24" t="s">
        <v>82</v>
      </c>
      <c r="L24" s="210" t="s">
        <v>83</v>
      </c>
      <c r="M24" t="s">
        <v>764</v>
      </c>
      <c r="N24" t="s">
        <v>865</v>
      </c>
      <c r="O24" t="s">
        <v>199</v>
      </c>
      <c r="P24" s="210" t="s">
        <v>200</v>
      </c>
      <c r="Q24">
        <v>6</v>
      </c>
      <c r="R24">
        <v>5</v>
      </c>
      <c r="S24" s="210">
        <v>5</v>
      </c>
      <c r="T24">
        <v>7</v>
      </c>
      <c r="U24">
        <v>5</v>
      </c>
      <c r="V24" s="210">
        <v>7</v>
      </c>
      <c r="W24">
        <v>8</v>
      </c>
      <c r="X24">
        <v>9</v>
      </c>
      <c r="Y24">
        <v>1</v>
      </c>
      <c r="Z24">
        <v>2</v>
      </c>
      <c r="AA24" t="s">
        <v>32</v>
      </c>
      <c r="AB24" t="s">
        <v>32</v>
      </c>
      <c r="AC24">
        <v>6</v>
      </c>
      <c r="AD24">
        <v>8</v>
      </c>
      <c r="AE24" t="s">
        <v>32</v>
      </c>
      <c r="AF24" t="s">
        <v>32</v>
      </c>
      <c r="AG24" t="s">
        <v>32</v>
      </c>
      <c r="AH24" t="s">
        <v>32</v>
      </c>
      <c r="AI24" t="s">
        <v>32</v>
      </c>
      <c r="AJ24" t="s">
        <v>32</v>
      </c>
      <c r="AK24" t="s">
        <v>32</v>
      </c>
      <c r="AL24" t="s">
        <v>32</v>
      </c>
      <c r="AM24" t="s">
        <v>32</v>
      </c>
      <c r="AN24" t="s">
        <v>32</v>
      </c>
      <c r="AO24" t="s">
        <v>32</v>
      </c>
      <c r="AP24" t="s">
        <v>32</v>
      </c>
      <c r="AQ24" t="s">
        <v>32</v>
      </c>
      <c r="AR24" t="s">
        <v>32</v>
      </c>
      <c r="AS24" t="s">
        <v>32</v>
      </c>
      <c r="AT24" s="210" t="s">
        <v>32</v>
      </c>
      <c r="AU24" t="s">
        <v>209</v>
      </c>
      <c r="AV24">
        <v>6</v>
      </c>
      <c r="AW24" s="11" t="s">
        <v>393</v>
      </c>
      <c r="AX24" s="78" t="s">
        <v>32</v>
      </c>
      <c r="AY24" s="210" t="s">
        <v>33</v>
      </c>
      <c r="AZ24" s="372" t="s">
        <v>199</v>
      </c>
      <c r="BA24" s="6">
        <f t="shared" si="2"/>
        <v>5.833333333333333</v>
      </c>
      <c r="BB24" s="9" t="str">
        <f t="shared" si="3"/>
        <v>Reg</v>
      </c>
      <c r="BC24" s="9">
        <f t="shared" si="4"/>
        <v>6.833333333333333</v>
      </c>
      <c r="BD24" s="9" t="str">
        <f t="shared" si="5"/>
        <v>GoodReg</v>
      </c>
      <c r="BE24" s="9">
        <f t="shared" si="6"/>
        <v>6.833333333333333</v>
      </c>
      <c r="BF24" s="9" t="str">
        <f t="shared" si="7"/>
        <v>GoodReg</v>
      </c>
      <c r="BG24" s="77">
        <f t="shared" si="8"/>
        <v>3</v>
      </c>
      <c r="BH24" s="76">
        <f t="shared" si="9"/>
        <v>2</v>
      </c>
      <c r="BI24" t="str">
        <f t="shared" si="10"/>
        <v/>
      </c>
      <c r="BJ24" s="306" t="e">
        <f>IF(Q24="-","-",VLOOKUP($A24,AMAPit!$A$10:$AY$122,BJ$9,FALSE)-Q24)</f>
        <v>#N/A</v>
      </c>
      <c r="BK24" s="306" t="e">
        <f>IF(R24="-","-",VLOOKUP($A24,AMAPit!$A$10:$AY$122,BK$9,FALSE)-R24)</f>
        <v>#N/A</v>
      </c>
      <c r="BL24" s="306" t="e">
        <f>IF(S24="-","-",VLOOKUP($A24,AMAPit!$A$10:$AY$122,BL$9,FALSE)-S24)</f>
        <v>#N/A</v>
      </c>
      <c r="BM24" s="306" t="e">
        <f>IF(T24="-","-",VLOOKUP($A24,AMAPit!$A$10:$AY$122,BM$9,FALSE)-T24)</f>
        <v>#N/A</v>
      </c>
      <c r="BN24" s="306" t="e">
        <f>IF(U24="-","-",VLOOKUP($A24,AMAPit!$A$10:$AY$122,BN$9,FALSE)-U24)</f>
        <v>#N/A</v>
      </c>
      <c r="BO24" s="306" t="e">
        <f>IF(V24="-","-",VLOOKUP($A24,AMAPit!$A$10:$AY$122,BO$9,FALSE)-V24)</f>
        <v>#N/A</v>
      </c>
      <c r="BP24" s="306" t="e">
        <f>IF(W24="-","-",VLOOKUP($A24,AMAPit!$A$10:$AY$122,BP$9,FALSE)-W24)</f>
        <v>#N/A</v>
      </c>
      <c r="BQ24" s="306" t="e">
        <f>IF(X24="-","-",VLOOKUP($A24,AMAPit!$A$10:$AY$122,BQ$9,FALSE)-X24)</f>
        <v>#N/A</v>
      </c>
      <c r="BR24" s="306" t="e">
        <f>IF(Y24="-","-",VLOOKUP($A24,AMAPit!$A$10:$AY$122,BR$9,FALSE)-Y24)</f>
        <v>#N/A</v>
      </c>
      <c r="BS24" s="306" t="e">
        <f>IF(Z24="-","-",VLOOKUP($A24,AMAPit!$A$10:$AY$122,BS$9,FALSE)-Z24)</f>
        <v>#N/A</v>
      </c>
      <c r="BT24" s="306" t="str">
        <f>IF(AA24="-","-",VLOOKUP($A24,AMAPit!$A$10:$AY$122,BT$9,FALSE)-AA24)</f>
        <v>-</v>
      </c>
      <c r="BU24" s="306" t="str">
        <f>IF(AB24="-","-",VLOOKUP($A24,AMAPit!$A$10:$AY$122,BU$9,FALSE)-AB24)</f>
        <v>-</v>
      </c>
      <c r="BV24" s="306" t="e">
        <f>IF(AC24="-","-",VLOOKUP($A24,AMAPit!$A$10:$AY$122,BV$9,FALSE)-AC24)</f>
        <v>#N/A</v>
      </c>
      <c r="BW24" s="306" t="e">
        <f>IF(AD24="-","-",VLOOKUP($A24,AMAPit!$A$10:$AY$122,BW$9,FALSE)-AD24)</f>
        <v>#N/A</v>
      </c>
      <c r="BX24" s="306" t="str">
        <f>IF(AE24="-","-",VLOOKUP($A24,AMAPit!$A$10:$AY$122,BX$9,FALSE)-AE24)</f>
        <v>-</v>
      </c>
      <c r="BY24" s="306" t="str">
        <f>IF(AF24="-","-",VLOOKUP($A24,AMAPit!$A$10:$AY$122,BY$9,FALSE)-AF24)</f>
        <v>-</v>
      </c>
      <c r="BZ24" s="306" t="str">
        <f>IF(AG24="-","-",VLOOKUP($A24,AMAPit!$A$10:$AY$122,BZ$9,FALSE)-AG24)</f>
        <v>-</v>
      </c>
      <c r="CA24" s="306" t="str">
        <f>IF(AH24="-","-",VLOOKUP($A24,AMAPit!$A$10:$AY$122,CA$9,FALSE)-AH24)</f>
        <v>-</v>
      </c>
      <c r="CB24" s="306" t="str">
        <f>IF(AI24="-","-",VLOOKUP($A24,AMAPit!$A$10:$AY$122,CB$9,FALSE)-AI24)</f>
        <v>-</v>
      </c>
      <c r="CC24" s="306" t="str">
        <f>IF(AJ24="-","-",VLOOKUP($A24,AMAPit!$A$10:$AY$122,CC$9,FALSE)-AJ24)</f>
        <v>-</v>
      </c>
      <c r="CD24" s="306" t="str">
        <f>IF(AK24="-","-",VLOOKUP($A24,AMAPit!$A$10:$AY$122,CD$9,FALSE)-AK24)</f>
        <v>-</v>
      </c>
      <c r="CE24" s="306" t="str">
        <f>IF(AL24="-","-",VLOOKUP($A24,AMAPit!$A$10:$AY$122,CE$9,FALSE)-AL24)</f>
        <v>-</v>
      </c>
      <c r="CF24" s="306" t="str">
        <f>IF(AM24="-","-",VLOOKUP($A24,AMAPit!$A$10:$AY$122,CF$9,FALSE)-AM24)</f>
        <v>-</v>
      </c>
      <c r="CG24" s="306" t="str">
        <f>IF(AN24="-","-",VLOOKUP($A24,AMAPit!$A$10:$AY$122,CG$9,FALSE)-AN24)</f>
        <v>-</v>
      </c>
      <c r="CH24" s="306" t="str">
        <f>IF(AO24="-","-",VLOOKUP($A24,AMAPit!$A$10:$AY$122,CH$9,FALSE)-AO24)</f>
        <v>-</v>
      </c>
      <c r="CI24" s="306" t="str">
        <f>IF(AP24="-","-",VLOOKUP($A24,AMAPit!$A$10:$AY$122,CI$9,FALSE)-AP24)</f>
        <v>-</v>
      </c>
      <c r="CJ24" s="306" t="str">
        <f>IF(AQ24="-","-",VLOOKUP($A24,AMAPit!$A$10:$AY$122,CJ$9,FALSE)-AQ24)</f>
        <v>-</v>
      </c>
      <c r="CK24" s="306" t="str">
        <f>IF(AR24="-","-",VLOOKUP($A24,AMAPit!$A$10:$AY$122,CK$9,FALSE)-AR24)</f>
        <v>-</v>
      </c>
      <c r="CL24" s="306" t="str">
        <f>IF(AS24="-","-",VLOOKUP($A24,AMAPit!$A$10:$AY$122,CL$9,FALSE)-AS24)</f>
        <v>-</v>
      </c>
      <c r="CM24" s="306" t="str">
        <f>IF(AT24="-","-",VLOOKUP($A24,AMAPit!$A$10:$AY$122,CM$9,FALSE)-AT24)</f>
        <v>-</v>
      </c>
      <c r="CN24" t="e">
        <f t="shared" si="11"/>
        <v>#N/A</v>
      </c>
    </row>
    <row r="25" spans="1:92" x14ac:dyDescent="0.25">
      <c r="A25" s="305" t="s">
        <v>549</v>
      </c>
      <c r="B25" s="305" t="s">
        <v>534</v>
      </c>
      <c r="C25" s="305"/>
      <c r="D25" s="305" t="s">
        <v>81</v>
      </c>
      <c r="E25" t="s">
        <v>87</v>
      </c>
      <c r="F25" t="s">
        <v>404</v>
      </c>
      <c r="G25" s="305" t="s">
        <v>1211</v>
      </c>
      <c r="H25" t="s">
        <v>814</v>
      </c>
      <c r="I25" t="s">
        <v>187</v>
      </c>
      <c r="J25">
        <v>22</v>
      </c>
      <c r="K25" t="s">
        <v>83</v>
      </c>
      <c r="L25" s="210" t="s">
        <v>83</v>
      </c>
      <c r="M25" t="s">
        <v>773</v>
      </c>
      <c r="N25" t="s">
        <v>768</v>
      </c>
      <c r="O25" t="s">
        <v>200</v>
      </c>
      <c r="P25" s="210" t="s">
        <v>200</v>
      </c>
      <c r="Q25">
        <v>5</v>
      </c>
      <c r="R25">
        <v>6</v>
      </c>
      <c r="S25" s="210">
        <v>5</v>
      </c>
      <c r="T25">
        <v>6</v>
      </c>
      <c r="U25">
        <v>6</v>
      </c>
      <c r="V25" s="210">
        <v>7</v>
      </c>
      <c r="W25">
        <v>8</v>
      </c>
      <c r="X25">
        <v>8</v>
      </c>
      <c r="Y25">
        <v>9</v>
      </c>
      <c r="Z25">
        <v>9</v>
      </c>
      <c r="AA25" t="s">
        <v>32</v>
      </c>
      <c r="AB25" t="s">
        <v>32</v>
      </c>
      <c r="AC25">
        <v>3</v>
      </c>
      <c r="AD25">
        <v>7</v>
      </c>
      <c r="AE25" t="s">
        <v>32</v>
      </c>
      <c r="AF25" t="s">
        <v>32</v>
      </c>
      <c r="AG25" t="s">
        <v>32</v>
      </c>
      <c r="AH25" t="s">
        <v>32</v>
      </c>
      <c r="AI25" t="s">
        <v>32</v>
      </c>
      <c r="AJ25" t="s">
        <v>32</v>
      </c>
      <c r="AK25" t="s">
        <v>32</v>
      </c>
      <c r="AL25" t="s">
        <v>32</v>
      </c>
      <c r="AM25" t="s">
        <v>32</v>
      </c>
      <c r="AN25" t="s">
        <v>32</v>
      </c>
      <c r="AO25" t="s">
        <v>32</v>
      </c>
      <c r="AP25" t="s">
        <v>32</v>
      </c>
      <c r="AQ25" t="s">
        <v>32</v>
      </c>
      <c r="AR25" t="s">
        <v>32</v>
      </c>
      <c r="AS25" t="s">
        <v>32</v>
      </c>
      <c r="AT25" s="210" t="s">
        <v>32</v>
      </c>
      <c r="AU25" t="s">
        <v>6</v>
      </c>
      <c r="AV25">
        <v>6</v>
      </c>
      <c r="AW25" s="11" t="s">
        <v>393</v>
      </c>
      <c r="AX25" s="78" t="s">
        <v>32</v>
      </c>
      <c r="AY25" s="210" t="s">
        <v>33</v>
      </c>
      <c r="AZ25" s="372" t="s">
        <v>199</v>
      </c>
      <c r="BA25" s="6">
        <f t="shared" si="2"/>
        <v>5.833333333333333</v>
      </c>
      <c r="BB25" s="9" t="str">
        <f t="shared" si="3"/>
        <v>Reg</v>
      </c>
      <c r="BC25" s="9">
        <f t="shared" si="4"/>
        <v>6.833333333333333</v>
      </c>
      <c r="BD25" s="9" t="str">
        <f t="shared" si="5"/>
        <v>GoodReg</v>
      </c>
      <c r="BE25" s="9">
        <f t="shared" si="6"/>
        <v>6.833333333333333</v>
      </c>
      <c r="BF25" s="9" t="str">
        <f t="shared" si="7"/>
        <v>GoodReg</v>
      </c>
      <c r="BG25" s="77">
        <f t="shared" si="8"/>
        <v>3</v>
      </c>
      <c r="BH25" s="76">
        <f t="shared" si="9"/>
        <v>2.5</v>
      </c>
      <c r="BI25" t="str">
        <f t="shared" si="10"/>
        <v/>
      </c>
      <c r="BJ25" s="306" t="e">
        <f>IF(Q25="-","-",VLOOKUP($A25,AMAPit!$A$10:$AY$122,BJ$9,FALSE)-Q25)</f>
        <v>#N/A</v>
      </c>
      <c r="BK25" s="306" t="e">
        <f>IF(R25="-","-",VLOOKUP($A25,AMAPit!$A$10:$AY$122,BK$9,FALSE)-R25)</f>
        <v>#N/A</v>
      </c>
      <c r="BL25" s="306" t="e">
        <f>IF(S25="-","-",VLOOKUP($A25,AMAPit!$A$10:$AY$122,BL$9,FALSE)-S25)</f>
        <v>#N/A</v>
      </c>
      <c r="BM25" s="306" t="e">
        <f>IF(T25="-","-",VLOOKUP($A25,AMAPit!$A$10:$AY$122,BM$9,FALSE)-T25)</f>
        <v>#N/A</v>
      </c>
      <c r="BN25" s="306" t="e">
        <f>IF(U25="-","-",VLOOKUP($A25,AMAPit!$A$10:$AY$122,BN$9,FALSE)-U25)</f>
        <v>#N/A</v>
      </c>
      <c r="BO25" s="306" t="e">
        <f>IF(V25="-","-",VLOOKUP($A25,AMAPit!$A$10:$AY$122,BO$9,FALSE)-V25)</f>
        <v>#N/A</v>
      </c>
      <c r="BP25" s="306" t="e">
        <f>IF(W25="-","-",VLOOKUP($A25,AMAPit!$A$10:$AY$122,BP$9,FALSE)-W25)</f>
        <v>#N/A</v>
      </c>
      <c r="BQ25" s="306" t="e">
        <f>IF(X25="-","-",VLOOKUP($A25,AMAPit!$A$10:$AY$122,BQ$9,FALSE)-X25)</f>
        <v>#N/A</v>
      </c>
      <c r="BR25" s="306" t="e">
        <f>IF(Y25="-","-",VLOOKUP($A25,AMAPit!$A$10:$AY$122,BR$9,FALSE)-Y25)</f>
        <v>#N/A</v>
      </c>
      <c r="BS25" s="306" t="e">
        <f>IF(Z25="-","-",VLOOKUP($A25,AMAPit!$A$10:$AY$122,BS$9,FALSE)-Z25)</f>
        <v>#N/A</v>
      </c>
      <c r="BT25" s="306" t="str">
        <f>IF(AA25="-","-",VLOOKUP($A25,AMAPit!$A$10:$AY$122,BT$9,FALSE)-AA25)</f>
        <v>-</v>
      </c>
      <c r="BU25" s="306" t="str">
        <f>IF(AB25="-","-",VLOOKUP($A25,AMAPit!$A$10:$AY$122,BU$9,FALSE)-AB25)</f>
        <v>-</v>
      </c>
      <c r="BV25" s="306" t="e">
        <f>IF(AC25="-","-",VLOOKUP($A25,AMAPit!$A$10:$AY$122,BV$9,FALSE)-AC25)</f>
        <v>#N/A</v>
      </c>
      <c r="BW25" s="306" t="e">
        <f>IF(AD25="-","-",VLOOKUP($A25,AMAPit!$A$10:$AY$122,BW$9,FALSE)-AD25)</f>
        <v>#N/A</v>
      </c>
      <c r="BX25" s="306" t="str">
        <f>IF(AE25="-","-",VLOOKUP($A25,AMAPit!$A$10:$AY$122,BX$9,FALSE)-AE25)</f>
        <v>-</v>
      </c>
      <c r="BY25" s="306" t="str">
        <f>IF(AF25="-","-",VLOOKUP($A25,AMAPit!$A$10:$AY$122,BY$9,FALSE)-AF25)</f>
        <v>-</v>
      </c>
      <c r="BZ25" s="306" t="str">
        <f>IF(AG25="-","-",VLOOKUP($A25,AMAPit!$A$10:$AY$122,BZ$9,FALSE)-AG25)</f>
        <v>-</v>
      </c>
      <c r="CA25" s="306" t="str">
        <f>IF(AH25="-","-",VLOOKUP($A25,AMAPit!$A$10:$AY$122,CA$9,FALSE)-AH25)</f>
        <v>-</v>
      </c>
      <c r="CB25" s="306" t="str">
        <f>IF(AI25="-","-",VLOOKUP($A25,AMAPit!$A$10:$AY$122,CB$9,FALSE)-AI25)</f>
        <v>-</v>
      </c>
      <c r="CC25" s="306" t="str">
        <f>IF(AJ25="-","-",VLOOKUP($A25,AMAPit!$A$10:$AY$122,CC$9,FALSE)-AJ25)</f>
        <v>-</v>
      </c>
      <c r="CD25" s="306" t="str">
        <f>IF(AK25="-","-",VLOOKUP($A25,AMAPit!$A$10:$AY$122,CD$9,FALSE)-AK25)</f>
        <v>-</v>
      </c>
      <c r="CE25" s="306" t="str">
        <f>IF(AL25="-","-",VLOOKUP($A25,AMAPit!$A$10:$AY$122,CE$9,FALSE)-AL25)</f>
        <v>-</v>
      </c>
      <c r="CF25" s="306" t="str">
        <f>IF(AM25="-","-",VLOOKUP($A25,AMAPit!$A$10:$AY$122,CF$9,FALSE)-AM25)</f>
        <v>-</v>
      </c>
      <c r="CG25" s="306" t="str">
        <f>IF(AN25="-","-",VLOOKUP($A25,AMAPit!$A$10:$AY$122,CG$9,FALSE)-AN25)</f>
        <v>-</v>
      </c>
      <c r="CH25" s="306" t="str">
        <f>IF(AO25="-","-",VLOOKUP($A25,AMAPit!$A$10:$AY$122,CH$9,FALSE)-AO25)</f>
        <v>-</v>
      </c>
      <c r="CI25" s="306" t="str">
        <f>IF(AP25="-","-",VLOOKUP($A25,AMAPit!$A$10:$AY$122,CI$9,FALSE)-AP25)</f>
        <v>-</v>
      </c>
      <c r="CJ25" s="306" t="str">
        <f>IF(AQ25="-","-",VLOOKUP($A25,AMAPit!$A$10:$AY$122,CJ$9,FALSE)-AQ25)</f>
        <v>-</v>
      </c>
      <c r="CK25" s="306" t="str">
        <f>IF(AR25="-","-",VLOOKUP($A25,AMAPit!$A$10:$AY$122,CK$9,FALSE)-AR25)</f>
        <v>-</v>
      </c>
      <c r="CL25" s="306" t="str">
        <f>IF(AS25="-","-",VLOOKUP($A25,AMAPit!$A$10:$AY$122,CL$9,FALSE)-AS25)</f>
        <v>-</v>
      </c>
      <c r="CM25" s="306" t="str">
        <f>IF(AT25="-","-",VLOOKUP($A25,AMAPit!$A$10:$AY$122,CM$9,FALSE)-AT25)</f>
        <v>-</v>
      </c>
      <c r="CN25" t="e">
        <f t="shared" si="11"/>
        <v>#N/A</v>
      </c>
    </row>
    <row r="26" spans="1:92" x14ac:dyDescent="0.25">
      <c r="A26" s="305" t="s">
        <v>550</v>
      </c>
      <c r="B26" s="305" t="s">
        <v>534</v>
      </c>
      <c r="C26" s="305"/>
      <c r="D26" s="305" t="s">
        <v>81</v>
      </c>
      <c r="E26" t="s">
        <v>11</v>
      </c>
      <c r="F26" t="s">
        <v>400</v>
      </c>
      <c r="G26" s="305" t="s">
        <v>1212</v>
      </c>
      <c r="H26" t="s">
        <v>763</v>
      </c>
      <c r="I26" t="s">
        <v>402</v>
      </c>
      <c r="J26">
        <v>28</v>
      </c>
      <c r="K26" t="s">
        <v>83</v>
      </c>
      <c r="L26" s="210" t="s">
        <v>82</v>
      </c>
      <c r="M26" t="s">
        <v>773</v>
      </c>
      <c r="N26" t="s">
        <v>773</v>
      </c>
      <c r="O26" t="s">
        <v>200</v>
      </c>
      <c r="P26" s="210" t="s">
        <v>200</v>
      </c>
      <c r="Q26">
        <v>5</v>
      </c>
      <c r="R26">
        <v>3</v>
      </c>
      <c r="S26" s="210">
        <v>8</v>
      </c>
      <c r="T26">
        <v>5</v>
      </c>
      <c r="U26">
        <v>4</v>
      </c>
      <c r="V26" s="210">
        <v>8</v>
      </c>
      <c r="W26">
        <v>7</v>
      </c>
      <c r="X26">
        <v>7</v>
      </c>
      <c r="Y26">
        <v>1</v>
      </c>
      <c r="Z26">
        <v>1</v>
      </c>
      <c r="AA26" t="s">
        <v>32</v>
      </c>
      <c r="AB26" t="s">
        <v>32</v>
      </c>
      <c r="AC26">
        <v>6</v>
      </c>
      <c r="AD26">
        <v>7</v>
      </c>
      <c r="AE26" t="s">
        <v>32</v>
      </c>
      <c r="AF26" t="s">
        <v>32</v>
      </c>
      <c r="AG26" t="s">
        <v>32</v>
      </c>
      <c r="AH26" t="s">
        <v>32</v>
      </c>
      <c r="AI26" t="s">
        <v>32</v>
      </c>
      <c r="AJ26" t="s">
        <v>32</v>
      </c>
      <c r="AK26" t="s">
        <v>32</v>
      </c>
      <c r="AL26" t="s">
        <v>32</v>
      </c>
      <c r="AM26" t="s">
        <v>32</v>
      </c>
      <c r="AN26" t="s">
        <v>32</v>
      </c>
      <c r="AO26" t="s">
        <v>32</v>
      </c>
      <c r="AP26" t="s">
        <v>32</v>
      </c>
      <c r="AQ26" t="s">
        <v>32</v>
      </c>
      <c r="AR26" t="s">
        <v>32</v>
      </c>
      <c r="AS26" t="s">
        <v>32</v>
      </c>
      <c r="AT26" s="210" t="s">
        <v>32</v>
      </c>
      <c r="AU26" t="s">
        <v>2</v>
      </c>
      <c r="AV26">
        <v>6</v>
      </c>
      <c r="AW26" s="11" t="s">
        <v>394</v>
      </c>
      <c r="AX26" s="78" t="s">
        <v>32</v>
      </c>
      <c r="AY26" s="210" t="s">
        <v>33</v>
      </c>
      <c r="AZ26" s="372" t="s">
        <v>529</v>
      </c>
      <c r="BA26" s="6">
        <f t="shared" si="2"/>
        <v>5.833333333333333</v>
      </c>
      <c r="BB26" s="9" t="str">
        <f t="shared" si="3"/>
        <v>Reg</v>
      </c>
      <c r="BC26" s="9">
        <f t="shared" si="4"/>
        <v>6.166666666666667</v>
      </c>
      <c r="BD26" s="9" t="str">
        <f t="shared" si="5"/>
        <v>Reg</v>
      </c>
      <c r="BE26" s="9">
        <f t="shared" si="6"/>
        <v>6.166666666666667</v>
      </c>
      <c r="BF26" s="9" t="str">
        <f t="shared" si="7"/>
        <v>Reg</v>
      </c>
      <c r="BG26" s="77">
        <f t="shared" si="8"/>
        <v>3</v>
      </c>
      <c r="BH26" s="76">
        <f t="shared" si="9"/>
        <v>2</v>
      </c>
      <c r="BI26" t="str">
        <f t="shared" si="10"/>
        <v/>
      </c>
      <c r="BJ26" s="306">
        <f>IF(Q26="-","-",VLOOKUP($A26,AMAPit!$A$10:$AY$122,BJ$9,FALSE)-Q26)</f>
        <v>-1</v>
      </c>
      <c r="BK26" s="306">
        <f>IF(R26="-","-",VLOOKUP($A26,AMAPit!$A$10:$AY$122,BK$9,FALSE)-R26)</f>
        <v>0</v>
      </c>
      <c r="BL26" s="306">
        <f>IF(S26="-","-",VLOOKUP($A26,AMAPit!$A$10:$AY$122,BL$9,FALSE)-S26)</f>
        <v>1</v>
      </c>
      <c r="BM26" s="306">
        <f>IF(T26="-","-",VLOOKUP($A26,AMAPit!$A$10:$AY$122,BM$9,FALSE)-T26)</f>
        <v>-1</v>
      </c>
      <c r="BN26" s="306">
        <f>IF(U26="-","-",VLOOKUP($A26,AMAPit!$A$10:$AY$122,BN$9,FALSE)-U26)</f>
        <v>-1</v>
      </c>
      <c r="BO26" s="306">
        <f>IF(V26="-","-",VLOOKUP($A26,AMAPit!$A$10:$AY$122,BO$9,FALSE)-V26)</f>
        <v>1</v>
      </c>
      <c r="BP26" s="306" t="e">
        <f>IF(W26="-","-",VLOOKUP($A26,AMAPit!$A$10:$AY$122,BP$9,FALSE)-W26)</f>
        <v>#VALUE!</v>
      </c>
      <c r="BQ26" s="306" t="e">
        <f>IF(X26="-","-",VLOOKUP($A26,AMAPit!$A$10:$AY$122,BQ$9,FALSE)-X26)</f>
        <v>#VALUE!</v>
      </c>
      <c r="BR26" s="306">
        <f>IF(Y26="-","-",VLOOKUP($A26,AMAPit!$A$10:$AY$122,BR$9,FALSE)-Y26)</f>
        <v>5</v>
      </c>
      <c r="BS26" s="306">
        <f>IF(Z26="-","-",VLOOKUP($A26,AMAPit!$A$10:$AY$122,BS$9,FALSE)-Z26)</f>
        <v>5</v>
      </c>
      <c r="BT26" s="306" t="str">
        <f>IF(AA26="-","-",VLOOKUP($A26,AMAPit!$A$10:$AY$122,BT$9,FALSE)-AA26)</f>
        <v>-</v>
      </c>
      <c r="BU26" s="306" t="str">
        <f>IF(AB26="-","-",VLOOKUP($A26,AMAPit!$A$10:$AY$122,BU$9,FALSE)-AB26)</f>
        <v>-</v>
      </c>
      <c r="BV26" s="306">
        <f>IF(AC26="-","-",VLOOKUP($A26,AMAPit!$A$10:$AY$122,BV$9,FALSE)-AC26)</f>
        <v>0</v>
      </c>
      <c r="BW26" s="306">
        <f>IF(AD26="-","-",VLOOKUP($A26,AMAPit!$A$10:$AY$122,BW$9,FALSE)-AD26)</f>
        <v>-1</v>
      </c>
      <c r="BX26" s="306" t="str">
        <f>IF(AE26="-","-",VLOOKUP($A26,AMAPit!$A$10:$AY$122,BX$9,FALSE)-AE26)</f>
        <v>-</v>
      </c>
      <c r="BY26" s="306" t="str">
        <f>IF(AF26="-","-",VLOOKUP($A26,AMAPit!$A$10:$AY$122,BY$9,FALSE)-AF26)</f>
        <v>-</v>
      </c>
      <c r="BZ26" s="306" t="str">
        <f>IF(AG26="-","-",VLOOKUP($A26,AMAPit!$A$10:$AY$122,BZ$9,FALSE)-AG26)</f>
        <v>-</v>
      </c>
      <c r="CA26" s="306" t="str">
        <f>IF(AH26="-","-",VLOOKUP($A26,AMAPit!$A$10:$AY$122,CA$9,FALSE)-AH26)</f>
        <v>-</v>
      </c>
      <c r="CB26" s="306" t="str">
        <f>IF(AI26="-","-",VLOOKUP($A26,AMAPit!$A$10:$AY$122,CB$9,FALSE)-AI26)</f>
        <v>-</v>
      </c>
      <c r="CC26" s="306" t="str">
        <f>IF(AJ26="-","-",VLOOKUP($A26,AMAPit!$A$10:$AY$122,CC$9,FALSE)-AJ26)</f>
        <v>-</v>
      </c>
      <c r="CD26" s="306" t="str">
        <f>IF(AK26="-","-",VLOOKUP($A26,AMAPit!$A$10:$AY$122,CD$9,FALSE)-AK26)</f>
        <v>-</v>
      </c>
      <c r="CE26" s="306" t="str">
        <f>IF(AL26="-","-",VLOOKUP($A26,AMAPit!$A$10:$AY$122,CE$9,FALSE)-AL26)</f>
        <v>-</v>
      </c>
      <c r="CF26" s="306" t="str">
        <f>IF(AM26="-","-",VLOOKUP($A26,AMAPit!$A$10:$AY$122,CF$9,FALSE)-AM26)</f>
        <v>-</v>
      </c>
      <c r="CG26" s="306" t="str">
        <f>IF(AN26="-","-",VLOOKUP($A26,AMAPit!$A$10:$AY$122,CG$9,FALSE)-AN26)</f>
        <v>-</v>
      </c>
      <c r="CH26" s="306" t="str">
        <f>IF(AO26="-","-",VLOOKUP($A26,AMAPit!$A$10:$AY$122,CH$9,FALSE)-AO26)</f>
        <v>-</v>
      </c>
      <c r="CI26" s="306" t="str">
        <f>IF(AP26="-","-",VLOOKUP($A26,AMAPit!$A$10:$AY$122,CI$9,FALSE)-AP26)</f>
        <v>-</v>
      </c>
      <c r="CJ26" s="306" t="str">
        <f>IF(AQ26="-","-",VLOOKUP($A26,AMAPit!$A$10:$AY$122,CJ$9,FALSE)-AQ26)</f>
        <v>-</v>
      </c>
      <c r="CK26" s="306" t="str">
        <f>IF(AR26="-","-",VLOOKUP($A26,AMAPit!$A$10:$AY$122,CK$9,FALSE)-AR26)</f>
        <v>-</v>
      </c>
      <c r="CL26" s="306" t="str">
        <f>IF(AS26="-","-",VLOOKUP($A26,AMAPit!$A$10:$AY$122,CL$9,FALSE)-AS26)</f>
        <v>-</v>
      </c>
      <c r="CM26" s="306" t="str">
        <f>IF(AT26="-","-",VLOOKUP($A26,AMAPit!$A$10:$AY$122,CM$9,FALSE)-AT26)</f>
        <v>-</v>
      </c>
      <c r="CN26" t="e">
        <f t="shared" si="11"/>
        <v>#VALUE!</v>
      </c>
    </row>
    <row r="27" spans="1:92" x14ac:dyDescent="0.25">
      <c r="A27" s="305" t="s">
        <v>551</v>
      </c>
      <c r="B27" s="305" t="s">
        <v>534</v>
      </c>
      <c r="C27" s="305"/>
      <c r="D27" s="305" t="s">
        <v>72</v>
      </c>
      <c r="E27" t="s">
        <v>11</v>
      </c>
      <c r="F27" t="s">
        <v>523</v>
      </c>
      <c r="G27" s="305" t="s">
        <v>849</v>
      </c>
      <c r="H27" t="s">
        <v>763</v>
      </c>
      <c r="I27" t="s">
        <v>402</v>
      </c>
      <c r="J27">
        <v>26</v>
      </c>
      <c r="K27" t="s">
        <v>83</v>
      </c>
      <c r="L27" s="210" t="s">
        <v>83</v>
      </c>
      <c r="M27" t="s">
        <v>773</v>
      </c>
      <c r="N27" t="s">
        <v>764</v>
      </c>
      <c r="O27" t="s">
        <v>199</v>
      </c>
      <c r="P27" s="210" t="s">
        <v>200</v>
      </c>
      <c r="Q27">
        <v>5</v>
      </c>
      <c r="R27">
        <v>4</v>
      </c>
      <c r="S27" s="210">
        <v>7</v>
      </c>
      <c r="T27">
        <v>5</v>
      </c>
      <c r="U27">
        <v>5</v>
      </c>
      <c r="V27" s="210">
        <v>7</v>
      </c>
      <c r="W27">
        <v>7</v>
      </c>
      <c r="X27">
        <v>8</v>
      </c>
      <c r="Y27">
        <v>1</v>
      </c>
      <c r="Z27">
        <v>1</v>
      </c>
      <c r="AA27">
        <v>6</v>
      </c>
      <c r="AB27">
        <v>6</v>
      </c>
      <c r="AC27" t="s">
        <v>32</v>
      </c>
      <c r="AD27" t="s">
        <v>32</v>
      </c>
      <c r="AE27" t="s">
        <v>32</v>
      </c>
      <c r="AF27" t="s">
        <v>32</v>
      </c>
      <c r="AG27" t="s">
        <v>32</v>
      </c>
      <c r="AH27" t="s">
        <v>32</v>
      </c>
      <c r="AI27" t="s">
        <v>32</v>
      </c>
      <c r="AJ27" t="s">
        <v>32</v>
      </c>
      <c r="AK27" t="s">
        <v>32</v>
      </c>
      <c r="AL27" t="s">
        <v>32</v>
      </c>
      <c r="AM27" t="s">
        <v>32</v>
      </c>
      <c r="AN27" t="s">
        <v>32</v>
      </c>
      <c r="AO27" t="s">
        <v>32</v>
      </c>
      <c r="AP27" t="s">
        <v>32</v>
      </c>
      <c r="AQ27" t="s">
        <v>32</v>
      </c>
      <c r="AR27" t="s">
        <v>32</v>
      </c>
      <c r="AS27" t="s">
        <v>32</v>
      </c>
      <c r="AT27" s="210" t="s">
        <v>32</v>
      </c>
      <c r="AU27" t="s">
        <v>6</v>
      </c>
      <c r="AV27">
        <v>6</v>
      </c>
      <c r="AW27" s="11" t="s">
        <v>394</v>
      </c>
      <c r="AX27" s="78">
        <v>510000</v>
      </c>
      <c r="AY27" s="210" t="s">
        <v>33</v>
      </c>
      <c r="AZ27" s="372" t="s">
        <v>199</v>
      </c>
      <c r="BA27" s="6">
        <f t="shared" si="2"/>
        <v>5.833333333333333</v>
      </c>
      <c r="BB27" s="9" t="str">
        <f t="shared" si="3"/>
        <v>Reg</v>
      </c>
      <c r="BC27" s="9">
        <f t="shared" si="4"/>
        <v>6.166666666666667</v>
      </c>
      <c r="BD27" s="9" t="str">
        <f t="shared" si="5"/>
        <v>Reg</v>
      </c>
      <c r="BE27" s="9">
        <f t="shared" si="6"/>
        <v>6.166666666666667</v>
      </c>
      <c r="BF27" s="9" t="str">
        <f t="shared" si="7"/>
        <v>Reg</v>
      </c>
      <c r="BG27" s="77">
        <f t="shared" si="8"/>
        <v>3</v>
      </c>
      <c r="BH27" s="76">
        <f t="shared" si="9"/>
        <v>2</v>
      </c>
      <c r="BI27" t="str">
        <f t="shared" si="10"/>
        <v/>
      </c>
      <c r="BJ27" s="306" t="e">
        <f>IF(Q27="-","-",VLOOKUP($A27,AMAPit!$A$10:$AY$122,BJ$9,FALSE)-Q27)</f>
        <v>#N/A</v>
      </c>
      <c r="BK27" s="306" t="e">
        <f>IF(R27="-","-",VLOOKUP($A27,AMAPit!$A$10:$AY$122,BK$9,FALSE)-R27)</f>
        <v>#N/A</v>
      </c>
      <c r="BL27" s="306" t="e">
        <f>IF(S27="-","-",VLOOKUP($A27,AMAPit!$A$10:$AY$122,BL$9,FALSE)-S27)</f>
        <v>#N/A</v>
      </c>
      <c r="BM27" s="306" t="e">
        <f>IF(T27="-","-",VLOOKUP($A27,AMAPit!$A$10:$AY$122,BM$9,FALSE)-T27)</f>
        <v>#N/A</v>
      </c>
      <c r="BN27" s="306" t="e">
        <f>IF(U27="-","-",VLOOKUP($A27,AMAPit!$A$10:$AY$122,BN$9,FALSE)-U27)</f>
        <v>#N/A</v>
      </c>
      <c r="BO27" s="306" t="e">
        <f>IF(V27="-","-",VLOOKUP($A27,AMAPit!$A$10:$AY$122,BO$9,FALSE)-V27)</f>
        <v>#N/A</v>
      </c>
      <c r="BP27" s="306" t="e">
        <f>IF(W27="-","-",VLOOKUP($A27,AMAPit!$A$10:$AY$122,BP$9,FALSE)-W27)</f>
        <v>#N/A</v>
      </c>
      <c r="BQ27" s="306" t="e">
        <f>IF(X27="-","-",VLOOKUP($A27,AMAPit!$A$10:$AY$122,BQ$9,FALSE)-X27)</f>
        <v>#N/A</v>
      </c>
      <c r="BR27" s="306" t="e">
        <f>IF(Y27="-","-",VLOOKUP($A27,AMAPit!$A$10:$AY$122,BR$9,FALSE)-Y27)</f>
        <v>#N/A</v>
      </c>
      <c r="BS27" s="306" t="e">
        <f>IF(Z27="-","-",VLOOKUP($A27,AMAPit!$A$10:$AY$122,BS$9,FALSE)-Z27)</f>
        <v>#N/A</v>
      </c>
      <c r="BT27" s="306" t="e">
        <f>IF(AA27="-","-",VLOOKUP($A27,AMAPit!$A$10:$AY$122,BT$9,FALSE)-AA27)</f>
        <v>#N/A</v>
      </c>
      <c r="BU27" s="306" t="e">
        <f>IF(AB27="-","-",VLOOKUP($A27,AMAPit!$A$10:$AY$122,BU$9,FALSE)-AB27)</f>
        <v>#N/A</v>
      </c>
      <c r="BV27" s="306" t="str">
        <f>IF(AC27="-","-",VLOOKUP($A27,AMAPit!$A$10:$AY$122,BV$9,FALSE)-AC27)</f>
        <v>-</v>
      </c>
      <c r="BW27" s="306" t="str">
        <f>IF(AD27="-","-",VLOOKUP($A27,AMAPit!$A$10:$AY$122,BW$9,FALSE)-AD27)</f>
        <v>-</v>
      </c>
      <c r="BX27" s="306" t="str">
        <f>IF(AE27="-","-",VLOOKUP($A27,AMAPit!$A$10:$AY$122,BX$9,FALSE)-AE27)</f>
        <v>-</v>
      </c>
      <c r="BY27" s="306" t="str">
        <f>IF(AF27="-","-",VLOOKUP($A27,AMAPit!$A$10:$AY$122,BY$9,FALSE)-AF27)</f>
        <v>-</v>
      </c>
      <c r="BZ27" s="306" t="str">
        <f>IF(AG27="-","-",VLOOKUP($A27,AMAPit!$A$10:$AY$122,BZ$9,FALSE)-AG27)</f>
        <v>-</v>
      </c>
      <c r="CA27" s="306" t="str">
        <f>IF(AH27="-","-",VLOOKUP($A27,AMAPit!$A$10:$AY$122,CA$9,FALSE)-AH27)</f>
        <v>-</v>
      </c>
      <c r="CB27" s="306" t="str">
        <f>IF(AI27="-","-",VLOOKUP($A27,AMAPit!$A$10:$AY$122,CB$9,FALSE)-AI27)</f>
        <v>-</v>
      </c>
      <c r="CC27" s="306" t="str">
        <f>IF(AJ27="-","-",VLOOKUP($A27,AMAPit!$A$10:$AY$122,CC$9,FALSE)-AJ27)</f>
        <v>-</v>
      </c>
      <c r="CD27" s="306" t="str">
        <f>IF(AK27="-","-",VLOOKUP($A27,AMAPit!$A$10:$AY$122,CD$9,FALSE)-AK27)</f>
        <v>-</v>
      </c>
      <c r="CE27" s="306" t="str">
        <f>IF(AL27="-","-",VLOOKUP($A27,AMAPit!$A$10:$AY$122,CE$9,FALSE)-AL27)</f>
        <v>-</v>
      </c>
      <c r="CF27" s="306" t="str">
        <f>IF(AM27="-","-",VLOOKUP($A27,AMAPit!$A$10:$AY$122,CF$9,FALSE)-AM27)</f>
        <v>-</v>
      </c>
      <c r="CG27" s="306" t="str">
        <f>IF(AN27="-","-",VLOOKUP($A27,AMAPit!$A$10:$AY$122,CG$9,FALSE)-AN27)</f>
        <v>-</v>
      </c>
      <c r="CH27" s="306" t="str">
        <f>IF(AO27="-","-",VLOOKUP($A27,AMAPit!$A$10:$AY$122,CH$9,FALSE)-AO27)</f>
        <v>-</v>
      </c>
      <c r="CI27" s="306" t="str">
        <f>IF(AP27="-","-",VLOOKUP($A27,AMAPit!$A$10:$AY$122,CI$9,FALSE)-AP27)</f>
        <v>-</v>
      </c>
      <c r="CJ27" s="306" t="str">
        <f>IF(AQ27="-","-",VLOOKUP($A27,AMAPit!$A$10:$AY$122,CJ$9,FALSE)-AQ27)</f>
        <v>-</v>
      </c>
      <c r="CK27" s="306" t="str">
        <f>IF(AR27="-","-",VLOOKUP($A27,AMAPit!$A$10:$AY$122,CK$9,FALSE)-AR27)</f>
        <v>-</v>
      </c>
      <c r="CL27" s="306" t="str">
        <f>IF(AS27="-","-",VLOOKUP($A27,AMAPit!$A$10:$AY$122,CL$9,FALSE)-AS27)</f>
        <v>-</v>
      </c>
      <c r="CM27" s="306" t="str">
        <f>IF(AT27="-","-",VLOOKUP($A27,AMAPit!$A$10:$AY$122,CM$9,FALSE)-AT27)</f>
        <v>-</v>
      </c>
      <c r="CN27" t="e">
        <f t="shared" si="11"/>
        <v>#N/A</v>
      </c>
    </row>
    <row r="28" spans="1:92" x14ac:dyDescent="0.25">
      <c r="A28" s="305" t="s">
        <v>508</v>
      </c>
      <c r="B28" s="305" t="s">
        <v>184</v>
      </c>
      <c r="C28" s="305"/>
      <c r="D28" s="305" t="s">
        <v>81</v>
      </c>
      <c r="E28" t="s">
        <v>87</v>
      </c>
      <c r="F28" t="s">
        <v>930</v>
      </c>
      <c r="G28" s="305" t="s">
        <v>931</v>
      </c>
      <c r="H28" t="s">
        <v>783</v>
      </c>
      <c r="I28" t="s">
        <v>185</v>
      </c>
      <c r="J28">
        <v>24</v>
      </c>
      <c r="K28" t="s">
        <v>83</v>
      </c>
      <c r="L28" s="210" t="s">
        <v>83</v>
      </c>
      <c r="M28" t="s">
        <v>773</v>
      </c>
      <c r="N28" t="s">
        <v>768</v>
      </c>
      <c r="O28" t="s">
        <v>200</v>
      </c>
      <c r="P28" s="210" t="s">
        <v>200</v>
      </c>
      <c r="Q28">
        <v>7</v>
      </c>
      <c r="R28">
        <v>5</v>
      </c>
      <c r="S28" s="210">
        <v>3</v>
      </c>
      <c r="T28">
        <v>7</v>
      </c>
      <c r="U28">
        <v>6</v>
      </c>
      <c r="V28" s="210">
        <v>5</v>
      </c>
      <c r="W28">
        <v>9</v>
      </c>
      <c r="X28">
        <v>10</v>
      </c>
      <c r="Y28">
        <v>5</v>
      </c>
      <c r="Z28">
        <v>6</v>
      </c>
      <c r="AA28" t="s">
        <v>32</v>
      </c>
      <c r="AB28" t="s">
        <v>32</v>
      </c>
      <c r="AC28" t="s">
        <v>32</v>
      </c>
      <c r="AD28" t="s">
        <v>32</v>
      </c>
      <c r="AE28">
        <v>7</v>
      </c>
      <c r="AF28">
        <v>8</v>
      </c>
      <c r="AG28" t="s">
        <v>32</v>
      </c>
      <c r="AH28" t="s">
        <v>32</v>
      </c>
      <c r="AI28" t="s">
        <v>32</v>
      </c>
      <c r="AJ28" t="s">
        <v>32</v>
      </c>
      <c r="AK28" t="s">
        <v>32</v>
      </c>
      <c r="AL28" t="s">
        <v>32</v>
      </c>
      <c r="AM28" t="s">
        <v>32</v>
      </c>
      <c r="AN28" t="s">
        <v>32</v>
      </c>
      <c r="AO28" t="s">
        <v>32</v>
      </c>
      <c r="AP28" t="s">
        <v>32</v>
      </c>
      <c r="AQ28" t="s">
        <v>32</v>
      </c>
      <c r="AR28" t="s">
        <v>32</v>
      </c>
      <c r="AS28" t="s">
        <v>32</v>
      </c>
      <c r="AT28" s="210" t="s">
        <v>32</v>
      </c>
      <c r="AU28" t="s">
        <v>4</v>
      </c>
      <c r="AV28">
        <v>7</v>
      </c>
      <c r="AW28" s="235" t="s">
        <v>393</v>
      </c>
      <c r="AX28" t="s">
        <v>32</v>
      </c>
      <c r="AY28" s="8">
        <v>0</v>
      </c>
      <c r="AZ28" s="9" t="s">
        <v>529</v>
      </c>
      <c r="BA28" s="6">
        <f t="shared" si="2"/>
        <v>5.5</v>
      </c>
      <c r="BB28" s="9" t="str">
        <f t="shared" si="3"/>
        <v>Reg</v>
      </c>
      <c r="BC28" s="9">
        <f t="shared" si="4"/>
        <v>6.5</v>
      </c>
      <c r="BD28" s="9" t="str">
        <f t="shared" si="5"/>
        <v>Reg</v>
      </c>
      <c r="BE28" s="9">
        <f t="shared" si="6"/>
        <v>6.5</v>
      </c>
      <c r="BF28" s="9" t="str">
        <f t="shared" si="7"/>
        <v>Reg</v>
      </c>
      <c r="BG28" s="77">
        <f t="shared" si="8"/>
        <v>3</v>
      </c>
      <c r="BH28" s="76">
        <f t="shared" si="9"/>
        <v>2.5</v>
      </c>
      <c r="BI28" t="str">
        <f t="shared" si="10"/>
        <v/>
      </c>
      <c r="BJ28" s="306" t="e">
        <f>IF(Q28="-","-",VLOOKUP($A28,AMAPit!$A$10:$AY$122,BJ$9,FALSE)-Q28)</f>
        <v>#N/A</v>
      </c>
      <c r="BK28" s="306" t="e">
        <f>IF(R28="-","-",VLOOKUP($A28,AMAPit!$A$10:$AY$122,BK$9,FALSE)-R28)</f>
        <v>#N/A</v>
      </c>
      <c r="BL28" s="306" t="e">
        <f>IF(S28="-","-",VLOOKUP($A28,AMAPit!$A$10:$AY$122,BL$9,FALSE)-S28)</f>
        <v>#N/A</v>
      </c>
      <c r="BM28" s="306" t="e">
        <f>IF(T28="-","-",VLOOKUP($A28,AMAPit!$A$10:$AY$122,BM$9,FALSE)-T28)</f>
        <v>#N/A</v>
      </c>
      <c r="BN28" s="306" t="e">
        <f>IF(U28="-","-",VLOOKUP($A28,AMAPit!$A$10:$AY$122,BN$9,FALSE)-U28)</f>
        <v>#N/A</v>
      </c>
      <c r="BO28" s="306" t="e">
        <f>IF(V28="-","-",VLOOKUP($A28,AMAPit!$A$10:$AY$122,BO$9,FALSE)-V28)</f>
        <v>#N/A</v>
      </c>
      <c r="BP28" s="306" t="e">
        <f>IF(W28="-","-",VLOOKUP($A28,AMAPit!$A$10:$AY$122,BP$9,FALSE)-W28)</f>
        <v>#N/A</v>
      </c>
      <c r="BQ28" s="306" t="e">
        <f>IF(X28="-","-",VLOOKUP($A28,AMAPit!$A$10:$AY$122,BQ$9,FALSE)-X28)</f>
        <v>#N/A</v>
      </c>
      <c r="BR28" s="306" t="e">
        <f>IF(Y28="-","-",VLOOKUP($A28,AMAPit!$A$10:$AY$122,BR$9,FALSE)-Y28)</f>
        <v>#N/A</v>
      </c>
      <c r="BS28" s="306" t="e">
        <f>IF(Z28="-","-",VLOOKUP($A28,AMAPit!$A$10:$AY$122,BS$9,FALSE)-Z28)</f>
        <v>#N/A</v>
      </c>
      <c r="BT28" s="306" t="str">
        <f>IF(AA28="-","-",VLOOKUP($A28,AMAPit!$A$10:$AY$122,BT$9,FALSE)-AA28)</f>
        <v>-</v>
      </c>
      <c r="BU28" s="306" t="str">
        <f>IF(AB28="-","-",VLOOKUP($A28,AMAPit!$A$10:$AY$122,BU$9,FALSE)-AB28)</f>
        <v>-</v>
      </c>
      <c r="BV28" s="306" t="str">
        <f>IF(AC28="-","-",VLOOKUP($A28,AMAPit!$A$10:$AY$122,BV$9,FALSE)-AC28)</f>
        <v>-</v>
      </c>
      <c r="BW28" s="306" t="str">
        <f>IF(AD28="-","-",VLOOKUP($A28,AMAPit!$A$10:$AY$122,BW$9,FALSE)-AD28)</f>
        <v>-</v>
      </c>
      <c r="BX28" s="306" t="e">
        <f>IF(AE28="-","-",VLOOKUP($A28,AMAPit!$A$10:$AY$122,BX$9,FALSE)-AE28)</f>
        <v>#N/A</v>
      </c>
      <c r="BY28" s="306" t="e">
        <f>IF(AF28="-","-",VLOOKUP($A28,AMAPit!$A$10:$AY$122,BY$9,FALSE)-AF28)</f>
        <v>#N/A</v>
      </c>
      <c r="BZ28" s="306" t="str">
        <f>IF(AG28="-","-",VLOOKUP($A28,AMAPit!$A$10:$AY$122,BZ$9,FALSE)-AG28)</f>
        <v>-</v>
      </c>
      <c r="CA28" s="306" t="str">
        <f>IF(AH28="-","-",VLOOKUP($A28,AMAPit!$A$10:$AY$122,CA$9,FALSE)-AH28)</f>
        <v>-</v>
      </c>
      <c r="CB28" s="306" t="str">
        <f>IF(AI28="-","-",VLOOKUP($A28,AMAPit!$A$10:$AY$122,CB$9,FALSE)-AI28)</f>
        <v>-</v>
      </c>
      <c r="CC28" s="306" t="str">
        <f>IF(AJ28="-","-",VLOOKUP($A28,AMAPit!$A$10:$AY$122,CC$9,FALSE)-AJ28)</f>
        <v>-</v>
      </c>
      <c r="CD28" s="306" t="str">
        <f>IF(AK28="-","-",VLOOKUP($A28,AMAPit!$A$10:$AY$122,CD$9,FALSE)-AK28)</f>
        <v>-</v>
      </c>
      <c r="CE28" s="306" t="str">
        <f>IF(AL28="-","-",VLOOKUP($A28,AMAPit!$A$10:$AY$122,CE$9,FALSE)-AL28)</f>
        <v>-</v>
      </c>
      <c r="CF28" s="306" t="str">
        <f>IF(AM28="-","-",VLOOKUP($A28,AMAPit!$A$10:$AY$122,CF$9,FALSE)-AM28)</f>
        <v>-</v>
      </c>
      <c r="CG28" s="306" t="str">
        <f>IF(AN28="-","-",VLOOKUP($A28,AMAPit!$A$10:$AY$122,CG$9,FALSE)-AN28)</f>
        <v>-</v>
      </c>
      <c r="CH28" s="306" t="str">
        <f>IF(AO28="-","-",VLOOKUP($A28,AMAPit!$A$10:$AY$122,CH$9,FALSE)-AO28)</f>
        <v>-</v>
      </c>
      <c r="CI28" s="306" t="str">
        <f>IF(AP28="-","-",VLOOKUP($A28,AMAPit!$A$10:$AY$122,CI$9,FALSE)-AP28)</f>
        <v>-</v>
      </c>
      <c r="CJ28" s="306" t="str">
        <f>IF(AQ28="-","-",VLOOKUP($A28,AMAPit!$A$10:$AY$122,CJ$9,FALSE)-AQ28)</f>
        <v>-</v>
      </c>
      <c r="CK28" s="306" t="str">
        <f>IF(AR28="-","-",VLOOKUP($A28,AMAPit!$A$10:$AY$122,CK$9,FALSE)-AR28)</f>
        <v>-</v>
      </c>
      <c r="CL28" s="306" t="str">
        <f>IF(AS28="-","-",VLOOKUP($A28,AMAPit!$A$10:$AY$122,CL$9,FALSE)-AS28)</f>
        <v>-</v>
      </c>
      <c r="CM28" s="306" t="str">
        <f>IF(AT28="-","-",VLOOKUP($A28,AMAPit!$A$10:$AY$122,CM$9,FALSE)-AT28)</f>
        <v>-</v>
      </c>
      <c r="CN28" t="e">
        <f t="shared" si="11"/>
        <v>#N/A</v>
      </c>
    </row>
    <row r="29" spans="1:92" x14ac:dyDescent="0.25">
      <c r="A29" s="305" t="s">
        <v>531</v>
      </c>
      <c r="B29" s="305" t="s">
        <v>534</v>
      </c>
      <c r="C29" s="305"/>
      <c r="D29" s="305" t="s">
        <v>81</v>
      </c>
      <c r="E29" t="s">
        <v>11</v>
      </c>
      <c r="F29" t="s">
        <v>961</v>
      </c>
      <c r="G29" s="305" t="s">
        <v>962</v>
      </c>
      <c r="H29" t="s">
        <v>769</v>
      </c>
      <c r="I29" t="s">
        <v>186</v>
      </c>
      <c r="J29">
        <v>23</v>
      </c>
      <c r="K29" t="s">
        <v>83</v>
      </c>
      <c r="L29" s="210" t="s">
        <v>83</v>
      </c>
      <c r="M29" t="s">
        <v>803</v>
      </c>
      <c r="N29" t="s">
        <v>764</v>
      </c>
      <c r="O29" t="s">
        <v>200</v>
      </c>
      <c r="P29" s="210" t="s">
        <v>200</v>
      </c>
      <c r="Q29">
        <v>5</v>
      </c>
      <c r="R29">
        <v>5</v>
      </c>
      <c r="S29" s="210">
        <v>4</v>
      </c>
      <c r="T29">
        <v>7</v>
      </c>
      <c r="U29">
        <v>6</v>
      </c>
      <c r="V29" s="210">
        <v>4</v>
      </c>
      <c r="W29" t="s">
        <v>32</v>
      </c>
      <c r="X29" t="s">
        <v>32</v>
      </c>
      <c r="Y29">
        <v>5</v>
      </c>
      <c r="Z29">
        <v>6</v>
      </c>
      <c r="AA29">
        <v>5</v>
      </c>
      <c r="AB29">
        <v>7</v>
      </c>
      <c r="AC29" t="s">
        <v>32</v>
      </c>
      <c r="AD29" t="s">
        <v>32</v>
      </c>
      <c r="AE29" t="s">
        <v>32</v>
      </c>
      <c r="AF29" t="s">
        <v>32</v>
      </c>
      <c r="AG29" t="s">
        <v>32</v>
      </c>
      <c r="AH29" t="s">
        <v>32</v>
      </c>
      <c r="AI29">
        <v>6</v>
      </c>
      <c r="AJ29">
        <v>8</v>
      </c>
      <c r="AK29">
        <v>5</v>
      </c>
      <c r="AL29">
        <v>5</v>
      </c>
      <c r="AM29" t="s">
        <v>32</v>
      </c>
      <c r="AN29" t="s">
        <v>32</v>
      </c>
      <c r="AO29" t="s">
        <v>32</v>
      </c>
      <c r="AP29" t="s">
        <v>32</v>
      </c>
      <c r="AQ29" t="s">
        <v>32</v>
      </c>
      <c r="AR29" t="s">
        <v>32</v>
      </c>
      <c r="AS29" t="s">
        <v>32</v>
      </c>
      <c r="AT29" s="210" t="s">
        <v>32</v>
      </c>
      <c r="AU29" t="s">
        <v>6</v>
      </c>
      <c r="AV29">
        <v>4</v>
      </c>
      <c r="AW29" s="11" t="s">
        <v>393</v>
      </c>
      <c r="AX29" s="78" t="s">
        <v>32</v>
      </c>
      <c r="AY29" s="210">
        <v>0</v>
      </c>
      <c r="AZ29" s="372" t="s">
        <v>529</v>
      </c>
      <c r="BA29" s="6">
        <f t="shared" si="2"/>
        <v>5.416666666666667</v>
      </c>
      <c r="BB29" s="9" t="str">
        <f t="shared" si="3"/>
        <v>Reg</v>
      </c>
      <c r="BC29" s="9">
        <f t="shared" si="4"/>
        <v>6.416666666666667</v>
      </c>
      <c r="BD29" s="9" t="str">
        <f t="shared" si="5"/>
        <v>Reg</v>
      </c>
      <c r="BE29" s="9">
        <f t="shared" si="6"/>
        <v>6.416666666666667</v>
      </c>
      <c r="BF29" s="9" t="str">
        <f t="shared" si="7"/>
        <v>Reg</v>
      </c>
      <c r="BG29" s="77">
        <f t="shared" si="8"/>
        <v>4</v>
      </c>
      <c r="BH29" s="76">
        <f t="shared" si="9"/>
        <v>2</v>
      </c>
      <c r="BI29" t="str">
        <f t="shared" si="10"/>
        <v/>
      </c>
      <c r="BJ29" s="306" t="e">
        <f>IF(Q29="-","-",VLOOKUP($A29,AMAPit!$A$10:$AY$122,BJ$9,FALSE)-Q29)</f>
        <v>#N/A</v>
      </c>
      <c r="BK29" s="306" t="e">
        <f>IF(R29="-","-",VLOOKUP($A29,AMAPit!$A$10:$AY$122,BK$9,FALSE)-R29)</f>
        <v>#N/A</v>
      </c>
      <c r="BL29" s="306" t="e">
        <f>IF(S29="-","-",VLOOKUP($A29,AMAPit!$A$10:$AY$122,BL$9,FALSE)-S29)</f>
        <v>#N/A</v>
      </c>
      <c r="BM29" s="306" t="e">
        <f>IF(T29="-","-",VLOOKUP($A29,AMAPit!$A$10:$AY$122,BM$9,FALSE)-T29)</f>
        <v>#N/A</v>
      </c>
      <c r="BN29" s="306" t="e">
        <f>IF(U29="-","-",VLOOKUP($A29,AMAPit!$A$10:$AY$122,BN$9,FALSE)-U29)</f>
        <v>#N/A</v>
      </c>
      <c r="BO29" s="306" t="e">
        <f>IF(V29="-","-",VLOOKUP($A29,AMAPit!$A$10:$AY$122,BO$9,FALSE)-V29)</f>
        <v>#N/A</v>
      </c>
      <c r="BP29" s="306" t="str">
        <f>IF(W29="-","-",VLOOKUP($A29,AMAPit!$A$10:$AY$122,BP$9,FALSE)-W29)</f>
        <v>-</v>
      </c>
      <c r="BQ29" s="306" t="str">
        <f>IF(X29="-","-",VLOOKUP($A29,AMAPit!$A$10:$AY$122,BQ$9,FALSE)-X29)</f>
        <v>-</v>
      </c>
      <c r="BR29" s="306" t="e">
        <f>IF(Y29="-","-",VLOOKUP($A29,AMAPit!$A$10:$AY$122,BR$9,FALSE)-Y29)</f>
        <v>#N/A</v>
      </c>
      <c r="BS29" s="306" t="e">
        <f>IF(Z29="-","-",VLOOKUP($A29,AMAPit!$A$10:$AY$122,BS$9,FALSE)-Z29)</f>
        <v>#N/A</v>
      </c>
      <c r="BT29" s="306" t="e">
        <f>IF(AA29="-","-",VLOOKUP($A29,AMAPit!$A$10:$AY$122,BT$9,FALSE)-AA29)</f>
        <v>#N/A</v>
      </c>
      <c r="BU29" s="306" t="e">
        <f>IF(AB29="-","-",VLOOKUP($A29,AMAPit!$A$10:$AY$122,BU$9,FALSE)-AB29)</f>
        <v>#N/A</v>
      </c>
      <c r="BV29" s="306" t="str">
        <f>IF(AC29="-","-",VLOOKUP($A29,AMAPit!$A$10:$AY$122,BV$9,FALSE)-AC29)</f>
        <v>-</v>
      </c>
      <c r="BW29" s="306" t="str">
        <f>IF(AD29="-","-",VLOOKUP($A29,AMAPit!$A$10:$AY$122,BW$9,FALSE)-AD29)</f>
        <v>-</v>
      </c>
      <c r="BX29" s="306" t="str">
        <f>IF(AE29="-","-",VLOOKUP($A29,AMAPit!$A$10:$AY$122,BX$9,FALSE)-AE29)</f>
        <v>-</v>
      </c>
      <c r="BY29" s="306" t="str">
        <f>IF(AF29="-","-",VLOOKUP($A29,AMAPit!$A$10:$AY$122,BY$9,FALSE)-AF29)</f>
        <v>-</v>
      </c>
      <c r="BZ29" s="306" t="str">
        <f>IF(AG29="-","-",VLOOKUP($A29,AMAPit!$A$10:$AY$122,BZ$9,FALSE)-AG29)</f>
        <v>-</v>
      </c>
      <c r="CA29" s="306" t="str">
        <f>IF(AH29="-","-",VLOOKUP($A29,AMAPit!$A$10:$AY$122,CA$9,FALSE)-AH29)</f>
        <v>-</v>
      </c>
      <c r="CB29" s="306" t="e">
        <f>IF(AI29="-","-",VLOOKUP($A29,AMAPit!$A$10:$AY$122,CB$9,FALSE)-AI29)</f>
        <v>#N/A</v>
      </c>
      <c r="CC29" s="306" t="e">
        <f>IF(AJ29="-","-",VLOOKUP($A29,AMAPit!$A$10:$AY$122,CC$9,FALSE)-AJ29)</f>
        <v>#N/A</v>
      </c>
      <c r="CD29" s="306" t="e">
        <f>IF(AK29="-","-",VLOOKUP($A29,AMAPit!$A$10:$AY$122,CD$9,FALSE)-AK29)</f>
        <v>#N/A</v>
      </c>
      <c r="CE29" s="306" t="e">
        <f>IF(AL29="-","-",VLOOKUP($A29,AMAPit!$A$10:$AY$122,CE$9,FALSE)-AL29)</f>
        <v>#N/A</v>
      </c>
      <c r="CF29" s="306" t="str">
        <f>IF(AM29="-","-",VLOOKUP($A29,AMAPit!$A$10:$AY$122,CF$9,FALSE)-AM29)</f>
        <v>-</v>
      </c>
      <c r="CG29" s="306" t="str">
        <f>IF(AN29="-","-",VLOOKUP($A29,AMAPit!$A$10:$AY$122,CG$9,FALSE)-AN29)</f>
        <v>-</v>
      </c>
      <c r="CH29" s="306" t="str">
        <f>IF(AO29="-","-",VLOOKUP($A29,AMAPit!$A$10:$AY$122,CH$9,FALSE)-AO29)</f>
        <v>-</v>
      </c>
      <c r="CI29" s="306" t="str">
        <f>IF(AP29="-","-",VLOOKUP($A29,AMAPit!$A$10:$AY$122,CI$9,FALSE)-AP29)</f>
        <v>-</v>
      </c>
      <c r="CJ29" s="306" t="str">
        <f>IF(AQ29="-","-",VLOOKUP($A29,AMAPit!$A$10:$AY$122,CJ$9,FALSE)-AQ29)</f>
        <v>-</v>
      </c>
      <c r="CK29" s="306" t="str">
        <f>IF(AR29="-","-",VLOOKUP($A29,AMAPit!$A$10:$AY$122,CK$9,FALSE)-AR29)</f>
        <v>-</v>
      </c>
      <c r="CL29" s="306" t="str">
        <f>IF(AS29="-","-",VLOOKUP($A29,AMAPit!$A$10:$AY$122,CL$9,FALSE)-AS29)</f>
        <v>-</v>
      </c>
      <c r="CM29" s="306" t="str">
        <f>IF(AT29="-","-",VLOOKUP($A29,AMAPit!$A$10:$AY$122,CM$9,FALSE)-AT29)</f>
        <v>-</v>
      </c>
      <c r="CN29" t="e">
        <f t="shared" si="11"/>
        <v>#N/A</v>
      </c>
    </row>
    <row r="30" spans="1:92" x14ac:dyDescent="0.25">
      <c r="A30" s="305" t="s">
        <v>526</v>
      </c>
      <c r="B30" s="305" t="s">
        <v>534</v>
      </c>
      <c r="C30" s="305"/>
      <c r="D30" s="305" t="s">
        <v>72</v>
      </c>
      <c r="E30" t="s">
        <v>11</v>
      </c>
      <c r="F30" t="s">
        <v>945</v>
      </c>
      <c r="G30" s="305" t="s">
        <v>946</v>
      </c>
      <c r="H30" t="s">
        <v>783</v>
      </c>
      <c r="I30" t="s">
        <v>185</v>
      </c>
      <c r="J30">
        <v>26</v>
      </c>
      <c r="K30" t="s">
        <v>85</v>
      </c>
      <c r="L30" s="210" t="s">
        <v>83</v>
      </c>
      <c r="M30" t="s">
        <v>808</v>
      </c>
      <c r="N30" t="s">
        <v>773</v>
      </c>
      <c r="O30" t="s">
        <v>200</v>
      </c>
      <c r="P30" s="210" t="s">
        <v>200</v>
      </c>
      <c r="Q30">
        <v>7</v>
      </c>
      <c r="R30">
        <v>1</v>
      </c>
      <c r="S30" s="210">
        <v>6</v>
      </c>
      <c r="T30">
        <v>7</v>
      </c>
      <c r="U30">
        <v>1</v>
      </c>
      <c r="V30" s="210">
        <v>8</v>
      </c>
      <c r="W30">
        <v>7</v>
      </c>
      <c r="X30">
        <v>7</v>
      </c>
      <c r="Y30">
        <v>6</v>
      </c>
      <c r="Z30">
        <v>6</v>
      </c>
      <c r="AA30">
        <v>7</v>
      </c>
      <c r="AB30">
        <v>7</v>
      </c>
      <c r="AC30">
        <v>4</v>
      </c>
      <c r="AD30">
        <v>4</v>
      </c>
      <c r="AE30" t="s">
        <v>32</v>
      </c>
      <c r="AF30" t="s">
        <v>32</v>
      </c>
      <c r="AG30" t="s">
        <v>32</v>
      </c>
      <c r="AH30" t="s">
        <v>32</v>
      </c>
      <c r="AI30" t="s">
        <v>32</v>
      </c>
      <c r="AJ30" t="s">
        <v>32</v>
      </c>
      <c r="AK30" t="s">
        <v>32</v>
      </c>
      <c r="AL30" t="s">
        <v>32</v>
      </c>
      <c r="AM30" t="s">
        <v>32</v>
      </c>
      <c r="AN30" t="s">
        <v>32</v>
      </c>
      <c r="AO30" t="s">
        <v>32</v>
      </c>
      <c r="AP30" t="s">
        <v>32</v>
      </c>
      <c r="AQ30" t="s">
        <v>32</v>
      </c>
      <c r="AR30" t="s">
        <v>32</v>
      </c>
      <c r="AS30" t="s">
        <v>32</v>
      </c>
      <c r="AT30" s="210" t="s">
        <v>32</v>
      </c>
      <c r="AU30" t="s">
        <v>209</v>
      </c>
      <c r="AV30">
        <v>9</v>
      </c>
      <c r="AW30" s="11" t="s">
        <v>395</v>
      </c>
      <c r="AX30" s="78" t="s">
        <v>32</v>
      </c>
      <c r="AY30" s="210">
        <v>0</v>
      </c>
      <c r="AZ30" s="372" t="s">
        <v>529</v>
      </c>
      <c r="BA30" s="6">
        <f t="shared" si="2"/>
        <v>5.416666666666667</v>
      </c>
      <c r="BB30" s="9" t="str">
        <f t="shared" si="3"/>
        <v>Reg</v>
      </c>
      <c r="BC30" s="9">
        <f t="shared" si="4"/>
        <v>6.083333333333333</v>
      </c>
      <c r="BD30" s="9" t="str">
        <f t="shared" si="5"/>
        <v>Reg</v>
      </c>
      <c r="BE30" s="9">
        <f t="shared" si="6"/>
        <v>6.083333333333333</v>
      </c>
      <c r="BF30" s="9" t="str">
        <f t="shared" si="7"/>
        <v>Reg</v>
      </c>
      <c r="BG30" s="77">
        <f t="shared" si="8"/>
        <v>4</v>
      </c>
      <c r="BH30" s="76">
        <f t="shared" si="9"/>
        <v>3</v>
      </c>
      <c r="BI30" t="str">
        <f t="shared" si="10"/>
        <v/>
      </c>
      <c r="BJ30" s="306" t="e">
        <f>IF(Q30="-","-",VLOOKUP($A30,AMAPit!$A$10:$AY$122,BJ$9,FALSE)-Q30)</f>
        <v>#N/A</v>
      </c>
      <c r="BK30" s="306" t="e">
        <f>IF(R30="-","-",VLOOKUP($A30,AMAPit!$A$10:$AY$122,BK$9,FALSE)-R30)</f>
        <v>#N/A</v>
      </c>
      <c r="BL30" s="306" t="e">
        <f>IF(S30="-","-",VLOOKUP($A30,AMAPit!$A$10:$AY$122,BL$9,FALSE)-S30)</f>
        <v>#N/A</v>
      </c>
      <c r="BM30" s="306" t="e">
        <f>IF(T30="-","-",VLOOKUP($A30,AMAPit!$A$10:$AY$122,BM$9,FALSE)-T30)</f>
        <v>#N/A</v>
      </c>
      <c r="BN30" s="306" t="e">
        <f>IF(U30="-","-",VLOOKUP($A30,AMAPit!$A$10:$AY$122,BN$9,FALSE)-U30)</f>
        <v>#N/A</v>
      </c>
      <c r="BO30" s="306" t="e">
        <f>IF(V30="-","-",VLOOKUP($A30,AMAPit!$A$10:$AY$122,BO$9,FALSE)-V30)</f>
        <v>#N/A</v>
      </c>
      <c r="BP30" s="306" t="e">
        <f>IF(W30="-","-",VLOOKUP($A30,AMAPit!$A$10:$AY$122,BP$9,FALSE)-W30)</f>
        <v>#N/A</v>
      </c>
      <c r="BQ30" s="306" t="e">
        <f>IF(X30="-","-",VLOOKUP($A30,AMAPit!$A$10:$AY$122,BQ$9,FALSE)-X30)</f>
        <v>#N/A</v>
      </c>
      <c r="BR30" s="306" t="e">
        <f>IF(Y30="-","-",VLOOKUP($A30,AMAPit!$A$10:$AY$122,BR$9,FALSE)-Y30)</f>
        <v>#N/A</v>
      </c>
      <c r="BS30" s="306" t="e">
        <f>IF(Z30="-","-",VLOOKUP($A30,AMAPit!$A$10:$AY$122,BS$9,FALSE)-Z30)</f>
        <v>#N/A</v>
      </c>
      <c r="BT30" s="306" t="e">
        <f>IF(AA30="-","-",VLOOKUP($A30,AMAPit!$A$10:$AY$122,BT$9,FALSE)-AA30)</f>
        <v>#N/A</v>
      </c>
      <c r="BU30" s="306" t="e">
        <f>IF(AB30="-","-",VLOOKUP($A30,AMAPit!$A$10:$AY$122,BU$9,FALSE)-AB30)</f>
        <v>#N/A</v>
      </c>
      <c r="BV30" s="306" t="e">
        <f>IF(AC30="-","-",VLOOKUP($A30,AMAPit!$A$10:$AY$122,BV$9,FALSE)-AC30)</f>
        <v>#N/A</v>
      </c>
      <c r="BW30" s="306" t="e">
        <f>IF(AD30="-","-",VLOOKUP($A30,AMAPit!$A$10:$AY$122,BW$9,FALSE)-AD30)</f>
        <v>#N/A</v>
      </c>
      <c r="BX30" s="306" t="str">
        <f>IF(AE30="-","-",VLOOKUP($A30,AMAPit!$A$10:$AY$122,BX$9,FALSE)-AE30)</f>
        <v>-</v>
      </c>
      <c r="BY30" s="306" t="str">
        <f>IF(AF30="-","-",VLOOKUP($A30,AMAPit!$A$10:$AY$122,BY$9,FALSE)-AF30)</f>
        <v>-</v>
      </c>
      <c r="BZ30" s="306" t="str">
        <f>IF(AG30="-","-",VLOOKUP($A30,AMAPit!$A$10:$AY$122,BZ$9,FALSE)-AG30)</f>
        <v>-</v>
      </c>
      <c r="CA30" s="306" t="str">
        <f>IF(AH30="-","-",VLOOKUP($A30,AMAPit!$A$10:$AY$122,CA$9,FALSE)-AH30)</f>
        <v>-</v>
      </c>
      <c r="CB30" s="306" t="str">
        <f>IF(AI30="-","-",VLOOKUP($A30,AMAPit!$A$10:$AY$122,CB$9,FALSE)-AI30)</f>
        <v>-</v>
      </c>
      <c r="CC30" s="306" t="str">
        <f>IF(AJ30="-","-",VLOOKUP($A30,AMAPit!$A$10:$AY$122,CC$9,FALSE)-AJ30)</f>
        <v>-</v>
      </c>
      <c r="CD30" s="306" t="str">
        <f>IF(AK30="-","-",VLOOKUP($A30,AMAPit!$A$10:$AY$122,CD$9,FALSE)-AK30)</f>
        <v>-</v>
      </c>
      <c r="CE30" s="306" t="str">
        <f>IF(AL30="-","-",VLOOKUP($A30,AMAPit!$A$10:$AY$122,CE$9,FALSE)-AL30)</f>
        <v>-</v>
      </c>
      <c r="CF30" s="306" t="str">
        <f>IF(AM30="-","-",VLOOKUP($A30,AMAPit!$A$10:$AY$122,CF$9,FALSE)-AM30)</f>
        <v>-</v>
      </c>
      <c r="CG30" s="306" t="str">
        <f>IF(AN30="-","-",VLOOKUP($A30,AMAPit!$A$10:$AY$122,CG$9,FALSE)-AN30)</f>
        <v>-</v>
      </c>
      <c r="CH30" s="306" t="str">
        <f>IF(AO30="-","-",VLOOKUP($A30,AMAPit!$A$10:$AY$122,CH$9,FALSE)-AO30)</f>
        <v>-</v>
      </c>
      <c r="CI30" s="306" t="str">
        <f>IF(AP30="-","-",VLOOKUP($A30,AMAPit!$A$10:$AY$122,CI$9,FALSE)-AP30)</f>
        <v>-</v>
      </c>
      <c r="CJ30" s="306" t="str">
        <f>IF(AQ30="-","-",VLOOKUP($A30,AMAPit!$A$10:$AY$122,CJ$9,FALSE)-AQ30)</f>
        <v>-</v>
      </c>
      <c r="CK30" s="306" t="str">
        <f>IF(AR30="-","-",VLOOKUP($A30,AMAPit!$A$10:$AY$122,CK$9,FALSE)-AR30)</f>
        <v>-</v>
      </c>
      <c r="CL30" s="306" t="str">
        <f>IF(AS30="-","-",VLOOKUP($A30,AMAPit!$A$10:$AY$122,CL$9,FALSE)-AS30)</f>
        <v>-</v>
      </c>
      <c r="CM30" s="306" t="str">
        <f>IF(AT30="-","-",VLOOKUP($A30,AMAPit!$A$10:$AY$122,CM$9,FALSE)-AT30)</f>
        <v>-</v>
      </c>
      <c r="CN30" t="e">
        <f t="shared" si="11"/>
        <v>#N/A</v>
      </c>
    </row>
    <row r="31" spans="1:92" x14ac:dyDescent="0.25">
      <c r="A31" s="305" t="s">
        <v>552</v>
      </c>
      <c r="B31" s="305" t="s">
        <v>534</v>
      </c>
      <c r="C31" s="305"/>
      <c r="D31" s="305" t="s">
        <v>72</v>
      </c>
      <c r="E31" t="s">
        <v>87</v>
      </c>
      <c r="F31" t="s">
        <v>939</v>
      </c>
      <c r="G31" s="305" t="s">
        <v>940</v>
      </c>
      <c r="H31" t="s">
        <v>769</v>
      </c>
      <c r="I31" t="s">
        <v>186</v>
      </c>
      <c r="J31">
        <v>22</v>
      </c>
      <c r="K31" t="s">
        <v>83</v>
      </c>
      <c r="L31" s="210" t="s">
        <v>83</v>
      </c>
      <c r="M31" t="s">
        <v>773</v>
      </c>
      <c r="N31" t="s">
        <v>773</v>
      </c>
      <c r="O31" t="s">
        <v>201</v>
      </c>
      <c r="P31" s="210" t="s">
        <v>200</v>
      </c>
      <c r="Q31">
        <v>7</v>
      </c>
      <c r="R31">
        <v>2</v>
      </c>
      <c r="S31" s="210">
        <v>5</v>
      </c>
      <c r="T31">
        <v>7</v>
      </c>
      <c r="U31">
        <v>3</v>
      </c>
      <c r="V31" s="210">
        <v>5</v>
      </c>
      <c r="W31">
        <v>7</v>
      </c>
      <c r="X31">
        <v>7</v>
      </c>
      <c r="Y31">
        <v>8</v>
      </c>
      <c r="Z31">
        <v>8</v>
      </c>
      <c r="AA31">
        <v>8</v>
      </c>
      <c r="AB31">
        <v>8</v>
      </c>
      <c r="AC31" t="s">
        <v>32</v>
      </c>
      <c r="AD31" t="s">
        <v>32</v>
      </c>
      <c r="AE31" t="s">
        <v>32</v>
      </c>
      <c r="AF31" t="s">
        <v>32</v>
      </c>
      <c r="AG31">
        <v>4</v>
      </c>
      <c r="AH31">
        <v>5</v>
      </c>
      <c r="AI31" t="s">
        <v>32</v>
      </c>
      <c r="AJ31" t="s">
        <v>32</v>
      </c>
      <c r="AK31" t="s">
        <v>32</v>
      </c>
      <c r="AL31" t="s">
        <v>32</v>
      </c>
      <c r="AM31" t="s">
        <v>32</v>
      </c>
      <c r="AN31" t="s">
        <v>32</v>
      </c>
      <c r="AO31" t="s">
        <v>32</v>
      </c>
      <c r="AP31" t="s">
        <v>32</v>
      </c>
      <c r="AQ31" t="s">
        <v>32</v>
      </c>
      <c r="AR31" t="s">
        <v>32</v>
      </c>
      <c r="AS31" t="s">
        <v>32</v>
      </c>
      <c r="AT31" s="210" t="s">
        <v>32</v>
      </c>
      <c r="AU31" t="s">
        <v>397</v>
      </c>
      <c r="AV31">
        <v>7</v>
      </c>
      <c r="AW31" s="11" t="s">
        <v>393</v>
      </c>
      <c r="AX31" s="78" t="s">
        <v>32</v>
      </c>
      <c r="AY31" s="210">
        <v>0</v>
      </c>
      <c r="AZ31" s="372" t="s">
        <v>199</v>
      </c>
      <c r="BA31" s="6">
        <f t="shared" si="2"/>
        <v>5.416666666666667</v>
      </c>
      <c r="BB31" s="9" t="str">
        <f t="shared" si="3"/>
        <v>Reg</v>
      </c>
      <c r="BC31" s="9">
        <f t="shared" si="4"/>
        <v>5.75</v>
      </c>
      <c r="BD31" s="9" t="str">
        <f t="shared" si="5"/>
        <v>Reg</v>
      </c>
      <c r="BE31" s="9">
        <f t="shared" si="6"/>
        <v>5.75</v>
      </c>
      <c r="BF31" s="9" t="str">
        <f t="shared" si="7"/>
        <v>Reg</v>
      </c>
      <c r="BG31" s="77">
        <f t="shared" si="8"/>
        <v>4</v>
      </c>
      <c r="BH31" s="76">
        <f t="shared" si="9"/>
        <v>3</v>
      </c>
      <c r="BI31" t="str">
        <f t="shared" si="10"/>
        <v/>
      </c>
      <c r="BJ31" s="306" t="e">
        <f>IF(Q31="-","-",VLOOKUP($A31,AMAPit!$A$10:$AY$122,BJ$9,FALSE)-Q31)</f>
        <v>#N/A</v>
      </c>
      <c r="BK31" s="306" t="e">
        <f>IF(R31="-","-",VLOOKUP($A31,AMAPit!$A$10:$AY$122,BK$9,FALSE)-R31)</f>
        <v>#N/A</v>
      </c>
      <c r="BL31" s="306" t="e">
        <f>IF(S31="-","-",VLOOKUP($A31,AMAPit!$A$10:$AY$122,BL$9,FALSE)-S31)</f>
        <v>#N/A</v>
      </c>
      <c r="BM31" s="306" t="e">
        <f>IF(T31="-","-",VLOOKUP($A31,AMAPit!$A$10:$AY$122,BM$9,FALSE)-T31)</f>
        <v>#N/A</v>
      </c>
      <c r="BN31" s="306" t="e">
        <f>IF(U31="-","-",VLOOKUP($A31,AMAPit!$A$10:$AY$122,BN$9,FALSE)-U31)</f>
        <v>#N/A</v>
      </c>
      <c r="BO31" s="306" t="e">
        <f>IF(V31="-","-",VLOOKUP($A31,AMAPit!$A$10:$AY$122,BO$9,FALSE)-V31)</f>
        <v>#N/A</v>
      </c>
      <c r="BP31" s="306" t="e">
        <f>IF(W31="-","-",VLOOKUP($A31,AMAPit!$A$10:$AY$122,BP$9,FALSE)-W31)</f>
        <v>#N/A</v>
      </c>
      <c r="BQ31" s="306" t="e">
        <f>IF(X31="-","-",VLOOKUP($A31,AMAPit!$A$10:$AY$122,BQ$9,FALSE)-X31)</f>
        <v>#N/A</v>
      </c>
      <c r="BR31" s="306" t="e">
        <f>IF(Y31="-","-",VLOOKUP($A31,AMAPit!$A$10:$AY$122,BR$9,FALSE)-Y31)</f>
        <v>#N/A</v>
      </c>
      <c r="BS31" s="306" t="e">
        <f>IF(Z31="-","-",VLOOKUP($A31,AMAPit!$A$10:$AY$122,BS$9,FALSE)-Z31)</f>
        <v>#N/A</v>
      </c>
      <c r="BT31" s="306" t="e">
        <f>IF(AA31="-","-",VLOOKUP($A31,AMAPit!$A$10:$AY$122,BT$9,FALSE)-AA31)</f>
        <v>#N/A</v>
      </c>
      <c r="BU31" s="306" t="e">
        <f>IF(AB31="-","-",VLOOKUP($A31,AMAPit!$A$10:$AY$122,BU$9,FALSE)-AB31)</f>
        <v>#N/A</v>
      </c>
      <c r="BV31" s="306" t="str">
        <f>IF(AC31="-","-",VLOOKUP($A31,AMAPit!$A$10:$AY$122,BV$9,FALSE)-AC31)</f>
        <v>-</v>
      </c>
      <c r="BW31" s="306" t="str">
        <f>IF(AD31="-","-",VLOOKUP($A31,AMAPit!$A$10:$AY$122,BW$9,FALSE)-AD31)</f>
        <v>-</v>
      </c>
      <c r="BX31" s="306" t="str">
        <f>IF(AE31="-","-",VLOOKUP($A31,AMAPit!$A$10:$AY$122,BX$9,FALSE)-AE31)</f>
        <v>-</v>
      </c>
      <c r="BY31" s="306" t="str">
        <f>IF(AF31="-","-",VLOOKUP($A31,AMAPit!$A$10:$AY$122,BY$9,FALSE)-AF31)</f>
        <v>-</v>
      </c>
      <c r="BZ31" s="306" t="e">
        <f>IF(AG31="-","-",VLOOKUP($A31,AMAPit!$A$10:$AY$122,BZ$9,FALSE)-AG31)</f>
        <v>#N/A</v>
      </c>
      <c r="CA31" s="306" t="e">
        <f>IF(AH31="-","-",VLOOKUP($A31,AMAPit!$A$10:$AY$122,CA$9,FALSE)-AH31)</f>
        <v>#N/A</v>
      </c>
      <c r="CB31" s="306" t="str">
        <f>IF(AI31="-","-",VLOOKUP($A31,AMAPit!$A$10:$AY$122,CB$9,FALSE)-AI31)</f>
        <v>-</v>
      </c>
      <c r="CC31" s="306" t="str">
        <f>IF(AJ31="-","-",VLOOKUP($A31,AMAPit!$A$10:$AY$122,CC$9,FALSE)-AJ31)</f>
        <v>-</v>
      </c>
      <c r="CD31" s="306" t="str">
        <f>IF(AK31="-","-",VLOOKUP($A31,AMAPit!$A$10:$AY$122,CD$9,FALSE)-AK31)</f>
        <v>-</v>
      </c>
      <c r="CE31" s="306" t="str">
        <f>IF(AL31="-","-",VLOOKUP($A31,AMAPit!$A$10:$AY$122,CE$9,FALSE)-AL31)</f>
        <v>-</v>
      </c>
      <c r="CF31" s="306" t="str">
        <f>IF(AM31="-","-",VLOOKUP($A31,AMAPit!$A$10:$AY$122,CF$9,FALSE)-AM31)</f>
        <v>-</v>
      </c>
      <c r="CG31" s="306" t="str">
        <f>IF(AN31="-","-",VLOOKUP($A31,AMAPit!$A$10:$AY$122,CG$9,FALSE)-AN31)</f>
        <v>-</v>
      </c>
      <c r="CH31" s="306" t="str">
        <f>IF(AO31="-","-",VLOOKUP($A31,AMAPit!$A$10:$AY$122,CH$9,FALSE)-AO31)</f>
        <v>-</v>
      </c>
      <c r="CI31" s="306" t="str">
        <f>IF(AP31="-","-",VLOOKUP($A31,AMAPit!$A$10:$AY$122,CI$9,FALSE)-AP31)</f>
        <v>-</v>
      </c>
      <c r="CJ31" s="306" t="str">
        <f>IF(AQ31="-","-",VLOOKUP($A31,AMAPit!$A$10:$AY$122,CJ$9,FALSE)-AQ31)</f>
        <v>-</v>
      </c>
      <c r="CK31" s="306" t="str">
        <f>IF(AR31="-","-",VLOOKUP($A31,AMAPit!$A$10:$AY$122,CK$9,FALSE)-AR31)</f>
        <v>-</v>
      </c>
      <c r="CL31" s="306" t="str">
        <f>IF(AS31="-","-",VLOOKUP($A31,AMAPit!$A$10:$AY$122,CL$9,FALSE)-AS31)</f>
        <v>-</v>
      </c>
      <c r="CM31" s="306" t="str">
        <f>IF(AT31="-","-",VLOOKUP($A31,AMAPit!$A$10:$AY$122,CM$9,FALSE)-AT31)</f>
        <v>-</v>
      </c>
      <c r="CN31" t="e">
        <f t="shared" si="11"/>
        <v>#N/A</v>
      </c>
    </row>
    <row r="32" spans="1:92" x14ac:dyDescent="0.25">
      <c r="A32" s="305" t="s">
        <v>532</v>
      </c>
      <c r="B32" s="305"/>
      <c r="C32" s="305"/>
      <c r="D32" s="305" t="s">
        <v>72</v>
      </c>
      <c r="E32" t="s">
        <v>11</v>
      </c>
      <c r="F32" t="s">
        <v>1017</v>
      </c>
      <c r="G32" s="305" t="s">
        <v>1018</v>
      </c>
      <c r="H32" t="s">
        <v>810</v>
      </c>
      <c r="I32" t="s">
        <v>83</v>
      </c>
      <c r="J32">
        <v>19</v>
      </c>
      <c r="K32" t="s">
        <v>83</v>
      </c>
      <c r="L32" s="210" t="s">
        <v>83</v>
      </c>
      <c r="M32" t="s">
        <v>816</v>
      </c>
      <c r="N32" t="s">
        <v>816</v>
      </c>
      <c r="O32" t="s">
        <v>200</v>
      </c>
      <c r="P32" s="210" t="s">
        <v>200</v>
      </c>
      <c r="Q32">
        <v>7</v>
      </c>
      <c r="R32">
        <v>4</v>
      </c>
      <c r="S32" s="210">
        <v>2</v>
      </c>
      <c r="T32">
        <v>8</v>
      </c>
      <c r="U32">
        <v>4</v>
      </c>
      <c r="V32" s="210">
        <v>2</v>
      </c>
      <c r="W32">
        <v>7</v>
      </c>
      <c r="X32">
        <v>8</v>
      </c>
      <c r="Y32">
        <v>1</v>
      </c>
      <c r="Z32">
        <v>2</v>
      </c>
      <c r="AA32">
        <v>3</v>
      </c>
      <c r="AB32">
        <v>4</v>
      </c>
      <c r="AC32" t="s">
        <v>32</v>
      </c>
      <c r="AD32" t="s">
        <v>32</v>
      </c>
      <c r="AE32" t="s">
        <v>32</v>
      </c>
      <c r="AF32" t="s">
        <v>32</v>
      </c>
      <c r="AG32" t="s">
        <v>32</v>
      </c>
      <c r="AH32" t="s">
        <v>32</v>
      </c>
      <c r="AI32">
        <v>6</v>
      </c>
      <c r="AJ32">
        <v>7</v>
      </c>
      <c r="AK32" t="s">
        <v>32</v>
      </c>
      <c r="AL32" t="s">
        <v>32</v>
      </c>
      <c r="AM32">
        <v>3</v>
      </c>
      <c r="AN32">
        <v>3</v>
      </c>
      <c r="AO32" t="s">
        <v>32</v>
      </c>
      <c r="AP32" t="s">
        <v>32</v>
      </c>
      <c r="AQ32" t="s">
        <v>32</v>
      </c>
      <c r="AR32" t="s">
        <v>32</v>
      </c>
      <c r="AS32" t="s">
        <v>32</v>
      </c>
      <c r="AT32" s="210" t="s">
        <v>32</v>
      </c>
      <c r="AU32" t="s">
        <v>326</v>
      </c>
      <c r="AV32">
        <v>10</v>
      </c>
      <c r="AW32" s="11" t="s">
        <v>393</v>
      </c>
      <c r="AX32" s="78" t="s">
        <v>32</v>
      </c>
      <c r="AY32" s="210" t="s">
        <v>33</v>
      </c>
      <c r="AZ32" s="372" t="s">
        <v>529</v>
      </c>
      <c r="BA32" s="6">
        <f t="shared" si="2"/>
        <v>5.333333333333333</v>
      </c>
      <c r="BB32" s="9" t="str">
        <f t="shared" si="3"/>
        <v>Reg</v>
      </c>
      <c r="BC32" s="9">
        <f t="shared" si="4"/>
        <v>5.666666666666667</v>
      </c>
      <c r="BD32" s="9" t="str">
        <f t="shared" si="5"/>
        <v>Reg</v>
      </c>
      <c r="BE32" s="9">
        <f t="shared" si="6"/>
        <v>5.666666666666667</v>
      </c>
      <c r="BF32" s="9" t="str">
        <f t="shared" si="7"/>
        <v>Reg</v>
      </c>
      <c r="BG32" s="77">
        <f t="shared" si="8"/>
        <v>5</v>
      </c>
      <c r="BH32" s="76">
        <f t="shared" si="9"/>
        <v>2</v>
      </c>
      <c r="BI32" t="str">
        <f t="shared" si="10"/>
        <v/>
      </c>
      <c r="BJ32" s="306" t="e">
        <f>IF(Q32="-","-",VLOOKUP($A32,AMAPit!$A$10:$AY$122,BJ$9,FALSE)-Q32)</f>
        <v>#N/A</v>
      </c>
      <c r="BK32" s="306" t="e">
        <f>IF(R32="-","-",VLOOKUP($A32,AMAPit!$A$10:$AY$122,BK$9,FALSE)-R32)</f>
        <v>#N/A</v>
      </c>
      <c r="BL32" s="306" t="e">
        <f>IF(S32="-","-",VLOOKUP($A32,AMAPit!$A$10:$AY$122,BL$9,FALSE)-S32)</f>
        <v>#N/A</v>
      </c>
      <c r="BM32" s="306" t="e">
        <f>IF(T32="-","-",VLOOKUP($A32,AMAPit!$A$10:$AY$122,BM$9,FALSE)-T32)</f>
        <v>#N/A</v>
      </c>
      <c r="BN32" s="306" t="e">
        <f>IF(U32="-","-",VLOOKUP($A32,AMAPit!$A$10:$AY$122,BN$9,FALSE)-U32)</f>
        <v>#N/A</v>
      </c>
      <c r="BO32" s="306" t="e">
        <f>IF(V32="-","-",VLOOKUP($A32,AMAPit!$A$10:$AY$122,BO$9,FALSE)-V32)</f>
        <v>#N/A</v>
      </c>
      <c r="BP32" s="306" t="e">
        <f>IF(W32="-","-",VLOOKUP($A32,AMAPit!$A$10:$AY$122,BP$9,FALSE)-W32)</f>
        <v>#N/A</v>
      </c>
      <c r="BQ32" s="306" t="e">
        <f>IF(X32="-","-",VLOOKUP($A32,AMAPit!$A$10:$AY$122,BQ$9,FALSE)-X32)</f>
        <v>#N/A</v>
      </c>
      <c r="BR32" s="306" t="e">
        <f>IF(Y32="-","-",VLOOKUP($A32,AMAPit!$A$10:$AY$122,BR$9,FALSE)-Y32)</f>
        <v>#N/A</v>
      </c>
      <c r="BS32" s="306" t="e">
        <f>IF(Z32="-","-",VLOOKUP($A32,AMAPit!$A$10:$AY$122,BS$9,FALSE)-Z32)</f>
        <v>#N/A</v>
      </c>
      <c r="BT32" s="306" t="e">
        <f>IF(AA32="-","-",VLOOKUP($A32,AMAPit!$A$10:$AY$122,BT$9,FALSE)-AA32)</f>
        <v>#N/A</v>
      </c>
      <c r="BU32" s="306" t="e">
        <f>IF(AB32="-","-",VLOOKUP($A32,AMAPit!$A$10:$AY$122,BU$9,FALSE)-AB32)</f>
        <v>#N/A</v>
      </c>
      <c r="BV32" s="306" t="str">
        <f>IF(AC32="-","-",VLOOKUP($A32,AMAPit!$A$10:$AY$122,BV$9,FALSE)-AC32)</f>
        <v>-</v>
      </c>
      <c r="BW32" s="306" t="str">
        <f>IF(AD32="-","-",VLOOKUP($A32,AMAPit!$A$10:$AY$122,BW$9,FALSE)-AD32)</f>
        <v>-</v>
      </c>
      <c r="BX32" s="306" t="str">
        <f>IF(AE32="-","-",VLOOKUP($A32,AMAPit!$A$10:$AY$122,BX$9,FALSE)-AE32)</f>
        <v>-</v>
      </c>
      <c r="BY32" s="306" t="str">
        <f>IF(AF32="-","-",VLOOKUP($A32,AMAPit!$A$10:$AY$122,BY$9,FALSE)-AF32)</f>
        <v>-</v>
      </c>
      <c r="BZ32" s="306" t="str">
        <f>IF(AG32="-","-",VLOOKUP($A32,AMAPit!$A$10:$AY$122,BZ$9,FALSE)-AG32)</f>
        <v>-</v>
      </c>
      <c r="CA32" s="306" t="str">
        <f>IF(AH32="-","-",VLOOKUP($A32,AMAPit!$A$10:$AY$122,CA$9,FALSE)-AH32)</f>
        <v>-</v>
      </c>
      <c r="CB32" s="306" t="e">
        <f>IF(AI32="-","-",VLOOKUP($A32,AMAPit!$A$10:$AY$122,CB$9,FALSE)-AI32)</f>
        <v>#N/A</v>
      </c>
      <c r="CC32" s="306" t="e">
        <f>IF(AJ32="-","-",VLOOKUP($A32,AMAPit!$A$10:$AY$122,CC$9,FALSE)-AJ32)</f>
        <v>#N/A</v>
      </c>
      <c r="CD32" s="306" t="str">
        <f>IF(AK32="-","-",VLOOKUP($A32,AMAPit!$A$10:$AY$122,CD$9,FALSE)-AK32)</f>
        <v>-</v>
      </c>
      <c r="CE32" s="306" t="str">
        <f>IF(AL32="-","-",VLOOKUP($A32,AMAPit!$A$10:$AY$122,CE$9,FALSE)-AL32)</f>
        <v>-</v>
      </c>
      <c r="CF32" s="306" t="e">
        <f>IF(AM32="-","-",VLOOKUP($A32,AMAPit!$A$10:$AY$122,CF$9,FALSE)-AM32)</f>
        <v>#N/A</v>
      </c>
      <c r="CG32" s="306" t="e">
        <f>IF(AN32="-","-",VLOOKUP($A32,AMAPit!$A$10:$AY$122,CG$9,FALSE)-AN32)</f>
        <v>#N/A</v>
      </c>
      <c r="CH32" s="306" t="str">
        <f>IF(AO32="-","-",VLOOKUP($A32,AMAPit!$A$10:$AY$122,CH$9,FALSE)-AO32)</f>
        <v>-</v>
      </c>
      <c r="CI32" s="306" t="str">
        <f>IF(AP32="-","-",VLOOKUP($A32,AMAPit!$A$10:$AY$122,CI$9,FALSE)-AP32)</f>
        <v>-</v>
      </c>
      <c r="CJ32" s="306" t="str">
        <f>IF(AQ32="-","-",VLOOKUP($A32,AMAPit!$A$10:$AY$122,CJ$9,FALSE)-AQ32)</f>
        <v>-</v>
      </c>
      <c r="CK32" s="306" t="str">
        <f>IF(AR32="-","-",VLOOKUP($A32,AMAPit!$A$10:$AY$122,CK$9,FALSE)-AR32)</f>
        <v>-</v>
      </c>
      <c r="CL32" s="306" t="str">
        <f>IF(AS32="-","-",VLOOKUP($A32,AMAPit!$A$10:$AY$122,CL$9,FALSE)-AS32)</f>
        <v>-</v>
      </c>
      <c r="CM32" s="306" t="str">
        <f>IF(AT32="-","-",VLOOKUP($A32,AMAPit!$A$10:$AY$122,CM$9,FALSE)-AT32)</f>
        <v>-</v>
      </c>
      <c r="CN32" t="e">
        <f t="shared" si="11"/>
        <v>#N/A</v>
      </c>
    </row>
    <row r="33" spans="1:92" x14ac:dyDescent="0.25">
      <c r="A33" s="305" t="s">
        <v>535</v>
      </c>
      <c r="B33" s="305" t="s">
        <v>534</v>
      </c>
      <c r="C33" s="305"/>
      <c r="D33" s="305" t="s">
        <v>81</v>
      </c>
      <c r="E33" t="s">
        <v>87</v>
      </c>
      <c r="F33" t="s">
        <v>411</v>
      </c>
      <c r="G33" s="305" t="s">
        <v>942</v>
      </c>
      <c r="H33" t="s">
        <v>783</v>
      </c>
      <c r="I33" t="s">
        <v>185</v>
      </c>
      <c r="J33">
        <v>26</v>
      </c>
      <c r="K33" t="s">
        <v>85</v>
      </c>
      <c r="L33" s="210" t="s">
        <v>83</v>
      </c>
      <c r="M33" t="s">
        <v>773</v>
      </c>
      <c r="N33" t="s">
        <v>773</v>
      </c>
      <c r="O33" t="s">
        <v>201</v>
      </c>
      <c r="P33" s="210" t="s">
        <v>200</v>
      </c>
      <c r="Q33">
        <v>6</v>
      </c>
      <c r="R33">
        <v>4</v>
      </c>
      <c r="S33" s="210">
        <v>3</v>
      </c>
      <c r="T33">
        <v>6</v>
      </c>
      <c r="U33">
        <v>5</v>
      </c>
      <c r="V33" s="210">
        <v>3</v>
      </c>
      <c r="W33">
        <v>7</v>
      </c>
      <c r="X33">
        <v>7</v>
      </c>
      <c r="Y33">
        <v>1</v>
      </c>
      <c r="Z33">
        <v>4</v>
      </c>
      <c r="AA33" t="s">
        <v>32</v>
      </c>
      <c r="AB33" t="s">
        <v>32</v>
      </c>
      <c r="AC33">
        <v>7</v>
      </c>
      <c r="AD33">
        <v>7</v>
      </c>
      <c r="AE33" t="s">
        <v>32</v>
      </c>
      <c r="AF33" t="s">
        <v>32</v>
      </c>
      <c r="AG33" t="s">
        <v>32</v>
      </c>
      <c r="AH33" t="s">
        <v>32</v>
      </c>
      <c r="AI33">
        <v>7</v>
      </c>
      <c r="AJ33">
        <v>7</v>
      </c>
      <c r="AK33">
        <v>6</v>
      </c>
      <c r="AL33">
        <v>7</v>
      </c>
      <c r="AM33" t="s">
        <v>32</v>
      </c>
      <c r="AN33" t="s">
        <v>32</v>
      </c>
      <c r="AO33" t="s">
        <v>32</v>
      </c>
      <c r="AP33" t="s">
        <v>32</v>
      </c>
      <c r="AQ33" t="s">
        <v>32</v>
      </c>
      <c r="AR33" t="s">
        <v>32</v>
      </c>
      <c r="AS33" t="s">
        <v>32</v>
      </c>
      <c r="AT33" s="210" t="s">
        <v>32</v>
      </c>
      <c r="AU33" t="s">
        <v>8</v>
      </c>
      <c r="AV33">
        <v>8</v>
      </c>
      <c r="AW33" s="11" t="s">
        <v>393</v>
      </c>
      <c r="AX33" s="78" t="s">
        <v>32</v>
      </c>
      <c r="AY33" s="210" t="s">
        <v>33</v>
      </c>
      <c r="AZ33" s="372" t="s">
        <v>529</v>
      </c>
      <c r="BA33" s="6">
        <f t="shared" si="2"/>
        <v>5.333333333333333</v>
      </c>
      <c r="BB33" s="9" t="str">
        <f t="shared" si="3"/>
        <v>Reg</v>
      </c>
      <c r="BC33" s="9">
        <f t="shared" si="4"/>
        <v>5.666666666666667</v>
      </c>
      <c r="BD33" s="9" t="str">
        <f t="shared" si="5"/>
        <v>Reg</v>
      </c>
      <c r="BE33" s="9">
        <f t="shared" si="6"/>
        <v>5.666666666666667</v>
      </c>
      <c r="BF33" s="9" t="str">
        <f t="shared" si="7"/>
        <v>Reg</v>
      </c>
      <c r="BG33" s="77">
        <f t="shared" si="8"/>
        <v>5</v>
      </c>
      <c r="BH33" s="76">
        <f t="shared" si="9"/>
        <v>4</v>
      </c>
      <c r="BI33" t="str">
        <f t="shared" si="10"/>
        <v/>
      </c>
      <c r="BJ33" s="306" t="e">
        <f>IF(Q33="-","-",VLOOKUP($A33,AMAPit!$A$10:$AY$122,BJ$9,FALSE)-Q33)</f>
        <v>#N/A</v>
      </c>
      <c r="BK33" s="306" t="e">
        <f>IF(R33="-","-",VLOOKUP($A33,AMAPit!$A$10:$AY$122,BK$9,FALSE)-R33)</f>
        <v>#N/A</v>
      </c>
      <c r="BL33" s="306" t="e">
        <f>IF(S33="-","-",VLOOKUP($A33,AMAPit!$A$10:$AY$122,BL$9,FALSE)-S33)</f>
        <v>#N/A</v>
      </c>
      <c r="BM33" s="306" t="e">
        <f>IF(T33="-","-",VLOOKUP($A33,AMAPit!$A$10:$AY$122,BM$9,FALSE)-T33)</f>
        <v>#N/A</v>
      </c>
      <c r="BN33" s="306" t="e">
        <f>IF(U33="-","-",VLOOKUP($A33,AMAPit!$A$10:$AY$122,BN$9,FALSE)-U33)</f>
        <v>#N/A</v>
      </c>
      <c r="BO33" s="306" t="e">
        <f>IF(V33="-","-",VLOOKUP($A33,AMAPit!$A$10:$AY$122,BO$9,FALSE)-V33)</f>
        <v>#N/A</v>
      </c>
      <c r="BP33" s="306" t="e">
        <f>IF(W33="-","-",VLOOKUP($A33,AMAPit!$A$10:$AY$122,BP$9,FALSE)-W33)</f>
        <v>#N/A</v>
      </c>
      <c r="BQ33" s="306" t="e">
        <f>IF(X33="-","-",VLOOKUP($A33,AMAPit!$A$10:$AY$122,BQ$9,FALSE)-X33)</f>
        <v>#N/A</v>
      </c>
      <c r="BR33" s="306" t="e">
        <f>IF(Y33="-","-",VLOOKUP($A33,AMAPit!$A$10:$AY$122,BR$9,FALSE)-Y33)</f>
        <v>#N/A</v>
      </c>
      <c r="BS33" s="306" t="e">
        <f>IF(Z33="-","-",VLOOKUP($A33,AMAPit!$A$10:$AY$122,BS$9,FALSE)-Z33)</f>
        <v>#N/A</v>
      </c>
      <c r="BT33" s="306" t="str">
        <f>IF(AA33="-","-",VLOOKUP($A33,AMAPit!$A$10:$AY$122,BT$9,FALSE)-AA33)</f>
        <v>-</v>
      </c>
      <c r="BU33" s="306" t="str">
        <f>IF(AB33="-","-",VLOOKUP($A33,AMAPit!$A$10:$AY$122,BU$9,FALSE)-AB33)</f>
        <v>-</v>
      </c>
      <c r="BV33" s="306" t="e">
        <f>IF(AC33="-","-",VLOOKUP($A33,AMAPit!$A$10:$AY$122,BV$9,FALSE)-AC33)</f>
        <v>#N/A</v>
      </c>
      <c r="BW33" s="306" t="e">
        <f>IF(AD33="-","-",VLOOKUP($A33,AMAPit!$A$10:$AY$122,BW$9,FALSE)-AD33)</f>
        <v>#N/A</v>
      </c>
      <c r="BX33" s="306" t="str">
        <f>IF(AE33="-","-",VLOOKUP($A33,AMAPit!$A$10:$AY$122,BX$9,FALSE)-AE33)</f>
        <v>-</v>
      </c>
      <c r="BY33" s="306" t="str">
        <f>IF(AF33="-","-",VLOOKUP($A33,AMAPit!$A$10:$AY$122,BY$9,FALSE)-AF33)</f>
        <v>-</v>
      </c>
      <c r="BZ33" s="306" t="str">
        <f>IF(AG33="-","-",VLOOKUP($A33,AMAPit!$A$10:$AY$122,BZ$9,FALSE)-AG33)</f>
        <v>-</v>
      </c>
      <c r="CA33" s="306" t="str">
        <f>IF(AH33="-","-",VLOOKUP($A33,AMAPit!$A$10:$AY$122,CA$9,FALSE)-AH33)</f>
        <v>-</v>
      </c>
      <c r="CB33" s="306" t="e">
        <f>IF(AI33="-","-",VLOOKUP($A33,AMAPit!$A$10:$AY$122,CB$9,FALSE)-AI33)</f>
        <v>#N/A</v>
      </c>
      <c r="CC33" s="306" t="e">
        <f>IF(AJ33="-","-",VLOOKUP($A33,AMAPit!$A$10:$AY$122,CC$9,FALSE)-AJ33)</f>
        <v>#N/A</v>
      </c>
      <c r="CD33" s="306" t="e">
        <f>IF(AK33="-","-",VLOOKUP($A33,AMAPit!$A$10:$AY$122,CD$9,FALSE)-AK33)</f>
        <v>#N/A</v>
      </c>
      <c r="CE33" s="306" t="e">
        <f>IF(AL33="-","-",VLOOKUP($A33,AMAPit!$A$10:$AY$122,CE$9,FALSE)-AL33)</f>
        <v>#N/A</v>
      </c>
      <c r="CF33" s="306" t="str">
        <f>IF(AM33="-","-",VLOOKUP($A33,AMAPit!$A$10:$AY$122,CF$9,FALSE)-AM33)</f>
        <v>-</v>
      </c>
      <c r="CG33" s="306" t="str">
        <f>IF(AN33="-","-",VLOOKUP($A33,AMAPit!$A$10:$AY$122,CG$9,FALSE)-AN33)</f>
        <v>-</v>
      </c>
      <c r="CH33" s="306" t="str">
        <f>IF(AO33="-","-",VLOOKUP($A33,AMAPit!$A$10:$AY$122,CH$9,FALSE)-AO33)</f>
        <v>-</v>
      </c>
      <c r="CI33" s="306" t="str">
        <f>IF(AP33="-","-",VLOOKUP($A33,AMAPit!$A$10:$AY$122,CI$9,FALSE)-AP33)</f>
        <v>-</v>
      </c>
      <c r="CJ33" s="306" t="str">
        <f>IF(AQ33="-","-",VLOOKUP($A33,AMAPit!$A$10:$AY$122,CJ$9,FALSE)-AQ33)</f>
        <v>-</v>
      </c>
      <c r="CK33" s="306" t="str">
        <f>IF(AR33="-","-",VLOOKUP($A33,AMAPit!$A$10:$AY$122,CK$9,FALSE)-AR33)</f>
        <v>-</v>
      </c>
      <c r="CL33" s="306" t="str">
        <f>IF(AS33="-","-",VLOOKUP($A33,AMAPit!$A$10:$AY$122,CL$9,FALSE)-AS33)</f>
        <v>-</v>
      </c>
      <c r="CM33" s="306" t="str">
        <f>IF(AT33="-","-",VLOOKUP($A33,AMAPit!$A$10:$AY$122,CM$9,FALSE)-AT33)</f>
        <v>-</v>
      </c>
      <c r="CN33" t="e">
        <f t="shared" si="11"/>
        <v>#N/A</v>
      </c>
    </row>
    <row r="34" spans="1:92" x14ac:dyDescent="0.25">
      <c r="A34" s="305" t="s">
        <v>553</v>
      </c>
      <c r="B34" s="305" t="s">
        <v>534</v>
      </c>
      <c r="C34" s="305"/>
      <c r="D34" s="305" t="s">
        <v>72</v>
      </c>
      <c r="E34" t="s">
        <v>87</v>
      </c>
      <c r="F34" t="s">
        <v>530</v>
      </c>
      <c r="G34" s="305" t="s">
        <v>472</v>
      </c>
      <c r="H34" t="s">
        <v>769</v>
      </c>
      <c r="I34" t="s">
        <v>186</v>
      </c>
      <c r="J34">
        <v>27</v>
      </c>
      <c r="K34" t="s">
        <v>83</v>
      </c>
      <c r="L34" s="210" t="s">
        <v>83</v>
      </c>
      <c r="M34" t="s">
        <v>808</v>
      </c>
      <c r="N34" t="s">
        <v>808</v>
      </c>
      <c r="O34" t="s">
        <v>200</v>
      </c>
      <c r="P34" s="210" t="s">
        <v>200</v>
      </c>
      <c r="Q34">
        <v>3</v>
      </c>
      <c r="R34">
        <v>3</v>
      </c>
      <c r="S34" s="210">
        <v>8</v>
      </c>
      <c r="T34">
        <v>4</v>
      </c>
      <c r="U34">
        <v>4</v>
      </c>
      <c r="V34" s="210">
        <v>8</v>
      </c>
      <c r="W34">
        <v>5</v>
      </c>
      <c r="X34">
        <v>6</v>
      </c>
      <c r="Y34">
        <v>1</v>
      </c>
      <c r="Z34">
        <v>1</v>
      </c>
      <c r="AA34" t="s">
        <v>32</v>
      </c>
      <c r="AB34" t="s">
        <v>32</v>
      </c>
      <c r="AC34">
        <v>3</v>
      </c>
      <c r="AD34">
        <v>4</v>
      </c>
      <c r="AE34" t="s">
        <v>32</v>
      </c>
      <c r="AF34" t="s">
        <v>32</v>
      </c>
      <c r="AG34" t="s">
        <v>32</v>
      </c>
      <c r="AH34" t="s">
        <v>32</v>
      </c>
      <c r="AI34" t="s">
        <v>32</v>
      </c>
      <c r="AJ34" t="s">
        <v>32</v>
      </c>
      <c r="AK34">
        <v>5</v>
      </c>
      <c r="AL34">
        <v>5</v>
      </c>
      <c r="AM34" t="s">
        <v>32</v>
      </c>
      <c r="AN34" t="s">
        <v>32</v>
      </c>
      <c r="AO34" t="s">
        <v>32</v>
      </c>
      <c r="AP34" t="s">
        <v>32</v>
      </c>
      <c r="AQ34" t="s">
        <v>32</v>
      </c>
      <c r="AR34" t="s">
        <v>32</v>
      </c>
      <c r="AS34" t="s">
        <v>32</v>
      </c>
      <c r="AT34" s="210" t="s">
        <v>32</v>
      </c>
      <c r="AU34" t="s">
        <v>397</v>
      </c>
      <c r="AV34">
        <v>5</v>
      </c>
      <c r="AW34" s="11" t="s">
        <v>40</v>
      </c>
      <c r="AX34" s="78">
        <v>510000</v>
      </c>
      <c r="AY34" s="210" t="s">
        <v>33</v>
      </c>
      <c r="AZ34" s="372" t="s">
        <v>529</v>
      </c>
      <c r="BA34" s="6">
        <f t="shared" si="2"/>
        <v>5.166666666666667</v>
      </c>
      <c r="BB34" s="9" t="str">
        <f t="shared" si="3"/>
        <v>Reg</v>
      </c>
      <c r="BC34" s="9">
        <f t="shared" si="4"/>
        <v>6.083333333333333</v>
      </c>
      <c r="BD34" s="9" t="str">
        <f t="shared" si="5"/>
        <v>Reg</v>
      </c>
      <c r="BE34" s="9">
        <f t="shared" si="6"/>
        <v>6.083333333333333</v>
      </c>
      <c r="BF34" s="9" t="str">
        <f t="shared" si="7"/>
        <v>Reg</v>
      </c>
      <c r="BG34" s="77">
        <f t="shared" si="8"/>
        <v>4</v>
      </c>
      <c r="BH34" s="76">
        <f t="shared" si="9"/>
        <v>0.5</v>
      </c>
      <c r="BI34" t="str">
        <f t="shared" si="10"/>
        <v/>
      </c>
      <c r="BJ34" s="306" t="e">
        <f>IF(Q34="-","-",VLOOKUP($A34,AMAPit!$A$10:$AY$122,BJ$9,FALSE)-Q34)</f>
        <v>#N/A</v>
      </c>
      <c r="BK34" s="306" t="e">
        <f>IF(R34="-","-",VLOOKUP($A34,AMAPit!$A$10:$AY$122,BK$9,FALSE)-R34)</f>
        <v>#N/A</v>
      </c>
      <c r="BL34" s="306" t="e">
        <f>IF(S34="-","-",VLOOKUP($A34,AMAPit!$A$10:$AY$122,BL$9,FALSE)-S34)</f>
        <v>#N/A</v>
      </c>
      <c r="BM34" s="306" t="e">
        <f>IF(T34="-","-",VLOOKUP($A34,AMAPit!$A$10:$AY$122,BM$9,FALSE)-T34)</f>
        <v>#N/A</v>
      </c>
      <c r="BN34" s="306" t="e">
        <f>IF(U34="-","-",VLOOKUP($A34,AMAPit!$A$10:$AY$122,BN$9,FALSE)-U34)</f>
        <v>#N/A</v>
      </c>
      <c r="BO34" s="306" t="e">
        <f>IF(V34="-","-",VLOOKUP($A34,AMAPit!$A$10:$AY$122,BO$9,FALSE)-V34)</f>
        <v>#N/A</v>
      </c>
      <c r="BP34" s="306" t="e">
        <f>IF(W34="-","-",VLOOKUP($A34,AMAPit!$A$10:$AY$122,BP$9,FALSE)-W34)</f>
        <v>#N/A</v>
      </c>
      <c r="BQ34" s="306" t="e">
        <f>IF(X34="-","-",VLOOKUP($A34,AMAPit!$A$10:$AY$122,BQ$9,FALSE)-X34)</f>
        <v>#N/A</v>
      </c>
      <c r="BR34" s="306" t="e">
        <f>IF(Y34="-","-",VLOOKUP($A34,AMAPit!$A$10:$AY$122,BR$9,FALSE)-Y34)</f>
        <v>#N/A</v>
      </c>
      <c r="BS34" s="306" t="e">
        <f>IF(Z34="-","-",VLOOKUP($A34,AMAPit!$A$10:$AY$122,BS$9,FALSE)-Z34)</f>
        <v>#N/A</v>
      </c>
      <c r="BT34" s="306" t="str">
        <f>IF(AA34="-","-",VLOOKUP($A34,AMAPit!$A$10:$AY$122,BT$9,FALSE)-AA34)</f>
        <v>-</v>
      </c>
      <c r="BU34" s="306" t="str">
        <f>IF(AB34="-","-",VLOOKUP($A34,AMAPit!$A$10:$AY$122,BU$9,FALSE)-AB34)</f>
        <v>-</v>
      </c>
      <c r="BV34" s="306" t="e">
        <f>IF(AC34="-","-",VLOOKUP($A34,AMAPit!$A$10:$AY$122,BV$9,FALSE)-AC34)</f>
        <v>#N/A</v>
      </c>
      <c r="BW34" s="306" t="e">
        <f>IF(AD34="-","-",VLOOKUP($A34,AMAPit!$A$10:$AY$122,BW$9,FALSE)-AD34)</f>
        <v>#N/A</v>
      </c>
      <c r="BX34" s="306" t="str">
        <f>IF(AE34="-","-",VLOOKUP($A34,AMAPit!$A$10:$AY$122,BX$9,FALSE)-AE34)</f>
        <v>-</v>
      </c>
      <c r="BY34" s="306" t="str">
        <f>IF(AF34="-","-",VLOOKUP($A34,AMAPit!$A$10:$AY$122,BY$9,FALSE)-AF34)</f>
        <v>-</v>
      </c>
      <c r="BZ34" s="306" t="str">
        <f>IF(AG34="-","-",VLOOKUP($A34,AMAPit!$A$10:$AY$122,BZ$9,FALSE)-AG34)</f>
        <v>-</v>
      </c>
      <c r="CA34" s="306" t="str">
        <f>IF(AH34="-","-",VLOOKUP($A34,AMAPit!$A$10:$AY$122,CA$9,FALSE)-AH34)</f>
        <v>-</v>
      </c>
      <c r="CB34" s="306" t="str">
        <f>IF(AI34="-","-",VLOOKUP($A34,AMAPit!$A$10:$AY$122,CB$9,FALSE)-AI34)</f>
        <v>-</v>
      </c>
      <c r="CC34" s="306" t="str">
        <f>IF(AJ34="-","-",VLOOKUP($A34,AMAPit!$A$10:$AY$122,CC$9,FALSE)-AJ34)</f>
        <v>-</v>
      </c>
      <c r="CD34" s="306" t="e">
        <f>IF(AK34="-","-",VLOOKUP($A34,AMAPit!$A$10:$AY$122,CD$9,FALSE)-AK34)</f>
        <v>#N/A</v>
      </c>
      <c r="CE34" s="306" t="e">
        <f>IF(AL34="-","-",VLOOKUP($A34,AMAPit!$A$10:$AY$122,CE$9,FALSE)-AL34)</f>
        <v>#N/A</v>
      </c>
      <c r="CF34" s="306" t="str">
        <f>IF(AM34="-","-",VLOOKUP($A34,AMAPit!$A$10:$AY$122,CF$9,FALSE)-AM34)</f>
        <v>-</v>
      </c>
      <c r="CG34" s="306" t="str">
        <f>IF(AN34="-","-",VLOOKUP($A34,AMAPit!$A$10:$AY$122,CG$9,FALSE)-AN34)</f>
        <v>-</v>
      </c>
      <c r="CH34" s="306" t="str">
        <f>IF(AO34="-","-",VLOOKUP($A34,AMAPit!$A$10:$AY$122,CH$9,FALSE)-AO34)</f>
        <v>-</v>
      </c>
      <c r="CI34" s="306" t="str">
        <f>IF(AP34="-","-",VLOOKUP($A34,AMAPit!$A$10:$AY$122,CI$9,FALSE)-AP34)</f>
        <v>-</v>
      </c>
      <c r="CJ34" s="306" t="str">
        <f>IF(AQ34="-","-",VLOOKUP($A34,AMAPit!$A$10:$AY$122,CJ$9,FALSE)-AQ34)</f>
        <v>-</v>
      </c>
      <c r="CK34" s="306" t="str">
        <f>IF(AR34="-","-",VLOOKUP($A34,AMAPit!$A$10:$AY$122,CK$9,FALSE)-AR34)</f>
        <v>-</v>
      </c>
      <c r="CL34" s="306" t="str">
        <f>IF(AS34="-","-",VLOOKUP($A34,AMAPit!$A$10:$AY$122,CL$9,FALSE)-AS34)</f>
        <v>-</v>
      </c>
      <c r="CM34" s="306" t="str">
        <f>IF(AT34="-","-",VLOOKUP($A34,AMAPit!$A$10:$AY$122,CM$9,FALSE)-AT34)</f>
        <v>-</v>
      </c>
      <c r="CN34" t="e">
        <f t="shared" si="11"/>
        <v>#N/A</v>
      </c>
    </row>
    <row r="35" spans="1:92" x14ac:dyDescent="0.25">
      <c r="A35" s="305" t="s">
        <v>554</v>
      </c>
      <c r="B35" s="305" t="s">
        <v>534</v>
      </c>
      <c r="C35" s="305"/>
      <c r="D35" s="305" t="s">
        <v>81</v>
      </c>
      <c r="E35" t="s">
        <v>11</v>
      </c>
      <c r="F35" t="s">
        <v>953</v>
      </c>
      <c r="G35" s="305" t="s">
        <v>954</v>
      </c>
      <c r="H35" t="s">
        <v>769</v>
      </c>
      <c r="I35" t="s">
        <v>186</v>
      </c>
      <c r="J35">
        <v>26</v>
      </c>
      <c r="K35" t="s">
        <v>83</v>
      </c>
      <c r="L35" s="210" t="s">
        <v>83</v>
      </c>
      <c r="M35" t="s">
        <v>816</v>
      </c>
      <c r="N35" t="s">
        <v>803</v>
      </c>
      <c r="O35" t="s">
        <v>201</v>
      </c>
      <c r="P35" s="210" t="s">
        <v>200</v>
      </c>
      <c r="Q35">
        <v>4</v>
      </c>
      <c r="R35">
        <v>6</v>
      </c>
      <c r="S35" s="210">
        <v>4</v>
      </c>
      <c r="T35">
        <v>4</v>
      </c>
      <c r="U35">
        <v>7</v>
      </c>
      <c r="V35" s="210">
        <v>4</v>
      </c>
      <c r="W35">
        <v>5</v>
      </c>
      <c r="X35">
        <v>5</v>
      </c>
      <c r="Y35">
        <v>1</v>
      </c>
      <c r="Z35">
        <v>1</v>
      </c>
      <c r="AA35" t="s">
        <v>32</v>
      </c>
      <c r="AB35" t="s">
        <v>32</v>
      </c>
      <c r="AC35" t="s">
        <v>32</v>
      </c>
      <c r="AD35" t="s">
        <v>32</v>
      </c>
      <c r="AE35">
        <v>6</v>
      </c>
      <c r="AF35">
        <v>6</v>
      </c>
      <c r="AG35" t="s">
        <v>32</v>
      </c>
      <c r="AH35" t="s">
        <v>32</v>
      </c>
      <c r="AI35" t="s">
        <v>32</v>
      </c>
      <c r="AJ35" t="s">
        <v>32</v>
      </c>
      <c r="AK35" t="s">
        <v>32</v>
      </c>
      <c r="AL35" t="s">
        <v>32</v>
      </c>
      <c r="AM35" t="s">
        <v>32</v>
      </c>
      <c r="AN35" t="s">
        <v>32</v>
      </c>
      <c r="AO35" t="s">
        <v>32</v>
      </c>
      <c r="AP35" t="s">
        <v>32</v>
      </c>
      <c r="AQ35" t="s">
        <v>32</v>
      </c>
      <c r="AR35" t="s">
        <v>32</v>
      </c>
      <c r="AS35" t="s">
        <v>32</v>
      </c>
      <c r="AT35" s="210" t="s">
        <v>32</v>
      </c>
      <c r="AU35" t="s">
        <v>5</v>
      </c>
      <c r="AV35">
        <v>2</v>
      </c>
      <c r="AW35" s="11" t="s">
        <v>394</v>
      </c>
      <c r="AX35" s="78" t="s">
        <v>32</v>
      </c>
      <c r="AY35" s="210" t="s">
        <v>33</v>
      </c>
      <c r="AZ35" s="372" t="s">
        <v>529</v>
      </c>
      <c r="BA35" s="6">
        <f t="shared" si="2"/>
        <v>5.166666666666667</v>
      </c>
      <c r="BB35" s="9" t="str">
        <f t="shared" si="3"/>
        <v>Reg</v>
      </c>
      <c r="BC35" s="9">
        <f t="shared" si="4"/>
        <v>5.5</v>
      </c>
      <c r="BD35" s="9" t="str">
        <f t="shared" si="5"/>
        <v>Reg</v>
      </c>
      <c r="BE35" s="9">
        <f t="shared" si="6"/>
        <v>5.5</v>
      </c>
      <c r="BF35" s="9" t="str">
        <f t="shared" si="7"/>
        <v>Reg</v>
      </c>
      <c r="BG35" s="77">
        <f t="shared" si="8"/>
        <v>3</v>
      </c>
      <c r="BH35" s="76">
        <f t="shared" si="9"/>
        <v>1</v>
      </c>
      <c r="BI35" t="str">
        <f t="shared" si="10"/>
        <v/>
      </c>
      <c r="BJ35" s="306" t="e">
        <f>IF(Q35="-","-",VLOOKUP($A35,AMAPit!$A$10:$AY$122,BJ$9,FALSE)-Q35)</f>
        <v>#N/A</v>
      </c>
      <c r="BK35" s="306" t="e">
        <f>IF(R35="-","-",VLOOKUP($A35,AMAPit!$A$10:$AY$122,BK$9,FALSE)-R35)</f>
        <v>#N/A</v>
      </c>
      <c r="BL35" s="306" t="e">
        <f>IF(S35="-","-",VLOOKUP($A35,AMAPit!$A$10:$AY$122,BL$9,FALSE)-S35)</f>
        <v>#N/A</v>
      </c>
      <c r="BM35" s="306" t="e">
        <f>IF(T35="-","-",VLOOKUP($A35,AMAPit!$A$10:$AY$122,BM$9,FALSE)-T35)</f>
        <v>#N/A</v>
      </c>
      <c r="BN35" s="306" t="e">
        <f>IF(U35="-","-",VLOOKUP($A35,AMAPit!$A$10:$AY$122,BN$9,FALSE)-U35)</f>
        <v>#N/A</v>
      </c>
      <c r="BO35" s="306" t="e">
        <f>IF(V35="-","-",VLOOKUP($A35,AMAPit!$A$10:$AY$122,BO$9,FALSE)-V35)</f>
        <v>#N/A</v>
      </c>
      <c r="BP35" s="306" t="e">
        <f>IF(W35="-","-",VLOOKUP($A35,AMAPit!$A$10:$AY$122,BP$9,FALSE)-W35)</f>
        <v>#N/A</v>
      </c>
      <c r="BQ35" s="306" t="e">
        <f>IF(X35="-","-",VLOOKUP($A35,AMAPit!$A$10:$AY$122,BQ$9,FALSE)-X35)</f>
        <v>#N/A</v>
      </c>
      <c r="BR35" s="306" t="e">
        <f>IF(Y35="-","-",VLOOKUP($A35,AMAPit!$A$10:$AY$122,BR$9,FALSE)-Y35)</f>
        <v>#N/A</v>
      </c>
      <c r="BS35" s="306" t="e">
        <f>IF(Z35="-","-",VLOOKUP($A35,AMAPit!$A$10:$AY$122,BS$9,FALSE)-Z35)</f>
        <v>#N/A</v>
      </c>
      <c r="BT35" s="306" t="str">
        <f>IF(AA35="-","-",VLOOKUP($A35,AMAPit!$A$10:$AY$122,BT$9,FALSE)-AA35)</f>
        <v>-</v>
      </c>
      <c r="BU35" s="306" t="str">
        <f>IF(AB35="-","-",VLOOKUP($A35,AMAPit!$A$10:$AY$122,BU$9,FALSE)-AB35)</f>
        <v>-</v>
      </c>
      <c r="BV35" s="306" t="str">
        <f>IF(AC35="-","-",VLOOKUP($A35,AMAPit!$A$10:$AY$122,BV$9,FALSE)-AC35)</f>
        <v>-</v>
      </c>
      <c r="BW35" s="306" t="str">
        <f>IF(AD35="-","-",VLOOKUP($A35,AMAPit!$A$10:$AY$122,BW$9,FALSE)-AD35)</f>
        <v>-</v>
      </c>
      <c r="BX35" s="306" t="e">
        <f>IF(AE35="-","-",VLOOKUP($A35,AMAPit!$A$10:$AY$122,BX$9,FALSE)-AE35)</f>
        <v>#N/A</v>
      </c>
      <c r="BY35" s="306" t="e">
        <f>IF(AF35="-","-",VLOOKUP($A35,AMAPit!$A$10:$AY$122,BY$9,FALSE)-AF35)</f>
        <v>#N/A</v>
      </c>
      <c r="BZ35" s="306" t="str">
        <f>IF(AG35="-","-",VLOOKUP($A35,AMAPit!$A$10:$AY$122,BZ$9,FALSE)-AG35)</f>
        <v>-</v>
      </c>
      <c r="CA35" s="306" t="str">
        <f>IF(AH35="-","-",VLOOKUP($A35,AMAPit!$A$10:$AY$122,CA$9,FALSE)-AH35)</f>
        <v>-</v>
      </c>
      <c r="CB35" s="306" t="str">
        <f>IF(AI35="-","-",VLOOKUP($A35,AMAPit!$A$10:$AY$122,CB$9,FALSE)-AI35)</f>
        <v>-</v>
      </c>
      <c r="CC35" s="306" t="str">
        <f>IF(AJ35="-","-",VLOOKUP($A35,AMAPit!$A$10:$AY$122,CC$9,FALSE)-AJ35)</f>
        <v>-</v>
      </c>
      <c r="CD35" s="306" t="str">
        <f>IF(AK35="-","-",VLOOKUP($A35,AMAPit!$A$10:$AY$122,CD$9,FALSE)-AK35)</f>
        <v>-</v>
      </c>
      <c r="CE35" s="306" t="str">
        <f>IF(AL35="-","-",VLOOKUP($A35,AMAPit!$A$10:$AY$122,CE$9,FALSE)-AL35)</f>
        <v>-</v>
      </c>
      <c r="CF35" s="306" t="str">
        <f>IF(AM35="-","-",VLOOKUP($A35,AMAPit!$A$10:$AY$122,CF$9,FALSE)-AM35)</f>
        <v>-</v>
      </c>
      <c r="CG35" s="306" t="str">
        <f>IF(AN35="-","-",VLOOKUP($A35,AMAPit!$A$10:$AY$122,CG$9,FALSE)-AN35)</f>
        <v>-</v>
      </c>
      <c r="CH35" s="306" t="str">
        <f>IF(AO35="-","-",VLOOKUP($A35,AMAPit!$A$10:$AY$122,CH$9,FALSE)-AO35)</f>
        <v>-</v>
      </c>
      <c r="CI35" s="306" t="str">
        <f>IF(AP35="-","-",VLOOKUP($A35,AMAPit!$A$10:$AY$122,CI$9,FALSE)-AP35)</f>
        <v>-</v>
      </c>
      <c r="CJ35" s="306" t="str">
        <f>IF(AQ35="-","-",VLOOKUP($A35,AMAPit!$A$10:$AY$122,CJ$9,FALSE)-AQ35)</f>
        <v>-</v>
      </c>
      <c r="CK35" s="306" t="str">
        <f>IF(AR35="-","-",VLOOKUP($A35,AMAPit!$A$10:$AY$122,CK$9,FALSE)-AR35)</f>
        <v>-</v>
      </c>
      <c r="CL35" s="306" t="str">
        <f>IF(AS35="-","-",VLOOKUP($A35,AMAPit!$A$10:$AY$122,CL$9,FALSE)-AS35)</f>
        <v>-</v>
      </c>
      <c r="CM35" s="306" t="str">
        <f>IF(AT35="-","-",VLOOKUP($A35,AMAPit!$A$10:$AY$122,CM$9,FALSE)-AT35)</f>
        <v>-</v>
      </c>
      <c r="CN35" t="e">
        <f t="shared" si="11"/>
        <v>#N/A</v>
      </c>
    </row>
    <row r="36" spans="1:92" x14ac:dyDescent="0.25">
      <c r="A36" s="305" t="s">
        <v>510</v>
      </c>
      <c r="B36" s="305" t="s">
        <v>186</v>
      </c>
      <c r="C36" s="305"/>
      <c r="D36" s="305" t="s">
        <v>72</v>
      </c>
      <c r="E36" t="s">
        <v>11</v>
      </c>
      <c r="F36" t="s">
        <v>416</v>
      </c>
      <c r="G36" s="305" t="s">
        <v>941</v>
      </c>
      <c r="H36" t="s">
        <v>769</v>
      </c>
      <c r="I36" t="s">
        <v>186</v>
      </c>
      <c r="J36">
        <v>23</v>
      </c>
      <c r="K36" t="s">
        <v>83</v>
      </c>
      <c r="L36" s="210" t="s">
        <v>83</v>
      </c>
      <c r="M36" t="s">
        <v>803</v>
      </c>
      <c r="N36" t="s">
        <v>808</v>
      </c>
      <c r="O36" t="s">
        <v>201</v>
      </c>
      <c r="P36" s="210" t="s">
        <v>200</v>
      </c>
      <c r="Q36">
        <v>9</v>
      </c>
      <c r="R36">
        <v>3</v>
      </c>
      <c r="S36" s="210">
        <v>2</v>
      </c>
      <c r="T36">
        <v>9</v>
      </c>
      <c r="U36">
        <v>3</v>
      </c>
      <c r="V36" s="210">
        <v>2</v>
      </c>
      <c r="W36">
        <v>9</v>
      </c>
      <c r="X36">
        <v>9</v>
      </c>
      <c r="Y36">
        <v>9</v>
      </c>
      <c r="Z36">
        <v>10</v>
      </c>
      <c r="AA36" t="s">
        <v>32</v>
      </c>
      <c r="AB36" t="s">
        <v>32</v>
      </c>
      <c r="AC36">
        <v>4</v>
      </c>
      <c r="AD36">
        <v>7</v>
      </c>
      <c r="AE36" t="s">
        <v>32</v>
      </c>
      <c r="AF36" t="s">
        <v>32</v>
      </c>
      <c r="AG36" t="s">
        <v>32</v>
      </c>
      <c r="AH36" t="s">
        <v>32</v>
      </c>
      <c r="AI36" t="s">
        <v>32</v>
      </c>
      <c r="AJ36" t="s">
        <v>32</v>
      </c>
      <c r="AK36" t="s">
        <v>32</v>
      </c>
      <c r="AL36" t="s">
        <v>32</v>
      </c>
      <c r="AM36" t="s">
        <v>32</v>
      </c>
      <c r="AN36" t="s">
        <v>32</v>
      </c>
      <c r="AO36" t="s">
        <v>32</v>
      </c>
      <c r="AP36" t="s">
        <v>32</v>
      </c>
      <c r="AQ36" t="s">
        <v>32</v>
      </c>
      <c r="AR36" t="s">
        <v>32</v>
      </c>
      <c r="AS36" t="s">
        <v>32</v>
      </c>
      <c r="AT36" s="210" t="s">
        <v>32</v>
      </c>
      <c r="AU36" t="s">
        <v>6</v>
      </c>
      <c r="AV36">
        <v>7</v>
      </c>
      <c r="AW36" s="11" t="s">
        <v>393</v>
      </c>
      <c r="AX36" s="78">
        <v>510000</v>
      </c>
      <c r="AY36" s="210" t="s">
        <v>33</v>
      </c>
      <c r="AZ36" s="372" t="s">
        <v>529</v>
      </c>
      <c r="BA36" s="6">
        <f t="shared" si="2"/>
        <v>5.166666666666667</v>
      </c>
      <c r="BB36" s="9" t="str">
        <f t="shared" si="3"/>
        <v>Reg</v>
      </c>
      <c r="BC36" s="9">
        <f t="shared" si="4"/>
        <v>5.166666666666667</v>
      </c>
      <c r="BD36" s="9" t="str">
        <f t="shared" si="5"/>
        <v>Reg</v>
      </c>
      <c r="BE36" s="9">
        <f t="shared" si="6"/>
        <v>5.166666666666667</v>
      </c>
      <c r="BF36" s="9" t="str">
        <f t="shared" si="7"/>
        <v>Reg</v>
      </c>
      <c r="BG36" s="77">
        <f t="shared" si="8"/>
        <v>3</v>
      </c>
      <c r="BH36" s="76">
        <f t="shared" si="9"/>
        <v>2.5</v>
      </c>
      <c r="BI36" t="str">
        <f t="shared" si="10"/>
        <v/>
      </c>
      <c r="BJ36" s="306" t="e">
        <f>IF(Q36="-","-",VLOOKUP($A36,AMAPit!$A$10:$AY$122,BJ$9,FALSE)-Q36)</f>
        <v>#N/A</v>
      </c>
      <c r="BK36" s="306" t="e">
        <f>IF(R36="-","-",VLOOKUP($A36,AMAPit!$A$10:$AY$122,BK$9,FALSE)-R36)</f>
        <v>#N/A</v>
      </c>
      <c r="BL36" s="306" t="e">
        <f>IF(S36="-","-",VLOOKUP($A36,AMAPit!$A$10:$AY$122,BL$9,FALSE)-S36)</f>
        <v>#N/A</v>
      </c>
      <c r="BM36" s="306" t="e">
        <f>IF(T36="-","-",VLOOKUP($A36,AMAPit!$A$10:$AY$122,BM$9,FALSE)-T36)</f>
        <v>#N/A</v>
      </c>
      <c r="BN36" s="306" t="e">
        <f>IF(U36="-","-",VLOOKUP($A36,AMAPit!$A$10:$AY$122,BN$9,FALSE)-U36)</f>
        <v>#N/A</v>
      </c>
      <c r="BO36" s="306" t="e">
        <f>IF(V36="-","-",VLOOKUP($A36,AMAPit!$A$10:$AY$122,BO$9,FALSE)-V36)</f>
        <v>#N/A</v>
      </c>
      <c r="BP36" s="306" t="e">
        <f>IF(W36="-","-",VLOOKUP($A36,AMAPit!$A$10:$AY$122,BP$9,FALSE)-W36)</f>
        <v>#N/A</v>
      </c>
      <c r="BQ36" s="306" t="e">
        <f>IF(X36="-","-",VLOOKUP($A36,AMAPit!$A$10:$AY$122,BQ$9,FALSE)-X36)</f>
        <v>#N/A</v>
      </c>
      <c r="BR36" s="306" t="e">
        <f>IF(Y36="-","-",VLOOKUP($A36,AMAPit!$A$10:$AY$122,BR$9,FALSE)-Y36)</f>
        <v>#N/A</v>
      </c>
      <c r="BS36" s="306" t="e">
        <f>IF(Z36="-","-",VLOOKUP($A36,AMAPit!$A$10:$AY$122,BS$9,FALSE)-Z36)</f>
        <v>#N/A</v>
      </c>
      <c r="BT36" s="306" t="str">
        <f>IF(AA36="-","-",VLOOKUP($A36,AMAPit!$A$10:$AY$122,BT$9,FALSE)-AA36)</f>
        <v>-</v>
      </c>
      <c r="BU36" s="306" t="str">
        <f>IF(AB36="-","-",VLOOKUP($A36,AMAPit!$A$10:$AY$122,BU$9,FALSE)-AB36)</f>
        <v>-</v>
      </c>
      <c r="BV36" s="306" t="e">
        <f>IF(AC36="-","-",VLOOKUP($A36,AMAPit!$A$10:$AY$122,BV$9,FALSE)-AC36)</f>
        <v>#N/A</v>
      </c>
      <c r="BW36" s="306" t="e">
        <f>IF(AD36="-","-",VLOOKUP($A36,AMAPit!$A$10:$AY$122,BW$9,FALSE)-AD36)</f>
        <v>#N/A</v>
      </c>
      <c r="BX36" s="306" t="str">
        <f>IF(AE36="-","-",VLOOKUP($A36,AMAPit!$A$10:$AY$122,BX$9,FALSE)-AE36)</f>
        <v>-</v>
      </c>
      <c r="BY36" s="306" t="str">
        <f>IF(AF36="-","-",VLOOKUP($A36,AMAPit!$A$10:$AY$122,BY$9,FALSE)-AF36)</f>
        <v>-</v>
      </c>
      <c r="BZ36" s="306" t="str">
        <f>IF(AG36="-","-",VLOOKUP($A36,AMAPit!$A$10:$AY$122,BZ$9,FALSE)-AG36)</f>
        <v>-</v>
      </c>
      <c r="CA36" s="306" t="str">
        <f>IF(AH36="-","-",VLOOKUP($A36,AMAPit!$A$10:$AY$122,CA$9,FALSE)-AH36)</f>
        <v>-</v>
      </c>
      <c r="CB36" s="306" t="str">
        <f>IF(AI36="-","-",VLOOKUP($A36,AMAPit!$A$10:$AY$122,CB$9,FALSE)-AI36)</f>
        <v>-</v>
      </c>
      <c r="CC36" s="306" t="str">
        <f>IF(AJ36="-","-",VLOOKUP($A36,AMAPit!$A$10:$AY$122,CC$9,FALSE)-AJ36)</f>
        <v>-</v>
      </c>
      <c r="CD36" s="306" t="str">
        <f>IF(AK36="-","-",VLOOKUP($A36,AMAPit!$A$10:$AY$122,CD$9,FALSE)-AK36)</f>
        <v>-</v>
      </c>
      <c r="CE36" s="306" t="str">
        <f>IF(AL36="-","-",VLOOKUP($A36,AMAPit!$A$10:$AY$122,CE$9,FALSE)-AL36)</f>
        <v>-</v>
      </c>
      <c r="CF36" s="306" t="str">
        <f>IF(AM36="-","-",VLOOKUP($A36,AMAPit!$A$10:$AY$122,CF$9,FALSE)-AM36)</f>
        <v>-</v>
      </c>
      <c r="CG36" s="306" t="str">
        <f>IF(AN36="-","-",VLOOKUP($A36,AMAPit!$A$10:$AY$122,CG$9,FALSE)-AN36)</f>
        <v>-</v>
      </c>
      <c r="CH36" s="306" t="str">
        <f>IF(AO36="-","-",VLOOKUP($A36,AMAPit!$A$10:$AY$122,CH$9,FALSE)-AO36)</f>
        <v>-</v>
      </c>
      <c r="CI36" s="306" t="str">
        <f>IF(AP36="-","-",VLOOKUP($A36,AMAPit!$A$10:$AY$122,CI$9,FALSE)-AP36)</f>
        <v>-</v>
      </c>
      <c r="CJ36" s="306" t="str">
        <f>IF(AQ36="-","-",VLOOKUP($A36,AMAPit!$A$10:$AY$122,CJ$9,FALSE)-AQ36)</f>
        <v>-</v>
      </c>
      <c r="CK36" s="306" t="str">
        <f>IF(AR36="-","-",VLOOKUP($A36,AMAPit!$A$10:$AY$122,CK$9,FALSE)-AR36)</f>
        <v>-</v>
      </c>
      <c r="CL36" s="306" t="str">
        <f>IF(AS36="-","-",VLOOKUP($A36,AMAPit!$A$10:$AY$122,CL$9,FALSE)-AS36)</f>
        <v>-</v>
      </c>
      <c r="CM36" s="306" t="str">
        <f>IF(AT36="-","-",VLOOKUP($A36,AMAPit!$A$10:$AY$122,CM$9,FALSE)-AT36)</f>
        <v>-</v>
      </c>
      <c r="CN36" t="e">
        <f t="shared" si="11"/>
        <v>#N/A</v>
      </c>
    </row>
    <row r="37" spans="1:92" x14ac:dyDescent="0.25">
      <c r="A37" s="305" t="s">
        <v>509</v>
      </c>
      <c r="B37" s="305" t="s">
        <v>184</v>
      </c>
      <c r="C37" s="305"/>
      <c r="D37" s="305" t="s">
        <v>81</v>
      </c>
      <c r="E37" t="s">
        <v>11</v>
      </c>
      <c r="F37" t="s">
        <v>947</v>
      </c>
      <c r="G37" s="305" t="s">
        <v>948</v>
      </c>
      <c r="H37" t="s">
        <v>783</v>
      </c>
      <c r="I37" t="s">
        <v>185</v>
      </c>
      <c r="J37">
        <v>30</v>
      </c>
      <c r="K37" t="s">
        <v>83</v>
      </c>
      <c r="L37" s="210" t="s">
        <v>83</v>
      </c>
      <c r="M37" t="s">
        <v>816</v>
      </c>
      <c r="N37" t="s">
        <v>816</v>
      </c>
      <c r="O37" t="s">
        <v>199</v>
      </c>
      <c r="P37" s="210" t="s">
        <v>200</v>
      </c>
      <c r="Q37">
        <v>5</v>
      </c>
      <c r="R37">
        <v>1</v>
      </c>
      <c r="S37" s="210">
        <v>8</v>
      </c>
      <c r="T37">
        <v>5</v>
      </c>
      <c r="U37">
        <v>1</v>
      </c>
      <c r="V37" s="210">
        <v>8</v>
      </c>
      <c r="W37">
        <v>6</v>
      </c>
      <c r="X37">
        <v>6</v>
      </c>
      <c r="Y37">
        <v>3</v>
      </c>
      <c r="Z37">
        <v>3</v>
      </c>
      <c r="AA37" t="s">
        <v>32</v>
      </c>
      <c r="AB37" t="s">
        <v>32</v>
      </c>
      <c r="AC37">
        <v>7</v>
      </c>
      <c r="AD37">
        <v>7</v>
      </c>
      <c r="AE37" t="s">
        <v>32</v>
      </c>
      <c r="AF37" t="s">
        <v>32</v>
      </c>
      <c r="AG37" t="s">
        <v>32</v>
      </c>
      <c r="AH37" t="s">
        <v>32</v>
      </c>
      <c r="AI37" t="s">
        <v>32</v>
      </c>
      <c r="AJ37" t="s">
        <v>32</v>
      </c>
      <c r="AK37" t="s">
        <v>32</v>
      </c>
      <c r="AL37" t="s">
        <v>32</v>
      </c>
      <c r="AM37" t="s">
        <v>32</v>
      </c>
      <c r="AN37" t="s">
        <v>32</v>
      </c>
      <c r="AO37" t="s">
        <v>32</v>
      </c>
      <c r="AP37" t="s">
        <v>32</v>
      </c>
      <c r="AQ37" t="s">
        <v>32</v>
      </c>
      <c r="AR37" t="s">
        <v>32</v>
      </c>
      <c r="AS37" t="s">
        <v>32</v>
      </c>
      <c r="AT37" s="210" t="s">
        <v>32</v>
      </c>
      <c r="AU37" t="s">
        <v>6</v>
      </c>
      <c r="AV37">
        <v>8</v>
      </c>
      <c r="AW37" s="11" t="s">
        <v>395</v>
      </c>
      <c r="AX37" s="78" t="s">
        <v>32</v>
      </c>
      <c r="AY37" s="210" t="s">
        <v>33</v>
      </c>
      <c r="AZ37" s="372" t="s">
        <v>529</v>
      </c>
      <c r="BA37" s="6">
        <f t="shared" si="2"/>
        <v>5.166666666666667</v>
      </c>
      <c r="BB37" s="9" t="str">
        <f t="shared" si="3"/>
        <v>Reg</v>
      </c>
      <c r="BC37" s="9">
        <f t="shared" si="4"/>
        <v>5.166666666666667</v>
      </c>
      <c r="BD37" s="9" t="str">
        <f t="shared" si="5"/>
        <v>Reg</v>
      </c>
      <c r="BE37" s="9">
        <f t="shared" si="6"/>
        <v>5.166666666666667</v>
      </c>
      <c r="BF37" s="9" t="str">
        <f t="shared" si="7"/>
        <v>Reg</v>
      </c>
      <c r="BG37" s="77">
        <f t="shared" si="8"/>
        <v>3</v>
      </c>
      <c r="BH37" s="76">
        <f t="shared" si="9"/>
        <v>2</v>
      </c>
      <c r="BI37" t="str">
        <f t="shared" si="10"/>
        <v/>
      </c>
      <c r="BJ37" s="306" t="e">
        <f>IF(Q37="-","-",VLOOKUP($A37,AMAPit!$A$10:$AY$122,BJ$9,FALSE)-Q37)</f>
        <v>#N/A</v>
      </c>
      <c r="BK37" s="306" t="e">
        <f>IF(R37="-","-",VLOOKUP($A37,AMAPit!$A$10:$AY$122,BK$9,FALSE)-R37)</f>
        <v>#N/A</v>
      </c>
      <c r="BL37" s="306" t="e">
        <f>IF(S37="-","-",VLOOKUP($A37,AMAPit!$A$10:$AY$122,BL$9,FALSE)-S37)</f>
        <v>#N/A</v>
      </c>
      <c r="BM37" s="306" t="e">
        <f>IF(T37="-","-",VLOOKUP($A37,AMAPit!$A$10:$AY$122,BM$9,FALSE)-T37)</f>
        <v>#N/A</v>
      </c>
      <c r="BN37" s="306" t="e">
        <f>IF(U37="-","-",VLOOKUP($A37,AMAPit!$A$10:$AY$122,BN$9,FALSE)-U37)</f>
        <v>#N/A</v>
      </c>
      <c r="BO37" s="306" t="e">
        <f>IF(V37="-","-",VLOOKUP($A37,AMAPit!$A$10:$AY$122,BO$9,FALSE)-V37)</f>
        <v>#N/A</v>
      </c>
      <c r="BP37" s="306" t="e">
        <f>IF(W37="-","-",VLOOKUP($A37,AMAPit!$A$10:$AY$122,BP$9,FALSE)-W37)</f>
        <v>#N/A</v>
      </c>
      <c r="BQ37" s="306" t="e">
        <f>IF(X37="-","-",VLOOKUP($A37,AMAPit!$A$10:$AY$122,BQ$9,FALSE)-X37)</f>
        <v>#N/A</v>
      </c>
      <c r="BR37" s="306" t="e">
        <f>IF(Y37="-","-",VLOOKUP($A37,AMAPit!$A$10:$AY$122,BR$9,FALSE)-Y37)</f>
        <v>#N/A</v>
      </c>
      <c r="BS37" s="306" t="e">
        <f>IF(Z37="-","-",VLOOKUP($A37,AMAPit!$A$10:$AY$122,BS$9,FALSE)-Z37)</f>
        <v>#N/A</v>
      </c>
      <c r="BT37" s="306" t="str">
        <f>IF(AA37="-","-",VLOOKUP($A37,AMAPit!$A$10:$AY$122,BT$9,FALSE)-AA37)</f>
        <v>-</v>
      </c>
      <c r="BU37" s="306" t="str">
        <f>IF(AB37="-","-",VLOOKUP($A37,AMAPit!$A$10:$AY$122,BU$9,FALSE)-AB37)</f>
        <v>-</v>
      </c>
      <c r="BV37" s="306" t="e">
        <f>IF(AC37="-","-",VLOOKUP($A37,AMAPit!$A$10:$AY$122,BV$9,FALSE)-AC37)</f>
        <v>#N/A</v>
      </c>
      <c r="BW37" s="306" t="e">
        <f>IF(AD37="-","-",VLOOKUP($A37,AMAPit!$A$10:$AY$122,BW$9,FALSE)-AD37)</f>
        <v>#N/A</v>
      </c>
      <c r="BX37" s="306" t="str">
        <f>IF(AE37="-","-",VLOOKUP($A37,AMAPit!$A$10:$AY$122,BX$9,FALSE)-AE37)</f>
        <v>-</v>
      </c>
      <c r="BY37" s="306" t="str">
        <f>IF(AF37="-","-",VLOOKUP($A37,AMAPit!$A$10:$AY$122,BY$9,FALSE)-AF37)</f>
        <v>-</v>
      </c>
      <c r="BZ37" s="306" t="str">
        <f>IF(AG37="-","-",VLOOKUP($A37,AMAPit!$A$10:$AY$122,BZ$9,FALSE)-AG37)</f>
        <v>-</v>
      </c>
      <c r="CA37" s="306" t="str">
        <f>IF(AH37="-","-",VLOOKUP($A37,AMAPit!$A$10:$AY$122,CA$9,FALSE)-AH37)</f>
        <v>-</v>
      </c>
      <c r="CB37" s="306" t="str">
        <f>IF(AI37="-","-",VLOOKUP($A37,AMAPit!$A$10:$AY$122,CB$9,FALSE)-AI37)</f>
        <v>-</v>
      </c>
      <c r="CC37" s="306" t="str">
        <f>IF(AJ37="-","-",VLOOKUP($A37,AMAPit!$A$10:$AY$122,CC$9,FALSE)-AJ37)</f>
        <v>-</v>
      </c>
      <c r="CD37" s="306" t="str">
        <f>IF(AK37="-","-",VLOOKUP($A37,AMAPit!$A$10:$AY$122,CD$9,FALSE)-AK37)</f>
        <v>-</v>
      </c>
      <c r="CE37" s="306" t="str">
        <f>IF(AL37="-","-",VLOOKUP($A37,AMAPit!$A$10:$AY$122,CE$9,FALSE)-AL37)</f>
        <v>-</v>
      </c>
      <c r="CF37" s="306" t="str">
        <f>IF(AM37="-","-",VLOOKUP($A37,AMAPit!$A$10:$AY$122,CF$9,FALSE)-AM37)</f>
        <v>-</v>
      </c>
      <c r="CG37" s="306" t="str">
        <f>IF(AN37="-","-",VLOOKUP($A37,AMAPit!$A$10:$AY$122,CG$9,FALSE)-AN37)</f>
        <v>-</v>
      </c>
      <c r="CH37" s="306" t="str">
        <f>IF(AO37="-","-",VLOOKUP($A37,AMAPit!$A$10:$AY$122,CH$9,FALSE)-AO37)</f>
        <v>-</v>
      </c>
      <c r="CI37" s="306" t="str">
        <f>IF(AP37="-","-",VLOOKUP($A37,AMAPit!$A$10:$AY$122,CI$9,FALSE)-AP37)</f>
        <v>-</v>
      </c>
      <c r="CJ37" s="306" t="str">
        <f>IF(AQ37="-","-",VLOOKUP($A37,AMAPit!$A$10:$AY$122,CJ$9,FALSE)-AQ37)</f>
        <v>-</v>
      </c>
      <c r="CK37" s="306" t="str">
        <f>IF(AR37="-","-",VLOOKUP($A37,AMAPit!$A$10:$AY$122,CK$9,FALSE)-AR37)</f>
        <v>-</v>
      </c>
      <c r="CL37" s="306" t="str">
        <f>IF(AS37="-","-",VLOOKUP($A37,AMAPit!$A$10:$AY$122,CL$9,FALSE)-AS37)</f>
        <v>-</v>
      </c>
      <c r="CM37" s="306" t="str">
        <f>IF(AT37="-","-",VLOOKUP($A37,AMAPit!$A$10:$AY$122,CM$9,FALSE)-AT37)</f>
        <v>-</v>
      </c>
      <c r="CN37" t="e">
        <f t="shared" si="11"/>
        <v>#N/A</v>
      </c>
    </row>
    <row r="38" spans="1:92" x14ac:dyDescent="0.25">
      <c r="A38" s="305" t="s">
        <v>555</v>
      </c>
      <c r="B38" s="305" t="s">
        <v>534</v>
      </c>
      <c r="C38" s="305"/>
      <c r="D38" s="305" t="s">
        <v>72</v>
      </c>
      <c r="E38" t="s">
        <v>87</v>
      </c>
      <c r="F38" t="s">
        <v>1144</v>
      </c>
      <c r="G38" s="305" t="s">
        <v>1145</v>
      </c>
      <c r="H38" t="s">
        <v>814</v>
      </c>
      <c r="I38" t="s">
        <v>187</v>
      </c>
      <c r="J38">
        <v>21</v>
      </c>
      <c r="K38" t="s">
        <v>82</v>
      </c>
      <c r="L38" s="210" t="s">
        <v>82</v>
      </c>
      <c r="M38" t="s">
        <v>773</v>
      </c>
      <c r="N38" t="s">
        <v>768</v>
      </c>
      <c r="O38" t="s">
        <v>200</v>
      </c>
      <c r="P38" s="210" t="s">
        <v>200</v>
      </c>
      <c r="Q38">
        <v>7</v>
      </c>
      <c r="R38">
        <v>2</v>
      </c>
      <c r="S38" s="210">
        <v>4</v>
      </c>
      <c r="T38">
        <v>8</v>
      </c>
      <c r="U38">
        <v>3</v>
      </c>
      <c r="V38" s="210">
        <v>7</v>
      </c>
      <c r="W38">
        <v>8</v>
      </c>
      <c r="X38">
        <v>9</v>
      </c>
      <c r="Y38" t="s">
        <v>32</v>
      </c>
      <c r="Z38" t="s">
        <v>32</v>
      </c>
      <c r="AA38" t="s">
        <v>32</v>
      </c>
      <c r="AB38" t="s">
        <v>32</v>
      </c>
      <c r="AC38">
        <v>5</v>
      </c>
      <c r="AD38">
        <v>8</v>
      </c>
      <c r="AE38" t="s">
        <v>32</v>
      </c>
      <c r="AF38" t="s">
        <v>32</v>
      </c>
      <c r="AG38">
        <v>4</v>
      </c>
      <c r="AH38">
        <v>5</v>
      </c>
      <c r="AI38" t="s">
        <v>32</v>
      </c>
      <c r="AJ38" t="s">
        <v>32</v>
      </c>
      <c r="AK38" t="s">
        <v>32</v>
      </c>
      <c r="AL38" t="s">
        <v>32</v>
      </c>
      <c r="AM38">
        <v>9</v>
      </c>
      <c r="AN38">
        <v>10</v>
      </c>
      <c r="AO38" t="s">
        <v>32</v>
      </c>
      <c r="AP38" t="s">
        <v>32</v>
      </c>
      <c r="AQ38" t="s">
        <v>32</v>
      </c>
      <c r="AR38" t="s">
        <v>32</v>
      </c>
      <c r="AS38" t="s">
        <v>32</v>
      </c>
      <c r="AT38" s="210" t="s">
        <v>32</v>
      </c>
      <c r="AU38" t="s">
        <v>209</v>
      </c>
      <c r="AV38">
        <v>6</v>
      </c>
      <c r="AW38" s="11" t="s">
        <v>393</v>
      </c>
      <c r="AX38" s="78" t="s">
        <v>32</v>
      </c>
      <c r="AY38" s="210" t="s">
        <v>33</v>
      </c>
      <c r="AZ38" s="372" t="s">
        <v>529</v>
      </c>
      <c r="BA38" s="6">
        <f t="shared" si="2"/>
        <v>5.083333333333333</v>
      </c>
      <c r="BB38" s="9" t="str">
        <f t="shared" si="3"/>
        <v>Reg</v>
      </c>
      <c r="BC38" s="9">
        <f t="shared" si="4"/>
        <v>6.75</v>
      </c>
      <c r="BD38" s="9" t="str">
        <f t="shared" si="5"/>
        <v>GoodReg</v>
      </c>
      <c r="BE38" s="9">
        <f t="shared" si="6"/>
        <v>6.75</v>
      </c>
      <c r="BF38" s="9" t="str">
        <f t="shared" si="7"/>
        <v>GoodReg</v>
      </c>
      <c r="BG38" s="77">
        <f t="shared" si="8"/>
        <v>4</v>
      </c>
      <c r="BH38" s="76">
        <f t="shared" si="9"/>
        <v>2.5</v>
      </c>
      <c r="BI38" t="str">
        <f t="shared" si="10"/>
        <v/>
      </c>
      <c r="BJ38" s="306" t="e">
        <f>IF(Q38="-","-",VLOOKUP($A38,AMAPit!$A$10:$AY$122,BJ$9,FALSE)-Q38)</f>
        <v>#N/A</v>
      </c>
      <c r="BK38" s="306" t="e">
        <f>IF(R38="-","-",VLOOKUP($A38,AMAPit!$A$10:$AY$122,BK$9,FALSE)-R38)</f>
        <v>#N/A</v>
      </c>
      <c r="BL38" s="306" t="e">
        <f>IF(S38="-","-",VLOOKUP($A38,AMAPit!$A$10:$AY$122,BL$9,FALSE)-S38)</f>
        <v>#N/A</v>
      </c>
      <c r="BM38" s="306" t="e">
        <f>IF(T38="-","-",VLOOKUP($A38,AMAPit!$A$10:$AY$122,BM$9,FALSE)-T38)</f>
        <v>#N/A</v>
      </c>
      <c r="BN38" s="306" t="e">
        <f>IF(U38="-","-",VLOOKUP($A38,AMAPit!$A$10:$AY$122,BN$9,FALSE)-U38)</f>
        <v>#N/A</v>
      </c>
      <c r="BO38" s="306" t="e">
        <f>IF(V38="-","-",VLOOKUP($A38,AMAPit!$A$10:$AY$122,BO$9,FALSE)-V38)</f>
        <v>#N/A</v>
      </c>
      <c r="BP38" s="306" t="e">
        <f>IF(W38="-","-",VLOOKUP($A38,AMAPit!$A$10:$AY$122,BP$9,FALSE)-W38)</f>
        <v>#N/A</v>
      </c>
      <c r="BQ38" s="306" t="e">
        <f>IF(X38="-","-",VLOOKUP($A38,AMAPit!$A$10:$AY$122,BQ$9,FALSE)-X38)</f>
        <v>#N/A</v>
      </c>
      <c r="BR38" s="306" t="str">
        <f>IF(Y38="-","-",VLOOKUP($A38,AMAPit!$A$10:$AY$122,BR$9,FALSE)-Y38)</f>
        <v>-</v>
      </c>
      <c r="BS38" s="306" t="str">
        <f>IF(Z38="-","-",VLOOKUP($A38,AMAPit!$A$10:$AY$122,BS$9,FALSE)-Z38)</f>
        <v>-</v>
      </c>
      <c r="BT38" s="306" t="str">
        <f>IF(AA38="-","-",VLOOKUP($A38,AMAPit!$A$10:$AY$122,BT$9,FALSE)-AA38)</f>
        <v>-</v>
      </c>
      <c r="BU38" s="306" t="str">
        <f>IF(AB38="-","-",VLOOKUP($A38,AMAPit!$A$10:$AY$122,BU$9,FALSE)-AB38)</f>
        <v>-</v>
      </c>
      <c r="BV38" s="306" t="e">
        <f>IF(AC38="-","-",VLOOKUP($A38,AMAPit!$A$10:$AY$122,BV$9,FALSE)-AC38)</f>
        <v>#N/A</v>
      </c>
      <c r="BW38" s="306" t="e">
        <f>IF(AD38="-","-",VLOOKUP($A38,AMAPit!$A$10:$AY$122,BW$9,FALSE)-AD38)</f>
        <v>#N/A</v>
      </c>
      <c r="BX38" s="306" t="str">
        <f>IF(AE38="-","-",VLOOKUP($A38,AMAPit!$A$10:$AY$122,BX$9,FALSE)-AE38)</f>
        <v>-</v>
      </c>
      <c r="BY38" s="306" t="str">
        <f>IF(AF38="-","-",VLOOKUP($A38,AMAPit!$A$10:$AY$122,BY$9,FALSE)-AF38)</f>
        <v>-</v>
      </c>
      <c r="BZ38" s="306" t="e">
        <f>IF(AG38="-","-",VLOOKUP($A38,AMAPit!$A$10:$AY$122,BZ$9,FALSE)-AG38)</f>
        <v>#N/A</v>
      </c>
      <c r="CA38" s="306" t="e">
        <f>IF(AH38="-","-",VLOOKUP($A38,AMAPit!$A$10:$AY$122,CA$9,FALSE)-AH38)</f>
        <v>#N/A</v>
      </c>
      <c r="CB38" s="306" t="str">
        <f>IF(AI38="-","-",VLOOKUP($A38,AMAPit!$A$10:$AY$122,CB$9,FALSE)-AI38)</f>
        <v>-</v>
      </c>
      <c r="CC38" s="306" t="str">
        <f>IF(AJ38="-","-",VLOOKUP($A38,AMAPit!$A$10:$AY$122,CC$9,FALSE)-AJ38)</f>
        <v>-</v>
      </c>
      <c r="CD38" s="306" t="str">
        <f>IF(AK38="-","-",VLOOKUP($A38,AMAPit!$A$10:$AY$122,CD$9,FALSE)-AK38)</f>
        <v>-</v>
      </c>
      <c r="CE38" s="306" t="str">
        <f>IF(AL38="-","-",VLOOKUP($A38,AMAPit!$A$10:$AY$122,CE$9,FALSE)-AL38)</f>
        <v>-</v>
      </c>
      <c r="CF38" s="306" t="e">
        <f>IF(AM38="-","-",VLOOKUP($A38,AMAPit!$A$10:$AY$122,CF$9,FALSE)-AM38)</f>
        <v>#N/A</v>
      </c>
      <c r="CG38" s="306" t="e">
        <f>IF(AN38="-","-",VLOOKUP($A38,AMAPit!$A$10:$AY$122,CG$9,FALSE)-AN38)</f>
        <v>#N/A</v>
      </c>
      <c r="CH38" s="306" t="str">
        <f>IF(AO38="-","-",VLOOKUP($A38,AMAPit!$A$10:$AY$122,CH$9,FALSE)-AO38)</f>
        <v>-</v>
      </c>
      <c r="CI38" s="306" t="str">
        <f>IF(AP38="-","-",VLOOKUP($A38,AMAPit!$A$10:$AY$122,CI$9,FALSE)-AP38)</f>
        <v>-</v>
      </c>
      <c r="CJ38" s="306" t="str">
        <f>IF(AQ38="-","-",VLOOKUP($A38,AMAPit!$A$10:$AY$122,CJ$9,FALSE)-AQ38)</f>
        <v>-</v>
      </c>
      <c r="CK38" s="306" t="str">
        <f>IF(AR38="-","-",VLOOKUP($A38,AMAPit!$A$10:$AY$122,CK$9,FALSE)-AR38)</f>
        <v>-</v>
      </c>
      <c r="CL38" s="306" t="str">
        <f>IF(AS38="-","-",VLOOKUP($A38,AMAPit!$A$10:$AY$122,CL$9,FALSE)-AS38)</f>
        <v>-</v>
      </c>
      <c r="CM38" s="306" t="str">
        <f>IF(AT38="-","-",VLOOKUP($A38,AMAPit!$A$10:$AY$122,CM$9,FALSE)-AT38)</f>
        <v>-</v>
      </c>
      <c r="CN38" t="e">
        <f t="shared" si="11"/>
        <v>#N/A</v>
      </c>
    </row>
    <row r="39" spans="1:92" x14ac:dyDescent="0.25">
      <c r="A39" s="305" t="s">
        <v>533</v>
      </c>
      <c r="B39" s="305"/>
      <c r="C39" s="305"/>
      <c r="D39" s="305" t="s">
        <v>72</v>
      </c>
      <c r="E39" t="s">
        <v>87</v>
      </c>
      <c r="F39" t="s">
        <v>868</v>
      </c>
      <c r="G39" s="305" t="s">
        <v>725</v>
      </c>
      <c r="H39" t="s">
        <v>783</v>
      </c>
      <c r="I39" t="s">
        <v>185</v>
      </c>
      <c r="J39">
        <v>26</v>
      </c>
      <c r="K39" t="s">
        <v>82</v>
      </c>
      <c r="L39" s="210" t="s">
        <v>82</v>
      </c>
      <c r="M39" t="s">
        <v>808</v>
      </c>
      <c r="N39" t="s">
        <v>764</v>
      </c>
      <c r="O39" t="s">
        <v>199</v>
      </c>
      <c r="P39" s="210" t="s">
        <v>199</v>
      </c>
      <c r="Q39">
        <v>5</v>
      </c>
      <c r="R39">
        <v>5</v>
      </c>
      <c r="S39" s="210">
        <v>3</v>
      </c>
      <c r="T39">
        <v>6</v>
      </c>
      <c r="U39">
        <v>5</v>
      </c>
      <c r="V39" s="210">
        <v>4</v>
      </c>
      <c r="W39">
        <v>5</v>
      </c>
      <c r="X39">
        <v>5</v>
      </c>
      <c r="Y39">
        <v>6</v>
      </c>
      <c r="Z39">
        <v>8</v>
      </c>
      <c r="AA39">
        <v>7</v>
      </c>
      <c r="AB39">
        <v>7</v>
      </c>
      <c r="AC39">
        <v>7</v>
      </c>
      <c r="AD39">
        <v>7</v>
      </c>
      <c r="AE39" t="s">
        <v>32</v>
      </c>
      <c r="AF39" t="s">
        <v>32</v>
      </c>
      <c r="AG39" t="s">
        <v>32</v>
      </c>
      <c r="AH39" t="s">
        <v>32</v>
      </c>
      <c r="AI39" t="s">
        <v>32</v>
      </c>
      <c r="AJ39" t="s">
        <v>32</v>
      </c>
      <c r="AK39" t="s">
        <v>32</v>
      </c>
      <c r="AL39" t="s">
        <v>32</v>
      </c>
      <c r="AM39" t="s">
        <v>32</v>
      </c>
      <c r="AN39" t="s">
        <v>32</v>
      </c>
      <c r="AO39" t="s">
        <v>32</v>
      </c>
      <c r="AP39" t="s">
        <v>32</v>
      </c>
      <c r="AQ39" t="s">
        <v>32</v>
      </c>
      <c r="AR39" t="s">
        <v>32</v>
      </c>
      <c r="AS39" t="s">
        <v>32</v>
      </c>
      <c r="AT39" s="210" t="s">
        <v>32</v>
      </c>
      <c r="AU39" t="s">
        <v>6</v>
      </c>
      <c r="AV39">
        <v>10</v>
      </c>
      <c r="AW39" s="11" t="s">
        <v>394</v>
      </c>
      <c r="AX39" s="78">
        <v>510000</v>
      </c>
      <c r="AY39" s="210" t="s">
        <v>33</v>
      </c>
      <c r="AZ39" s="372" t="s">
        <v>199</v>
      </c>
      <c r="BA39" s="6">
        <f t="shared" si="2"/>
        <v>5.083333333333333</v>
      </c>
      <c r="BB39" s="9" t="str">
        <f t="shared" si="3"/>
        <v>Reg</v>
      </c>
      <c r="BC39" s="9">
        <f t="shared" si="4"/>
        <v>5.75</v>
      </c>
      <c r="BD39" s="9" t="str">
        <f t="shared" si="5"/>
        <v>Reg</v>
      </c>
      <c r="BE39" s="9">
        <f t="shared" si="6"/>
        <v>5.75</v>
      </c>
      <c r="BF39" s="9" t="str">
        <f t="shared" si="7"/>
        <v>Reg</v>
      </c>
      <c r="BG39" s="77">
        <f t="shared" si="8"/>
        <v>4</v>
      </c>
      <c r="BH39" s="76">
        <f t="shared" si="9"/>
        <v>3</v>
      </c>
      <c r="BI39" t="str">
        <f t="shared" si="10"/>
        <v/>
      </c>
      <c r="BJ39" s="306" t="e">
        <f>IF(Q39="-","-",VLOOKUP($A39,AMAPit!$A$10:$AY$122,BJ$9,FALSE)-Q39)</f>
        <v>#N/A</v>
      </c>
      <c r="BK39" s="306" t="e">
        <f>IF(R39="-","-",VLOOKUP($A39,AMAPit!$A$10:$AY$122,BK$9,FALSE)-R39)</f>
        <v>#N/A</v>
      </c>
      <c r="BL39" s="306" t="e">
        <f>IF(S39="-","-",VLOOKUP($A39,AMAPit!$A$10:$AY$122,BL$9,FALSE)-S39)</f>
        <v>#N/A</v>
      </c>
      <c r="BM39" s="306" t="e">
        <f>IF(T39="-","-",VLOOKUP($A39,AMAPit!$A$10:$AY$122,BM$9,FALSE)-T39)</f>
        <v>#N/A</v>
      </c>
      <c r="BN39" s="306" t="e">
        <f>IF(U39="-","-",VLOOKUP($A39,AMAPit!$A$10:$AY$122,BN$9,FALSE)-U39)</f>
        <v>#N/A</v>
      </c>
      <c r="BO39" s="306" t="e">
        <f>IF(V39="-","-",VLOOKUP($A39,AMAPit!$A$10:$AY$122,BO$9,FALSE)-V39)</f>
        <v>#N/A</v>
      </c>
      <c r="BP39" s="306" t="e">
        <f>IF(W39="-","-",VLOOKUP($A39,AMAPit!$A$10:$AY$122,BP$9,FALSE)-W39)</f>
        <v>#N/A</v>
      </c>
      <c r="BQ39" s="306" t="e">
        <f>IF(X39="-","-",VLOOKUP($A39,AMAPit!$A$10:$AY$122,BQ$9,FALSE)-X39)</f>
        <v>#N/A</v>
      </c>
      <c r="BR39" s="306" t="e">
        <f>IF(Y39="-","-",VLOOKUP($A39,AMAPit!$A$10:$AY$122,BR$9,FALSE)-Y39)</f>
        <v>#N/A</v>
      </c>
      <c r="BS39" s="306" t="e">
        <f>IF(Z39="-","-",VLOOKUP($A39,AMAPit!$A$10:$AY$122,BS$9,FALSE)-Z39)</f>
        <v>#N/A</v>
      </c>
      <c r="BT39" s="306" t="e">
        <f>IF(AA39="-","-",VLOOKUP($A39,AMAPit!$A$10:$AY$122,BT$9,FALSE)-AA39)</f>
        <v>#N/A</v>
      </c>
      <c r="BU39" s="306" t="e">
        <f>IF(AB39="-","-",VLOOKUP($A39,AMAPit!$A$10:$AY$122,BU$9,FALSE)-AB39)</f>
        <v>#N/A</v>
      </c>
      <c r="BV39" s="306" t="e">
        <f>IF(AC39="-","-",VLOOKUP($A39,AMAPit!$A$10:$AY$122,BV$9,FALSE)-AC39)</f>
        <v>#N/A</v>
      </c>
      <c r="BW39" s="306" t="e">
        <f>IF(AD39="-","-",VLOOKUP($A39,AMAPit!$A$10:$AY$122,BW$9,FALSE)-AD39)</f>
        <v>#N/A</v>
      </c>
      <c r="BX39" s="306" t="str">
        <f>IF(AE39="-","-",VLOOKUP($A39,AMAPit!$A$10:$AY$122,BX$9,FALSE)-AE39)</f>
        <v>-</v>
      </c>
      <c r="BY39" s="306" t="str">
        <f>IF(AF39="-","-",VLOOKUP($A39,AMAPit!$A$10:$AY$122,BY$9,FALSE)-AF39)</f>
        <v>-</v>
      </c>
      <c r="BZ39" s="306" t="str">
        <f>IF(AG39="-","-",VLOOKUP($A39,AMAPit!$A$10:$AY$122,BZ$9,FALSE)-AG39)</f>
        <v>-</v>
      </c>
      <c r="CA39" s="306" t="str">
        <f>IF(AH39="-","-",VLOOKUP($A39,AMAPit!$A$10:$AY$122,CA$9,FALSE)-AH39)</f>
        <v>-</v>
      </c>
      <c r="CB39" s="306" t="str">
        <f>IF(AI39="-","-",VLOOKUP($A39,AMAPit!$A$10:$AY$122,CB$9,FALSE)-AI39)</f>
        <v>-</v>
      </c>
      <c r="CC39" s="306" t="str">
        <f>IF(AJ39="-","-",VLOOKUP($A39,AMAPit!$A$10:$AY$122,CC$9,FALSE)-AJ39)</f>
        <v>-</v>
      </c>
      <c r="CD39" s="306" t="str">
        <f>IF(AK39="-","-",VLOOKUP($A39,AMAPit!$A$10:$AY$122,CD$9,FALSE)-AK39)</f>
        <v>-</v>
      </c>
      <c r="CE39" s="306" t="str">
        <f>IF(AL39="-","-",VLOOKUP($A39,AMAPit!$A$10:$AY$122,CE$9,FALSE)-AL39)</f>
        <v>-</v>
      </c>
      <c r="CF39" s="306" t="str">
        <f>IF(AM39="-","-",VLOOKUP($A39,AMAPit!$A$10:$AY$122,CF$9,FALSE)-AM39)</f>
        <v>-</v>
      </c>
      <c r="CG39" s="306" t="str">
        <f>IF(AN39="-","-",VLOOKUP($A39,AMAPit!$A$10:$AY$122,CG$9,FALSE)-AN39)</f>
        <v>-</v>
      </c>
      <c r="CH39" s="306" t="str">
        <f>IF(AO39="-","-",VLOOKUP($A39,AMAPit!$A$10:$AY$122,CH$9,FALSE)-AO39)</f>
        <v>-</v>
      </c>
      <c r="CI39" s="306" t="str">
        <f>IF(AP39="-","-",VLOOKUP($A39,AMAPit!$A$10:$AY$122,CI$9,FALSE)-AP39)</f>
        <v>-</v>
      </c>
      <c r="CJ39" s="306" t="str">
        <f>IF(AQ39="-","-",VLOOKUP($A39,AMAPit!$A$10:$AY$122,CJ$9,FALSE)-AQ39)</f>
        <v>-</v>
      </c>
      <c r="CK39" s="306" t="str">
        <f>IF(AR39="-","-",VLOOKUP($A39,AMAPit!$A$10:$AY$122,CK$9,FALSE)-AR39)</f>
        <v>-</v>
      </c>
      <c r="CL39" s="306" t="str">
        <f>IF(AS39="-","-",VLOOKUP($A39,AMAPit!$A$10:$AY$122,CL$9,FALSE)-AS39)</f>
        <v>-</v>
      </c>
      <c r="CM39" s="306" t="str">
        <f>IF(AT39="-","-",VLOOKUP($A39,AMAPit!$A$10:$AY$122,CM$9,FALSE)-AT39)</f>
        <v>-</v>
      </c>
      <c r="CN39" t="e">
        <f t="shared" si="11"/>
        <v>#N/A</v>
      </c>
    </row>
    <row r="40" spans="1:92" x14ac:dyDescent="0.25">
      <c r="A40" s="305" t="s">
        <v>479</v>
      </c>
      <c r="B40" s="305" t="s">
        <v>185</v>
      </c>
      <c r="C40" s="305"/>
      <c r="D40" s="305" t="s">
        <v>81</v>
      </c>
      <c r="E40" t="s">
        <v>11</v>
      </c>
      <c r="F40" t="s">
        <v>791</v>
      </c>
      <c r="G40" s="305" t="s">
        <v>522</v>
      </c>
      <c r="H40" t="s">
        <v>783</v>
      </c>
      <c r="I40" t="s">
        <v>185</v>
      </c>
      <c r="J40">
        <v>36</v>
      </c>
      <c r="K40" t="s">
        <v>83</v>
      </c>
      <c r="L40" s="210" t="s">
        <v>83</v>
      </c>
      <c r="M40" t="s">
        <v>803</v>
      </c>
      <c r="N40" t="s">
        <v>803</v>
      </c>
      <c r="O40" t="s">
        <v>201</v>
      </c>
      <c r="P40" s="210" t="s">
        <v>200</v>
      </c>
      <c r="Q40">
        <v>2</v>
      </c>
      <c r="R40">
        <v>5</v>
      </c>
      <c r="S40" s="210">
        <v>7</v>
      </c>
      <c r="T40">
        <v>2</v>
      </c>
      <c r="U40">
        <v>5</v>
      </c>
      <c r="V40" s="210">
        <v>7</v>
      </c>
      <c r="W40">
        <v>4</v>
      </c>
      <c r="X40">
        <v>4</v>
      </c>
      <c r="Y40" t="s">
        <v>32</v>
      </c>
      <c r="Z40" t="s">
        <v>32</v>
      </c>
      <c r="AA40">
        <v>3</v>
      </c>
      <c r="AB40">
        <v>3</v>
      </c>
      <c r="AC40" t="s">
        <v>32</v>
      </c>
      <c r="AD40" t="s">
        <v>32</v>
      </c>
      <c r="AE40" t="s">
        <v>32</v>
      </c>
      <c r="AF40" t="s">
        <v>32</v>
      </c>
      <c r="AG40" t="s">
        <v>32</v>
      </c>
      <c r="AH40" t="s">
        <v>32</v>
      </c>
      <c r="AI40" t="s">
        <v>32</v>
      </c>
      <c r="AJ40" t="s">
        <v>32</v>
      </c>
      <c r="AK40" t="s">
        <v>32</v>
      </c>
      <c r="AL40" t="s">
        <v>32</v>
      </c>
      <c r="AM40" t="s">
        <v>32</v>
      </c>
      <c r="AN40" t="s">
        <v>32</v>
      </c>
      <c r="AO40" t="s">
        <v>32</v>
      </c>
      <c r="AP40" t="s">
        <v>32</v>
      </c>
      <c r="AQ40" t="s">
        <v>32</v>
      </c>
      <c r="AR40" t="s">
        <v>32</v>
      </c>
      <c r="AS40" t="s">
        <v>32</v>
      </c>
      <c r="AT40" s="210" t="s">
        <v>32</v>
      </c>
      <c r="AU40" t="s">
        <v>713</v>
      </c>
      <c r="AV40">
        <v>6</v>
      </c>
      <c r="AW40" s="11" t="s">
        <v>490</v>
      </c>
      <c r="AX40" s="78" t="s">
        <v>32</v>
      </c>
      <c r="AY40" s="210">
        <v>1</v>
      </c>
      <c r="AZ40" s="372" t="s">
        <v>529</v>
      </c>
      <c r="BA40" s="6">
        <f t="shared" si="2"/>
        <v>4.916666666666667</v>
      </c>
      <c r="BB40" s="9" t="str">
        <f t="shared" si="3"/>
        <v>Bench</v>
      </c>
      <c r="BC40" s="9">
        <f t="shared" si="4"/>
        <v>4.916666666666667</v>
      </c>
      <c r="BD40" s="9" t="str">
        <f t="shared" si="5"/>
        <v>Bench</v>
      </c>
      <c r="BE40" s="9">
        <f t="shared" si="6"/>
        <v>4.916666666666667</v>
      </c>
      <c r="BF40" s="9" t="str">
        <f t="shared" si="7"/>
        <v>Bench</v>
      </c>
      <c r="BG40" s="77">
        <f t="shared" si="8"/>
        <v>2</v>
      </c>
      <c r="BH40" s="76">
        <f t="shared" si="9"/>
        <v>0</v>
      </c>
      <c r="BI40" t="str">
        <f t="shared" si="10"/>
        <v>Yes</v>
      </c>
      <c r="BJ40" s="306" t="e">
        <f>IF(Q40="-","-",VLOOKUP($A40,AMAPit!$A$10:$AY$122,BJ$9,FALSE)-Q40)</f>
        <v>#N/A</v>
      </c>
      <c r="BK40" s="306" t="e">
        <f>IF(R40="-","-",VLOOKUP($A40,AMAPit!$A$10:$AY$122,BK$9,FALSE)-R40)</f>
        <v>#N/A</v>
      </c>
      <c r="BL40" s="306" t="e">
        <f>IF(S40="-","-",VLOOKUP($A40,AMAPit!$A$10:$AY$122,BL$9,FALSE)-S40)</f>
        <v>#N/A</v>
      </c>
      <c r="BM40" s="306" t="e">
        <f>IF(T40="-","-",VLOOKUP($A40,AMAPit!$A$10:$AY$122,BM$9,FALSE)-T40)</f>
        <v>#N/A</v>
      </c>
      <c r="BN40" s="306" t="e">
        <f>IF(U40="-","-",VLOOKUP($A40,AMAPit!$A$10:$AY$122,BN$9,FALSE)-U40)</f>
        <v>#N/A</v>
      </c>
      <c r="BO40" s="306" t="e">
        <f>IF(V40="-","-",VLOOKUP($A40,AMAPit!$A$10:$AY$122,BO$9,FALSE)-V40)</f>
        <v>#N/A</v>
      </c>
      <c r="BP40" s="306" t="e">
        <f>IF(W40="-","-",VLOOKUP($A40,AMAPit!$A$10:$AY$122,BP$9,FALSE)-W40)</f>
        <v>#N/A</v>
      </c>
      <c r="BQ40" s="306" t="e">
        <f>IF(X40="-","-",VLOOKUP($A40,AMAPit!$A$10:$AY$122,BQ$9,FALSE)-X40)</f>
        <v>#N/A</v>
      </c>
      <c r="BR40" s="306" t="str">
        <f>IF(Y40="-","-",VLOOKUP($A40,AMAPit!$A$10:$AY$122,BR$9,FALSE)-Y40)</f>
        <v>-</v>
      </c>
      <c r="BS40" s="306" t="str">
        <f>IF(Z40="-","-",VLOOKUP($A40,AMAPit!$A$10:$AY$122,BS$9,FALSE)-Z40)</f>
        <v>-</v>
      </c>
      <c r="BT40" s="306" t="e">
        <f>IF(AA40="-","-",VLOOKUP($A40,AMAPit!$A$10:$AY$122,BT$9,FALSE)-AA40)</f>
        <v>#N/A</v>
      </c>
      <c r="BU40" s="306" t="e">
        <f>IF(AB40="-","-",VLOOKUP($A40,AMAPit!$A$10:$AY$122,BU$9,FALSE)-AB40)</f>
        <v>#N/A</v>
      </c>
      <c r="BV40" s="306" t="str">
        <f>IF(AC40="-","-",VLOOKUP($A40,AMAPit!$A$10:$AY$122,BV$9,FALSE)-AC40)</f>
        <v>-</v>
      </c>
      <c r="BW40" s="306" t="str">
        <f>IF(AD40="-","-",VLOOKUP($A40,AMAPit!$A$10:$AY$122,BW$9,FALSE)-AD40)</f>
        <v>-</v>
      </c>
      <c r="BX40" s="306" t="str">
        <f>IF(AE40="-","-",VLOOKUP($A40,AMAPit!$A$10:$AY$122,BX$9,FALSE)-AE40)</f>
        <v>-</v>
      </c>
      <c r="BY40" s="306" t="str">
        <f>IF(AF40="-","-",VLOOKUP($A40,AMAPit!$A$10:$AY$122,BY$9,FALSE)-AF40)</f>
        <v>-</v>
      </c>
      <c r="BZ40" s="306" t="str">
        <f>IF(AG40="-","-",VLOOKUP($A40,AMAPit!$A$10:$AY$122,BZ$9,FALSE)-AG40)</f>
        <v>-</v>
      </c>
      <c r="CA40" s="306" t="str">
        <f>IF(AH40="-","-",VLOOKUP($A40,AMAPit!$A$10:$AY$122,CA$9,FALSE)-AH40)</f>
        <v>-</v>
      </c>
      <c r="CB40" s="306" t="str">
        <f>IF(AI40="-","-",VLOOKUP($A40,AMAPit!$A$10:$AY$122,CB$9,FALSE)-AI40)</f>
        <v>-</v>
      </c>
      <c r="CC40" s="306" t="str">
        <f>IF(AJ40="-","-",VLOOKUP($A40,AMAPit!$A$10:$AY$122,CC$9,FALSE)-AJ40)</f>
        <v>-</v>
      </c>
      <c r="CD40" s="306" t="str">
        <f>IF(AK40="-","-",VLOOKUP($A40,AMAPit!$A$10:$AY$122,CD$9,FALSE)-AK40)</f>
        <v>-</v>
      </c>
      <c r="CE40" s="306" t="str">
        <f>IF(AL40="-","-",VLOOKUP($A40,AMAPit!$A$10:$AY$122,CE$9,FALSE)-AL40)</f>
        <v>-</v>
      </c>
      <c r="CF40" s="306" t="str">
        <f>IF(AM40="-","-",VLOOKUP($A40,AMAPit!$A$10:$AY$122,CF$9,FALSE)-AM40)</f>
        <v>-</v>
      </c>
      <c r="CG40" s="306" t="str">
        <f>IF(AN40="-","-",VLOOKUP($A40,AMAPit!$A$10:$AY$122,CG$9,FALSE)-AN40)</f>
        <v>-</v>
      </c>
      <c r="CH40" s="306" t="str">
        <f>IF(AO40="-","-",VLOOKUP($A40,AMAPit!$A$10:$AY$122,CH$9,FALSE)-AO40)</f>
        <v>-</v>
      </c>
      <c r="CI40" s="306" t="str">
        <f>IF(AP40="-","-",VLOOKUP($A40,AMAPit!$A$10:$AY$122,CI$9,FALSE)-AP40)</f>
        <v>-</v>
      </c>
      <c r="CJ40" s="306" t="str">
        <f>IF(AQ40="-","-",VLOOKUP($A40,AMAPit!$A$10:$AY$122,CJ$9,FALSE)-AQ40)</f>
        <v>-</v>
      </c>
      <c r="CK40" s="306" t="str">
        <f>IF(AR40="-","-",VLOOKUP($A40,AMAPit!$A$10:$AY$122,CK$9,FALSE)-AR40)</f>
        <v>-</v>
      </c>
      <c r="CL40" s="306" t="str">
        <f>IF(AS40="-","-",VLOOKUP($A40,AMAPit!$A$10:$AY$122,CL$9,FALSE)-AS40)</f>
        <v>-</v>
      </c>
      <c r="CM40" s="306" t="str">
        <f>IF(AT40="-","-",VLOOKUP($A40,AMAPit!$A$10:$AY$122,CM$9,FALSE)-AT40)</f>
        <v>-</v>
      </c>
      <c r="CN40" t="e">
        <f t="shared" si="11"/>
        <v>#N/A</v>
      </c>
    </row>
    <row r="41" spans="1:92" x14ac:dyDescent="0.25">
      <c r="A41" s="305" t="s">
        <v>556</v>
      </c>
      <c r="B41" s="305" t="s">
        <v>534</v>
      </c>
      <c r="C41" s="305"/>
      <c r="D41" s="305" t="s">
        <v>81</v>
      </c>
      <c r="E41" t="s">
        <v>11</v>
      </c>
      <c r="F41" t="s">
        <v>421</v>
      </c>
      <c r="G41" s="305" t="s">
        <v>462</v>
      </c>
      <c r="H41" t="s">
        <v>783</v>
      </c>
      <c r="I41" t="s">
        <v>185</v>
      </c>
      <c r="J41">
        <v>24</v>
      </c>
      <c r="K41" t="s">
        <v>83</v>
      </c>
      <c r="L41" s="210" t="s">
        <v>82</v>
      </c>
      <c r="M41" t="s">
        <v>803</v>
      </c>
      <c r="N41" t="s">
        <v>808</v>
      </c>
      <c r="O41" t="s">
        <v>200</v>
      </c>
      <c r="P41" s="210" t="s">
        <v>200</v>
      </c>
      <c r="Q41">
        <v>7</v>
      </c>
      <c r="R41">
        <v>3</v>
      </c>
      <c r="S41" s="210">
        <v>3</v>
      </c>
      <c r="T41">
        <v>8</v>
      </c>
      <c r="U41">
        <v>4</v>
      </c>
      <c r="V41" s="210">
        <v>3</v>
      </c>
      <c r="W41">
        <v>9</v>
      </c>
      <c r="X41">
        <v>9</v>
      </c>
      <c r="Y41">
        <v>2</v>
      </c>
      <c r="Z41">
        <v>2</v>
      </c>
      <c r="AA41">
        <v>7</v>
      </c>
      <c r="AB41">
        <v>8</v>
      </c>
      <c r="AC41" t="s">
        <v>32</v>
      </c>
      <c r="AD41" t="s">
        <v>32</v>
      </c>
      <c r="AE41" t="s">
        <v>32</v>
      </c>
      <c r="AF41" t="s">
        <v>32</v>
      </c>
      <c r="AG41" t="s">
        <v>32</v>
      </c>
      <c r="AH41" t="s">
        <v>32</v>
      </c>
      <c r="AI41" t="s">
        <v>32</v>
      </c>
      <c r="AJ41" t="s">
        <v>32</v>
      </c>
      <c r="AK41" t="s">
        <v>32</v>
      </c>
      <c r="AL41" t="s">
        <v>32</v>
      </c>
      <c r="AM41" t="s">
        <v>32</v>
      </c>
      <c r="AN41" t="s">
        <v>32</v>
      </c>
      <c r="AO41" t="s">
        <v>32</v>
      </c>
      <c r="AP41" t="s">
        <v>32</v>
      </c>
      <c r="AQ41" t="s">
        <v>32</v>
      </c>
      <c r="AR41" t="s">
        <v>32</v>
      </c>
      <c r="AS41" t="s">
        <v>32</v>
      </c>
      <c r="AT41" s="210" t="s">
        <v>32</v>
      </c>
      <c r="AU41" t="s">
        <v>209</v>
      </c>
      <c r="AV41">
        <v>6</v>
      </c>
      <c r="AW41" s="11" t="s">
        <v>393</v>
      </c>
      <c r="AX41" s="78">
        <v>510000</v>
      </c>
      <c r="AY41" s="210" t="s">
        <v>33</v>
      </c>
      <c r="AZ41" s="372" t="s">
        <v>529</v>
      </c>
      <c r="BA41" s="6">
        <f t="shared" si="2"/>
        <v>4.833333333333333</v>
      </c>
      <c r="BB41" s="9" t="str">
        <f t="shared" si="3"/>
        <v>Bench</v>
      </c>
      <c r="BC41" s="9">
        <f t="shared" si="4"/>
        <v>5.5</v>
      </c>
      <c r="BD41" s="9" t="str">
        <f t="shared" si="5"/>
        <v>Reg</v>
      </c>
      <c r="BE41" s="9">
        <f t="shared" si="6"/>
        <v>5.5</v>
      </c>
      <c r="BF41" s="9" t="str">
        <f t="shared" si="7"/>
        <v>Reg</v>
      </c>
      <c r="BG41" s="77">
        <f t="shared" si="8"/>
        <v>3</v>
      </c>
      <c r="BH41" s="76">
        <f t="shared" si="9"/>
        <v>2</v>
      </c>
      <c r="BI41" t="str">
        <f t="shared" si="10"/>
        <v/>
      </c>
      <c r="BJ41" s="306" t="e">
        <f>IF(Q41="-","-",VLOOKUP($A41,AMAPit!$A$10:$AY$122,BJ$9,FALSE)-Q41)</f>
        <v>#N/A</v>
      </c>
      <c r="BK41" s="306" t="e">
        <f>IF(R41="-","-",VLOOKUP($A41,AMAPit!$A$10:$AY$122,BK$9,FALSE)-R41)</f>
        <v>#N/A</v>
      </c>
      <c r="BL41" s="306" t="e">
        <f>IF(S41="-","-",VLOOKUP($A41,AMAPit!$A$10:$AY$122,BL$9,FALSE)-S41)</f>
        <v>#N/A</v>
      </c>
      <c r="BM41" s="306" t="e">
        <f>IF(T41="-","-",VLOOKUP($A41,AMAPit!$A$10:$AY$122,BM$9,FALSE)-T41)</f>
        <v>#N/A</v>
      </c>
      <c r="BN41" s="306" t="e">
        <f>IF(U41="-","-",VLOOKUP($A41,AMAPit!$A$10:$AY$122,BN$9,FALSE)-U41)</f>
        <v>#N/A</v>
      </c>
      <c r="BO41" s="306" t="e">
        <f>IF(V41="-","-",VLOOKUP($A41,AMAPit!$A$10:$AY$122,BO$9,FALSE)-V41)</f>
        <v>#N/A</v>
      </c>
      <c r="BP41" s="306" t="e">
        <f>IF(W41="-","-",VLOOKUP($A41,AMAPit!$A$10:$AY$122,BP$9,FALSE)-W41)</f>
        <v>#N/A</v>
      </c>
      <c r="BQ41" s="306" t="e">
        <f>IF(X41="-","-",VLOOKUP($A41,AMAPit!$A$10:$AY$122,BQ$9,FALSE)-X41)</f>
        <v>#N/A</v>
      </c>
      <c r="BR41" s="306" t="e">
        <f>IF(Y41="-","-",VLOOKUP($A41,AMAPit!$A$10:$AY$122,BR$9,FALSE)-Y41)</f>
        <v>#N/A</v>
      </c>
      <c r="BS41" s="306" t="e">
        <f>IF(Z41="-","-",VLOOKUP($A41,AMAPit!$A$10:$AY$122,BS$9,FALSE)-Z41)</f>
        <v>#N/A</v>
      </c>
      <c r="BT41" s="306" t="e">
        <f>IF(AA41="-","-",VLOOKUP($A41,AMAPit!$A$10:$AY$122,BT$9,FALSE)-AA41)</f>
        <v>#N/A</v>
      </c>
      <c r="BU41" s="306" t="e">
        <f>IF(AB41="-","-",VLOOKUP($A41,AMAPit!$A$10:$AY$122,BU$9,FALSE)-AB41)</f>
        <v>#N/A</v>
      </c>
      <c r="BV41" s="306" t="str">
        <f>IF(AC41="-","-",VLOOKUP($A41,AMAPit!$A$10:$AY$122,BV$9,FALSE)-AC41)</f>
        <v>-</v>
      </c>
      <c r="BW41" s="306" t="str">
        <f>IF(AD41="-","-",VLOOKUP($A41,AMAPit!$A$10:$AY$122,BW$9,FALSE)-AD41)</f>
        <v>-</v>
      </c>
      <c r="BX41" s="306" t="str">
        <f>IF(AE41="-","-",VLOOKUP($A41,AMAPit!$A$10:$AY$122,BX$9,FALSE)-AE41)</f>
        <v>-</v>
      </c>
      <c r="BY41" s="306" t="str">
        <f>IF(AF41="-","-",VLOOKUP($A41,AMAPit!$A$10:$AY$122,BY$9,FALSE)-AF41)</f>
        <v>-</v>
      </c>
      <c r="BZ41" s="306" t="str">
        <f>IF(AG41="-","-",VLOOKUP($A41,AMAPit!$A$10:$AY$122,BZ$9,FALSE)-AG41)</f>
        <v>-</v>
      </c>
      <c r="CA41" s="306" t="str">
        <f>IF(AH41="-","-",VLOOKUP($A41,AMAPit!$A$10:$AY$122,CA$9,FALSE)-AH41)</f>
        <v>-</v>
      </c>
      <c r="CB41" s="306" t="str">
        <f>IF(AI41="-","-",VLOOKUP($A41,AMAPit!$A$10:$AY$122,CB$9,FALSE)-AI41)</f>
        <v>-</v>
      </c>
      <c r="CC41" s="306" t="str">
        <f>IF(AJ41="-","-",VLOOKUP($A41,AMAPit!$A$10:$AY$122,CC$9,FALSE)-AJ41)</f>
        <v>-</v>
      </c>
      <c r="CD41" s="306" t="str">
        <f>IF(AK41="-","-",VLOOKUP($A41,AMAPit!$A$10:$AY$122,CD$9,FALSE)-AK41)</f>
        <v>-</v>
      </c>
      <c r="CE41" s="306" t="str">
        <f>IF(AL41="-","-",VLOOKUP($A41,AMAPit!$A$10:$AY$122,CE$9,FALSE)-AL41)</f>
        <v>-</v>
      </c>
      <c r="CF41" s="306" t="str">
        <f>IF(AM41="-","-",VLOOKUP($A41,AMAPit!$A$10:$AY$122,CF$9,FALSE)-AM41)</f>
        <v>-</v>
      </c>
      <c r="CG41" s="306" t="str">
        <f>IF(AN41="-","-",VLOOKUP($A41,AMAPit!$A$10:$AY$122,CG$9,FALSE)-AN41)</f>
        <v>-</v>
      </c>
      <c r="CH41" s="306" t="str">
        <f>IF(AO41="-","-",VLOOKUP($A41,AMAPit!$A$10:$AY$122,CH$9,FALSE)-AO41)</f>
        <v>-</v>
      </c>
      <c r="CI41" s="306" t="str">
        <f>IF(AP41="-","-",VLOOKUP($A41,AMAPit!$A$10:$AY$122,CI$9,FALSE)-AP41)</f>
        <v>-</v>
      </c>
      <c r="CJ41" s="306" t="str">
        <f>IF(AQ41="-","-",VLOOKUP($A41,AMAPit!$A$10:$AY$122,CJ$9,FALSE)-AQ41)</f>
        <v>-</v>
      </c>
      <c r="CK41" s="306" t="str">
        <f>IF(AR41="-","-",VLOOKUP($A41,AMAPit!$A$10:$AY$122,CK$9,FALSE)-AR41)</f>
        <v>-</v>
      </c>
      <c r="CL41" s="306" t="str">
        <f>IF(AS41="-","-",VLOOKUP($A41,AMAPit!$A$10:$AY$122,CL$9,FALSE)-AS41)</f>
        <v>-</v>
      </c>
      <c r="CM41" s="306" t="str">
        <f>IF(AT41="-","-",VLOOKUP($A41,AMAPit!$A$10:$AY$122,CM$9,FALSE)-AT41)</f>
        <v>-</v>
      </c>
      <c r="CN41" t="e">
        <f t="shared" si="11"/>
        <v>#N/A</v>
      </c>
    </row>
    <row r="42" spans="1:92" x14ac:dyDescent="0.25">
      <c r="A42" s="305" t="s">
        <v>557</v>
      </c>
      <c r="B42" s="305" t="s">
        <v>534</v>
      </c>
      <c r="C42" s="305"/>
      <c r="D42" s="305" t="s">
        <v>72</v>
      </c>
      <c r="E42" t="s">
        <v>11</v>
      </c>
      <c r="F42" t="s">
        <v>998</v>
      </c>
      <c r="G42" s="305" t="s">
        <v>1146</v>
      </c>
      <c r="H42" t="s">
        <v>763</v>
      </c>
      <c r="I42" t="s">
        <v>402</v>
      </c>
      <c r="J42">
        <v>25</v>
      </c>
      <c r="K42" t="s">
        <v>85</v>
      </c>
      <c r="L42" s="210" t="s">
        <v>83</v>
      </c>
      <c r="M42" t="s">
        <v>808</v>
      </c>
      <c r="N42" t="s">
        <v>773</v>
      </c>
      <c r="O42" t="s">
        <v>200</v>
      </c>
      <c r="P42" s="210" t="s">
        <v>199</v>
      </c>
      <c r="Q42">
        <v>6</v>
      </c>
      <c r="R42">
        <v>2</v>
      </c>
      <c r="S42" s="210">
        <v>5</v>
      </c>
      <c r="T42">
        <v>8</v>
      </c>
      <c r="U42">
        <v>2</v>
      </c>
      <c r="V42" s="210">
        <v>5</v>
      </c>
      <c r="W42">
        <v>7</v>
      </c>
      <c r="X42">
        <v>7</v>
      </c>
      <c r="Y42">
        <v>8</v>
      </c>
      <c r="Z42">
        <v>9</v>
      </c>
      <c r="AA42">
        <v>8</v>
      </c>
      <c r="AB42">
        <v>9</v>
      </c>
      <c r="AC42" t="s">
        <v>32</v>
      </c>
      <c r="AD42" t="s">
        <v>32</v>
      </c>
      <c r="AE42" t="s">
        <v>32</v>
      </c>
      <c r="AF42" t="s">
        <v>32</v>
      </c>
      <c r="AG42" t="s">
        <v>32</v>
      </c>
      <c r="AH42" t="s">
        <v>32</v>
      </c>
      <c r="AI42" t="s">
        <v>32</v>
      </c>
      <c r="AJ42" t="s">
        <v>32</v>
      </c>
      <c r="AK42" t="s">
        <v>32</v>
      </c>
      <c r="AL42" t="s">
        <v>32</v>
      </c>
      <c r="AM42" t="s">
        <v>32</v>
      </c>
      <c r="AN42" t="s">
        <v>32</v>
      </c>
      <c r="AO42" t="s">
        <v>32</v>
      </c>
      <c r="AP42" t="s">
        <v>32</v>
      </c>
      <c r="AQ42" t="s">
        <v>32</v>
      </c>
      <c r="AR42" t="s">
        <v>32</v>
      </c>
      <c r="AS42" t="s">
        <v>32</v>
      </c>
      <c r="AT42" s="210" t="s">
        <v>32</v>
      </c>
      <c r="AU42" t="s">
        <v>2</v>
      </c>
      <c r="AV42">
        <v>9</v>
      </c>
      <c r="AW42" s="11" t="s">
        <v>393</v>
      </c>
      <c r="AX42" s="78" t="s">
        <v>32</v>
      </c>
      <c r="AY42" s="210" t="s">
        <v>33</v>
      </c>
      <c r="AZ42" s="372" t="s">
        <v>199</v>
      </c>
      <c r="BA42" s="6">
        <f t="shared" si="2"/>
        <v>4.833333333333333</v>
      </c>
      <c r="BB42" s="9" t="str">
        <f t="shared" si="3"/>
        <v>Bench</v>
      </c>
      <c r="BC42" s="9">
        <f t="shared" si="4"/>
        <v>5.5</v>
      </c>
      <c r="BD42" s="9" t="str">
        <f t="shared" si="5"/>
        <v>Reg</v>
      </c>
      <c r="BE42" s="9">
        <f t="shared" si="6"/>
        <v>5.5</v>
      </c>
      <c r="BF42" s="9" t="str">
        <f t="shared" si="7"/>
        <v>Reg</v>
      </c>
      <c r="BG42" s="77">
        <f t="shared" si="8"/>
        <v>3</v>
      </c>
      <c r="BH42" s="76">
        <f t="shared" si="9"/>
        <v>3</v>
      </c>
      <c r="BI42" t="str">
        <f t="shared" si="10"/>
        <v/>
      </c>
      <c r="BJ42" s="306" t="e">
        <f>IF(Q42="-","-",VLOOKUP($A42,AMAPit!$A$10:$AY$122,BJ$9,FALSE)-Q42)</f>
        <v>#N/A</v>
      </c>
      <c r="BK42" s="306" t="e">
        <f>IF(R42="-","-",VLOOKUP($A42,AMAPit!$A$10:$AY$122,BK$9,FALSE)-R42)</f>
        <v>#N/A</v>
      </c>
      <c r="BL42" s="306" t="e">
        <f>IF(S42="-","-",VLOOKUP($A42,AMAPit!$A$10:$AY$122,BL$9,FALSE)-S42)</f>
        <v>#N/A</v>
      </c>
      <c r="BM42" s="306" t="e">
        <f>IF(T42="-","-",VLOOKUP($A42,AMAPit!$A$10:$AY$122,BM$9,FALSE)-T42)</f>
        <v>#N/A</v>
      </c>
      <c r="BN42" s="306" t="e">
        <f>IF(U42="-","-",VLOOKUP($A42,AMAPit!$A$10:$AY$122,BN$9,FALSE)-U42)</f>
        <v>#N/A</v>
      </c>
      <c r="BO42" s="306" t="e">
        <f>IF(V42="-","-",VLOOKUP($A42,AMAPit!$A$10:$AY$122,BO$9,FALSE)-V42)</f>
        <v>#N/A</v>
      </c>
      <c r="BP42" s="306" t="e">
        <f>IF(W42="-","-",VLOOKUP($A42,AMAPit!$A$10:$AY$122,BP$9,FALSE)-W42)</f>
        <v>#N/A</v>
      </c>
      <c r="BQ42" s="306" t="e">
        <f>IF(X42="-","-",VLOOKUP($A42,AMAPit!$A$10:$AY$122,BQ$9,FALSE)-X42)</f>
        <v>#N/A</v>
      </c>
      <c r="BR42" s="306" t="e">
        <f>IF(Y42="-","-",VLOOKUP($A42,AMAPit!$A$10:$AY$122,BR$9,FALSE)-Y42)</f>
        <v>#N/A</v>
      </c>
      <c r="BS42" s="306" t="e">
        <f>IF(Z42="-","-",VLOOKUP($A42,AMAPit!$A$10:$AY$122,BS$9,FALSE)-Z42)</f>
        <v>#N/A</v>
      </c>
      <c r="BT42" s="306" t="e">
        <f>IF(AA42="-","-",VLOOKUP($A42,AMAPit!$A$10:$AY$122,BT$9,FALSE)-AA42)</f>
        <v>#N/A</v>
      </c>
      <c r="BU42" s="306" t="e">
        <f>IF(AB42="-","-",VLOOKUP($A42,AMAPit!$A$10:$AY$122,BU$9,FALSE)-AB42)</f>
        <v>#N/A</v>
      </c>
      <c r="BV42" s="306" t="str">
        <f>IF(AC42="-","-",VLOOKUP($A42,AMAPit!$A$10:$AY$122,BV$9,FALSE)-AC42)</f>
        <v>-</v>
      </c>
      <c r="BW42" s="306" t="str">
        <f>IF(AD42="-","-",VLOOKUP($A42,AMAPit!$A$10:$AY$122,BW$9,FALSE)-AD42)</f>
        <v>-</v>
      </c>
      <c r="BX42" s="306" t="str">
        <f>IF(AE42="-","-",VLOOKUP($A42,AMAPit!$A$10:$AY$122,BX$9,FALSE)-AE42)</f>
        <v>-</v>
      </c>
      <c r="BY42" s="306" t="str">
        <f>IF(AF42="-","-",VLOOKUP($A42,AMAPit!$A$10:$AY$122,BY$9,FALSE)-AF42)</f>
        <v>-</v>
      </c>
      <c r="BZ42" s="306" t="str">
        <f>IF(AG42="-","-",VLOOKUP($A42,AMAPit!$A$10:$AY$122,BZ$9,FALSE)-AG42)</f>
        <v>-</v>
      </c>
      <c r="CA42" s="306" t="str">
        <f>IF(AH42="-","-",VLOOKUP($A42,AMAPit!$A$10:$AY$122,CA$9,FALSE)-AH42)</f>
        <v>-</v>
      </c>
      <c r="CB42" s="306" t="str">
        <f>IF(AI42="-","-",VLOOKUP($A42,AMAPit!$A$10:$AY$122,CB$9,FALSE)-AI42)</f>
        <v>-</v>
      </c>
      <c r="CC42" s="306" t="str">
        <f>IF(AJ42="-","-",VLOOKUP($A42,AMAPit!$A$10:$AY$122,CC$9,FALSE)-AJ42)</f>
        <v>-</v>
      </c>
      <c r="CD42" s="306" t="str">
        <f>IF(AK42="-","-",VLOOKUP($A42,AMAPit!$A$10:$AY$122,CD$9,FALSE)-AK42)</f>
        <v>-</v>
      </c>
      <c r="CE42" s="306" t="str">
        <f>IF(AL42="-","-",VLOOKUP($A42,AMAPit!$A$10:$AY$122,CE$9,FALSE)-AL42)</f>
        <v>-</v>
      </c>
      <c r="CF42" s="306" t="str">
        <f>IF(AM42="-","-",VLOOKUP($A42,AMAPit!$A$10:$AY$122,CF$9,FALSE)-AM42)</f>
        <v>-</v>
      </c>
      <c r="CG42" s="306" t="str">
        <f>IF(AN42="-","-",VLOOKUP($A42,AMAPit!$A$10:$AY$122,CG$9,FALSE)-AN42)</f>
        <v>-</v>
      </c>
      <c r="CH42" s="306" t="str">
        <f>IF(AO42="-","-",VLOOKUP($A42,AMAPit!$A$10:$AY$122,CH$9,FALSE)-AO42)</f>
        <v>-</v>
      </c>
      <c r="CI42" s="306" t="str">
        <f>IF(AP42="-","-",VLOOKUP($A42,AMAPit!$A$10:$AY$122,CI$9,FALSE)-AP42)</f>
        <v>-</v>
      </c>
      <c r="CJ42" s="306" t="str">
        <f>IF(AQ42="-","-",VLOOKUP($A42,AMAPit!$A$10:$AY$122,CJ$9,FALSE)-AQ42)</f>
        <v>-</v>
      </c>
      <c r="CK42" s="306" t="str">
        <f>IF(AR42="-","-",VLOOKUP($A42,AMAPit!$A$10:$AY$122,CK$9,FALSE)-AR42)</f>
        <v>-</v>
      </c>
      <c r="CL42" s="306" t="str">
        <f>IF(AS42="-","-",VLOOKUP($A42,AMAPit!$A$10:$AY$122,CL$9,FALSE)-AS42)</f>
        <v>-</v>
      </c>
      <c r="CM42" s="306" t="str">
        <f>IF(AT42="-","-",VLOOKUP($A42,AMAPit!$A$10:$AY$122,CM$9,FALSE)-AT42)</f>
        <v>-</v>
      </c>
      <c r="CN42" t="e">
        <f t="shared" si="11"/>
        <v>#N/A</v>
      </c>
    </row>
    <row r="43" spans="1:92" x14ac:dyDescent="0.25">
      <c r="A43" s="305" t="s">
        <v>536</v>
      </c>
      <c r="B43" s="305" t="s">
        <v>534</v>
      </c>
      <c r="C43" s="305"/>
      <c r="D43" s="305" t="s">
        <v>81</v>
      </c>
      <c r="E43" t="s">
        <v>87</v>
      </c>
      <c r="F43" t="s">
        <v>1149</v>
      </c>
      <c r="G43" s="305" t="s">
        <v>1150</v>
      </c>
      <c r="H43" t="s">
        <v>769</v>
      </c>
      <c r="I43" t="s">
        <v>186</v>
      </c>
      <c r="J43">
        <v>23</v>
      </c>
      <c r="K43" t="s">
        <v>82</v>
      </c>
      <c r="L43" s="210" t="s">
        <v>82</v>
      </c>
      <c r="M43" t="s">
        <v>808</v>
      </c>
      <c r="N43" t="s">
        <v>808</v>
      </c>
      <c r="O43" t="s">
        <v>199</v>
      </c>
      <c r="P43" s="210" t="s">
        <v>200</v>
      </c>
      <c r="Q43">
        <v>3</v>
      </c>
      <c r="R43">
        <v>3</v>
      </c>
      <c r="S43" s="210">
        <v>7</v>
      </c>
      <c r="T43">
        <v>3</v>
      </c>
      <c r="U43">
        <v>3</v>
      </c>
      <c r="V43" s="210">
        <v>9</v>
      </c>
      <c r="W43">
        <v>7</v>
      </c>
      <c r="X43">
        <v>7</v>
      </c>
      <c r="Y43">
        <v>2</v>
      </c>
      <c r="Z43">
        <v>2</v>
      </c>
      <c r="AA43" t="s">
        <v>32</v>
      </c>
      <c r="AB43" t="s">
        <v>32</v>
      </c>
      <c r="AC43">
        <v>4</v>
      </c>
      <c r="AD43">
        <v>4</v>
      </c>
      <c r="AE43" t="s">
        <v>32</v>
      </c>
      <c r="AF43" t="s">
        <v>32</v>
      </c>
      <c r="AG43" t="s">
        <v>32</v>
      </c>
      <c r="AH43" t="s">
        <v>32</v>
      </c>
      <c r="AI43" t="s">
        <v>32</v>
      </c>
      <c r="AJ43" t="s">
        <v>32</v>
      </c>
      <c r="AK43" t="s">
        <v>32</v>
      </c>
      <c r="AL43" t="s">
        <v>32</v>
      </c>
      <c r="AM43" t="s">
        <v>32</v>
      </c>
      <c r="AN43" t="s">
        <v>32</v>
      </c>
      <c r="AO43" t="s">
        <v>32</v>
      </c>
      <c r="AP43" t="s">
        <v>32</v>
      </c>
      <c r="AQ43" t="s">
        <v>32</v>
      </c>
      <c r="AR43" t="s">
        <v>32</v>
      </c>
      <c r="AS43" t="s">
        <v>32</v>
      </c>
      <c r="AT43" s="210" t="s">
        <v>32</v>
      </c>
      <c r="AU43" t="s">
        <v>4</v>
      </c>
      <c r="AV43">
        <v>9</v>
      </c>
      <c r="AW43" s="11" t="s">
        <v>40</v>
      </c>
      <c r="AX43" s="78" t="s">
        <v>32</v>
      </c>
      <c r="AY43" s="210" t="s">
        <v>33</v>
      </c>
      <c r="AZ43" s="372" t="s">
        <v>199</v>
      </c>
      <c r="BA43" s="6">
        <f t="shared" ref="BA43:BA70" si="12">AVERAGE(Q43:S43)+0.25*MAX(0,(COUNT(W43,Y43,AA43,AC43,AE43,AG43,AI43,AK43,AM43,AO43,AQ43,AS43)-3))+IF(AW43&gt;0.55,0.25,0)+IF(MAX(W43,Y43,AA43,AC43,AE43,AG43,AI43,AK43,AM43,AO43,AQ43,AS43)&gt;5,0.25,0)</f>
        <v>4.833333333333333</v>
      </c>
      <c r="BB43" s="9" t="str">
        <f t="shared" ref="BB43:BB70" si="13">IF(BA43&gt;9,"SuperStar",IF(BA43&gt;8,"Star",IF(BA43&gt;6.5,"GoodReg",IF(BA43&gt;5,"Reg",IF(BA43&gt;4,"Bench","Minors")))))</f>
        <v>Bench</v>
      </c>
      <c r="BC43" s="9">
        <f t="shared" ref="BC43:BC70" si="14">AVERAGE(T43:V43)+0.25*MAX(0,(COUNT(X43,Z43,AB43,AD43,AF43,AH43,AJ43,AL43,AN43,AP43,AR43,AT43)-3))+IF(AW43&gt;0.55,0.25,0)+IF(MAX(X43,Z43,AB43,AD43,AF43,AH43,AJ43,AL43,AN43,AP43,AR43,AT43)&gt;5,0.25,0)</f>
        <v>5.5</v>
      </c>
      <c r="BD43" s="9" t="str">
        <f t="shared" ref="BD43:BD70" si="15">IF(BC43&gt;9,"SuperStar",IF(BC43&gt;8,"Star",IF(BC43&gt;6.5,"GoodReg",IF(BC43&gt;5,"Reg",IF(BC43&gt;4,"Bench","Minors")))))</f>
        <v>Reg</v>
      </c>
      <c r="BE43" s="9">
        <f t="shared" ref="BE43:BE70" si="16">MIN(BA43+(MAX(0,25-U43))^1.5,BC43)</f>
        <v>5.5</v>
      </c>
      <c r="BF43" s="9" t="str">
        <f t="shared" ref="BF43:BF70" si="17">IF(BE43&gt;9,"SuperStar",IF(BE43&gt;8,"Star",IF(BE43&gt;6.5,"GoodReg",IF(BE43&gt;5,"Reg",IF(BE43&gt;4,"Bench","Minors")))))</f>
        <v>Reg</v>
      </c>
      <c r="BG43" s="77">
        <f t="shared" ref="BG43:BG70" si="18">COUNT(W43:AT43)/2</f>
        <v>3</v>
      </c>
      <c r="BH43" s="76">
        <f t="shared" ref="BH43:BH70" si="19">COUNTIF(W43:AT43,"&gt;5")/2</f>
        <v>1</v>
      </c>
      <c r="BI43" t="str">
        <f t="shared" ref="BI43:BI70" si="20">IF(AY43=1,"Yes","")</f>
        <v/>
      </c>
      <c r="BJ43" s="306" t="e">
        <f>IF(Q43="-","-",VLOOKUP($A43,AMAPit!$A$10:$AY$122,BJ$9,FALSE)-Q43)</f>
        <v>#N/A</v>
      </c>
      <c r="BK43" s="306" t="e">
        <f>IF(R43="-","-",VLOOKUP($A43,AMAPit!$A$10:$AY$122,BK$9,FALSE)-R43)</f>
        <v>#N/A</v>
      </c>
      <c r="BL43" s="306" t="e">
        <f>IF(S43="-","-",VLOOKUP($A43,AMAPit!$A$10:$AY$122,BL$9,FALSE)-S43)</f>
        <v>#N/A</v>
      </c>
      <c r="BM43" s="306" t="e">
        <f>IF(T43="-","-",VLOOKUP($A43,AMAPit!$A$10:$AY$122,BM$9,FALSE)-T43)</f>
        <v>#N/A</v>
      </c>
      <c r="BN43" s="306" t="e">
        <f>IF(U43="-","-",VLOOKUP($A43,AMAPit!$A$10:$AY$122,BN$9,FALSE)-U43)</f>
        <v>#N/A</v>
      </c>
      <c r="BO43" s="306" t="e">
        <f>IF(V43="-","-",VLOOKUP($A43,AMAPit!$A$10:$AY$122,BO$9,FALSE)-V43)</f>
        <v>#N/A</v>
      </c>
      <c r="BP43" s="306" t="e">
        <f>IF(W43="-","-",VLOOKUP($A43,AMAPit!$A$10:$AY$122,BP$9,FALSE)-W43)</f>
        <v>#N/A</v>
      </c>
      <c r="BQ43" s="306" t="e">
        <f>IF(X43="-","-",VLOOKUP($A43,AMAPit!$A$10:$AY$122,BQ$9,FALSE)-X43)</f>
        <v>#N/A</v>
      </c>
      <c r="BR43" s="306" t="e">
        <f>IF(Y43="-","-",VLOOKUP($A43,AMAPit!$A$10:$AY$122,BR$9,FALSE)-Y43)</f>
        <v>#N/A</v>
      </c>
      <c r="BS43" s="306" t="e">
        <f>IF(Z43="-","-",VLOOKUP($A43,AMAPit!$A$10:$AY$122,BS$9,FALSE)-Z43)</f>
        <v>#N/A</v>
      </c>
      <c r="BT43" s="306" t="str">
        <f>IF(AA43="-","-",VLOOKUP($A43,AMAPit!$A$10:$AY$122,BT$9,FALSE)-AA43)</f>
        <v>-</v>
      </c>
      <c r="BU43" s="306" t="str">
        <f>IF(AB43="-","-",VLOOKUP($A43,AMAPit!$A$10:$AY$122,BU$9,FALSE)-AB43)</f>
        <v>-</v>
      </c>
      <c r="BV43" s="306" t="e">
        <f>IF(AC43="-","-",VLOOKUP($A43,AMAPit!$A$10:$AY$122,BV$9,FALSE)-AC43)</f>
        <v>#N/A</v>
      </c>
      <c r="BW43" s="306" t="e">
        <f>IF(AD43="-","-",VLOOKUP($A43,AMAPit!$A$10:$AY$122,BW$9,FALSE)-AD43)</f>
        <v>#N/A</v>
      </c>
      <c r="BX43" s="306" t="str">
        <f>IF(AE43="-","-",VLOOKUP($A43,AMAPit!$A$10:$AY$122,BX$9,FALSE)-AE43)</f>
        <v>-</v>
      </c>
      <c r="BY43" s="306" t="str">
        <f>IF(AF43="-","-",VLOOKUP($A43,AMAPit!$A$10:$AY$122,BY$9,FALSE)-AF43)</f>
        <v>-</v>
      </c>
      <c r="BZ43" s="306" t="str">
        <f>IF(AG43="-","-",VLOOKUP($A43,AMAPit!$A$10:$AY$122,BZ$9,FALSE)-AG43)</f>
        <v>-</v>
      </c>
      <c r="CA43" s="306" t="str">
        <f>IF(AH43="-","-",VLOOKUP($A43,AMAPit!$A$10:$AY$122,CA$9,FALSE)-AH43)</f>
        <v>-</v>
      </c>
      <c r="CB43" s="306" t="str">
        <f>IF(AI43="-","-",VLOOKUP($A43,AMAPit!$A$10:$AY$122,CB$9,FALSE)-AI43)</f>
        <v>-</v>
      </c>
      <c r="CC43" s="306" t="str">
        <f>IF(AJ43="-","-",VLOOKUP($A43,AMAPit!$A$10:$AY$122,CC$9,FALSE)-AJ43)</f>
        <v>-</v>
      </c>
      <c r="CD43" s="306" t="str">
        <f>IF(AK43="-","-",VLOOKUP($A43,AMAPit!$A$10:$AY$122,CD$9,FALSE)-AK43)</f>
        <v>-</v>
      </c>
      <c r="CE43" s="306" t="str">
        <f>IF(AL43="-","-",VLOOKUP($A43,AMAPit!$A$10:$AY$122,CE$9,FALSE)-AL43)</f>
        <v>-</v>
      </c>
      <c r="CF43" s="306" t="str">
        <f>IF(AM43="-","-",VLOOKUP($A43,AMAPit!$A$10:$AY$122,CF$9,FALSE)-AM43)</f>
        <v>-</v>
      </c>
      <c r="CG43" s="306" t="str">
        <f>IF(AN43="-","-",VLOOKUP($A43,AMAPit!$A$10:$AY$122,CG$9,FALSE)-AN43)</f>
        <v>-</v>
      </c>
      <c r="CH43" s="306" t="str">
        <f>IF(AO43="-","-",VLOOKUP($A43,AMAPit!$A$10:$AY$122,CH$9,FALSE)-AO43)</f>
        <v>-</v>
      </c>
      <c r="CI43" s="306" t="str">
        <f>IF(AP43="-","-",VLOOKUP($A43,AMAPit!$A$10:$AY$122,CI$9,FALSE)-AP43)</f>
        <v>-</v>
      </c>
      <c r="CJ43" s="306" t="str">
        <f>IF(AQ43="-","-",VLOOKUP($A43,AMAPit!$A$10:$AY$122,CJ$9,FALSE)-AQ43)</f>
        <v>-</v>
      </c>
      <c r="CK43" s="306" t="str">
        <f>IF(AR43="-","-",VLOOKUP($A43,AMAPit!$A$10:$AY$122,CK$9,FALSE)-AR43)</f>
        <v>-</v>
      </c>
      <c r="CL43" s="306" t="str">
        <f>IF(AS43="-","-",VLOOKUP($A43,AMAPit!$A$10:$AY$122,CL$9,FALSE)-AS43)</f>
        <v>-</v>
      </c>
      <c r="CM43" s="306" t="str">
        <f>IF(AT43="-","-",VLOOKUP($A43,AMAPit!$A$10:$AY$122,CM$9,FALSE)-AT43)</f>
        <v>-</v>
      </c>
      <c r="CN43" t="e">
        <f t="shared" ref="CN43:CN70" si="21">SUM(BJ43:CM43)</f>
        <v>#N/A</v>
      </c>
    </row>
    <row r="44" spans="1:92" x14ac:dyDescent="0.25">
      <c r="A44" s="305" t="s">
        <v>515</v>
      </c>
      <c r="B44" s="305" t="s">
        <v>185</v>
      </c>
      <c r="C44" s="305"/>
      <c r="D44" s="305" t="s">
        <v>81</v>
      </c>
      <c r="E44" t="s">
        <v>11</v>
      </c>
      <c r="F44" t="s">
        <v>412</v>
      </c>
      <c r="G44" s="305" t="s">
        <v>1010</v>
      </c>
      <c r="H44" t="s">
        <v>783</v>
      </c>
      <c r="I44" t="s">
        <v>185</v>
      </c>
      <c r="J44">
        <v>39</v>
      </c>
      <c r="K44" t="s">
        <v>83</v>
      </c>
      <c r="L44" s="210" t="s">
        <v>83</v>
      </c>
      <c r="M44" t="s">
        <v>816</v>
      </c>
      <c r="N44" t="s">
        <v>816</v>
      </c>
      <c r="O44" t="s">
        <v>200</v>
      </c>
      <c r="P44" s="210" t="s">
        <v>199</v>
      </c>
      <c r="Q44">
        <v>2</v>
      </c>
      <c r="R44">
        <v>4</v>
      </c>
      <c r="S44" s="210">
        <v>7</v>
      </c>
      <c r="T44">
        <v>2</v>
      </c>
      <c r="U44">
        <v>4</v>
      </c>
      <c r="V44" s="210">
        <v>7</v>
      </c>
      <c r="W44">
        <v>3</v>
      </c>
      <c r="X44">
        <v>3</v>
      </c>
      <c r="Y44" t="s">
        <v>32</v>
      </c>
      <c r="Z44" t="s">
        <v>32</v>
      </c>
      <c r="AA44" t="s">
        <v>32</v>
      </c>
      <c r="AB44" t="s">
        <v>32</v>
      </c>
      <c r="AC44">
        <v>3</v>
      </c>
      <c r="AD44">
        <v>3</v>
      </c>
      <c r="AE44" t="s">
        <v>32</v>
      </c>
      <c r="AF44" t="s">
        <v>32</v>
      </c>
      <c r="AG44">
        <v>2</v>
      </c>
      <c r="AH44">
        <v>2</v>
      </c>
      <c r="AI44">
        <v>4</v>
      </c>
      <c r="AJ44">
        <v>4</v>
      </c>
      <c r="AK44" t="s">
        <v>32</v>
      </c>
      <c r="AL44" t="s">
        <v>32</v>
      </c>
      <c r="AM44" t="s">
        <v>32</v>
      </c>
      <c r="AN44" t="s">
        <v>32</v>
      </c>
      <c r="AO44" t="s">
        <v>32</v>
      </c>
      <c r="AP44" t="s">
        <v>32</v>
      </c>
      <c r="AQ44" t="s">
        <v>32</v>
      </c>
      <c r="AR44" t="s">
        <v>32</v>
      </c>
      <c r="AS44" t="s">
        <v>32</v>
      </c>
      <c r="AT44" s="210" t="s">
        <v>32</v>
      </c>
      <c r="AU44" t="s">
        <v>525</v>
      </c>
      <c r="AV44">
        <v>7</v>
      </c>
      <c r="AW44" s="11" t="s">
        <v>394</v>
      </c>
      <c r="AX44" s="78" t="s">
        <v>32</v>
      </c>
      <c r="AY44" s="210">
        <v>1</v>
      </c>
      <c r="AZ44" s="372" t="s">
        <v>529</v>
      </c>
      <c r="BA44" s="6">
        <f t="shared" si="12"/>
        <v>4.833333333333333</v>
      </c>
      <c r="BB44" s="9" t="str">
        <f t="shared" si="13"/>
        <v>Bench</v>
      </c>
      <c r="BC44" s="9">
        <f t="shared" si="14"/>
        <v>4.833333333333333</v>
      </c>
      <c r="BD44" s="9" t="str">
        <f t="shared" si="15"/>
        <v>Bench</v>
      </c>
      <c r="BE44" s="9">
        <f t="shared" si="16"/>
        <v>4.833333333333333</v>
      </c>
      <c r="BF44" s="9" t="str">
        <f t="shared" si="17"/>
        <v>Bench</v>
      </c>
      <c r="BG44" s="77">
        <f t="shared" si="18"/>
        <v>4</v>
      </c>
      <c r="BH44" s="76">
        <f t="shared" si="19"/>
        <v>0</v>
      </c>
      <c r="BI44" t="str">
        <f t="shared" si="20"/>
        <v>Yes</v>
      </c>
      <c r="BJ44" s="306" t="e">
        <f>IF(Q44="-","-",VLOOKUP($A44,AMAPit!$A$10:$AY$122,BJ$9,FALSE)-Q44)</f>
        <v>#N/A</v>
      </c>
      <c r="BK44" s="306" t="e">
        <f>IF(R44="-","-",VLOOKUP($A44,AMAPit!$A$10:$AY$122,BK$9,FALSE)-R44)</f>
        <v>#N/A</v>
      </c>
      <c r="BL44" s="306" t="e">
        <f>IF(S44="-","-",VLOOKUP($A44,AMAPit!$A$10:$AY$122,BL$9,FALSE)-S44)</f>
        <v>#N/A</v>
      </c>
      <c r="BM44" s="306" t="e">
        <f>IF(T44="-","-",VLOOKUP($A44,AMAPit!$A$10:$AY$122,BM$9,FALSE)-T44)</f>
        <v>#N/A</v>
      </c>
      <c r="BN44" s="306" t="e">
        <f>IF(U44="-","-",VLOOKUP($A44,AMAPit!$A$10:$AY$122,BN$9,FALSE)-U44)</f>
        <v>#N/A</v>
      </c>
      <c r="BO44" s="306" t="e">
        <f>IF(V44="-","-",VLOOKUP($A44,AMAPit!$A$10:$AY$122,BO$9,FALSE)-V44)</f>
        <v>#N/A</v>
      </c>
      <c r="BP44" s="306" t="e">
        <f>IF(W44="-","-",VLOOKUP($A44,AMAPit!$A$10:$AY$122,BP$9,FALSE)-W44)</f>
        <v>#N/A</v>
      </c>
      <c r="BQ44" s="306" t="e">
        <f>IF(X44="-","-",VLOOKUP($A44,AMAPit!$A$10:$AY$122,BQ$9,FALSE)-X44)</f>
        <v>#N/A</v>
      </c>
      <c r="BR44" s="306" t="str">
        <f>IF(Y44="-","-",VLOOKUP($A44,AMAPit!$A$10:$AY$122,BR$9,FALSE)-Y44)</f>
        <v>-</v>
      </c>
      <c r="BS44" s="306" t="str">
        <f>IF(Z44="-","-",VLOOKUP($A44,AMAPit!$A$10:$AY$122,BS$9,FALSE)-Z44)</f>
        <v>-</v>
      </c>
      <c r="BT44" s="306" t="str">
        <f>IF(AA44="-","-",VLOOKUP($A44,AMAPit!$A$10:$AY$122,BT$9,FALSE)-AA44)</f>
        <v>-</v>
      </c>
      <c r="BU44" s="306" t="str">
        <f>IF(AB44="-","-",VLOOKUP($A44,AMAPit!$A$10:$AY$122,BU$9,FALSE)-AB44)</f>
        <v>-</v>
      </c>
      <c r="BV44" s="306" t="e">
        <f>IF(AC44="-","-",VLOOKUP($A44,AMAPit!$A$10:$AY$122,BV$9,FALSE)-AC44)</f>
        <v>#N/A</v>
      </c>
      <c r="BW44" s="306" t="e">
        <f>IF(AD44="-","-",VLOOKUP($A44,AMAPit!$A$10:$AY$122,BW$9,FALSE)-AD44)</f>
        <v>#N/A</v>
      </c>
      <c r="BX44" s="306" t="str">
        <f>IF(AE44="-","-",VLOOKUP($A44,AMAPit!$A$10:$AY$122,BX$9,FALSE)-AE44)</f>
        <v>-</v>
      </c>
      <c r="BY44" s="306" t="str">
        <f>IF(AF44="-","-",VLOOKUP($A44,AMAPit!$A$10:$AY$122,BY$9,FALSE)-AF44)</f>
        <v>-</v>
      </c>
      <c r="BZ44" s="306" t="e">
        <f>IF(AG44="-","-",VLOOKUP($A44,AMAPit!$A$10:$AY$122,BZ$9,FALSE)-AG44)</f>
        <v>#N/A</v>
      </c>
      <c r="CA44" s="306" t="e">
        <f>IF(AH44="-","-",VLOOKUP($A44,AMAPit!$A$10:$AY$122,CA$9,FALSE)-AH44)</f>
        <v>#N/A</v>
      </c>
      <c r="CB44" s="306" t="e">
        <f>IF(AI44="-","-",VLOOKUP($A44,AMAPit!$A$10:$AY$122,CB$9,FALSE)-AI44)</f>
        <v>#N/A</v>
      </c>
      <c r="CC44" s="306" t="e">
        <f>IF(AJ44="-","-",VLOOKUP($A44,AMAPit!$A$10:$AY$122,CC$9,FALSE)-AJ44)</f>
        <v>#N/A</v>
      </c>
      <c r="CD44" s="306" t="str">
        <f>IF(AK44="-","-",VLOOKUP($A44,AMAPit!$A$10:$AY$122,CD$9,FALSE)-AK44)</f>
        <v>-</v>
      </c>
      <c r="CE44" s="306" t="str">
        <f>IF(AL44="-","-",VLOOKUP($A44,AMAPit!$A$10:$AY$122,CE$9,FALSE)-AL44)</f>
        <v>-</v>
      </c>
      <c r="CF44" s="306" t="str">
        <f>IF(AM44="-","-",VLOOKUP($A44,AMAPit!$A$10:$AY$122,CF$9,FALSE)-AM44)</f>
        <v>-</v>
      </c>
      <c r="CG44" s="306" t="str">
        <f>IF(AN44="-","-",VLOOKUP($A44,AMAPit!$A$10:$AY$122,CG$9,FALSE)-AN44)</f>
        <v>-</v>
      </c>
      <c r="CH44" s="306" t="str">
        <f>IF(AO44="-","-",VLOOKUP($A44,AMAPit!$A$10:$AY$122,CH$9,FALSE)-AO44)</f>
        <v>-</v>
      </c>
      <c r="CI44" s="306" t="str">
        <f>IF(AP44="-","-",VLOOKUP($A44,AMAPit!$A$10:$AY$122,CI$9,FALSE)-AP44)</f>
        <v>-</v>
      </c>
      <c r="CJ44" s="306" t="str">
        <f>IF(AQ44="-","-",VLOOKUP($A44,AMAPit!$A$10:$AY$122,CJ$9,FALSE)-AQ44)</f>
        <v>-</v>
      </c>
      <c r="CK44" s="306" t="str">
        <f>IF(AR44="-","-",VLOOKUP($A44,AMAPit!$A$10:$AY$122,CK$9,FALSE)-AR44)</f>
        <v>-</v>
      </c>
      <c r="CL44" s="306" t="str">
        <f>IF(AS44="-","-",VLOOKUP($A44,AMAPit!$A$10:$AY$122,CL$9,FALSE)-AS44)</f>
        <v>-</v>
      </c>
      <c r="CM44" s="306" t="str">
        <f>IF(AT44="-","-",VLOOKUP($A44,AMAPit!$A$10:$AY$122,CM$9,FALSE)-AT44)</f>
        <v>-</v>
      </c>
      <c r="CN44" t="e">
        <f t="shared" si="21"/>
        <v>#N/A</v>
      </c>
    </row>
    <row r="45" spans="1:92" x14ac:dyDescent="0.25">
      <c r="A45" s="305" t="s">
        <v>558</v>
      </c>
      <c r="B45" s="305" t="s">
        <v>534</v>
      </c>
      <c r="C45" s="305"/>
      <c r="D45" s="305" t="s">
        <v>72</v>
      </c>
      <c r="E45" t="s">
        <v>87</v>
      </c>
      <c r="F45" t="s">
        <v>935</v>
      </c>
      <c r="G45" s="305" t="s">
        <v>936</v>
      </c>
      <c r="H45" t="s">
        <v>769</v>
      </c>
      <c r="I45" t="s">
        <v>186</v>
      </c>
      <c r="J45">
        <v>25</v>
      </c>
      <c r="K45" t="s">
        <v>83</v>
      </c>
      <c r="L45" s="210" t="s">
        <v>83</v>
      </c>
      <c r="M45" t="s">
        <v>808</v>
      </c>
      <c r="N45" t="s">
        <v>773</v>
      </c>
      <c r="O45" t="s">
        <v>200</v>
      </c>
      <c r="P45" s="210" t="s">
        <v>199</v>
      </c>
      <c r="Q45">
        <v>4</v>
      </c>
      <c r="R45">
        <v>4</v>
      </c>
      <c r="S45" s="210">
        <v>4</v>
      </c>
      <c r="T45">
        <v>5</v>
      </c>
      <c r="U45">
        <v>5</v>
      </c>
      <c r="V45" s="210">
        <v>6</v>
      </c>
      <c r="W45">
        <v>6</v>
      </c>
      <c r="X45">
        <v>7</v>
      </c>
      <c r="Y45">
        <v>6</v>
      </c>
      <c r="Z45">
        <v>7</v>
      </c>
      <c r="AA45">
        <v>2</v>
      </c>
      <c r="AB45">
        <v>3</v>
      </c>
      <c r="AC45" t="s">
        <v>32</v>
      </c>
      <c r="AD45" t="s">
        <v>32</v>
      </c>
      <c r="AE45" t="s">
        <v>32</v>
      </c>
      <c r="AF45" t="s">
        <v>32</v>
      </c>
      <c r="AG45" t="s">
        <v>32</v>
      </c>
      <c r="AH45" t="s">
        <v>32</v>
      </c>
      <c r="AI45" t="s">
        <v>32</v>
      </c>
      <c r="AJ45" t="s">
        <v>32</v>
      </c>
      <c r="AK45">
        <v>5</v>
      </c>
      <c r="AL45">
        <v>6</v>
      </c>
      <c r="AM45" t="s">
        <v>32</v>
      </c>
      <c r="AN45" t="s">
        <v>32</v>
      </c>
      <c r="AO45" t="s">
        <v>32</v>
      </c>
      <c r="AP45" t="s">
        <v>32</v>
      </c>
      <c r="AQ45" t="s">
        <v>32</v>
      </c>
      <c r="AR45" t="s">
        <v>32</v>
      </c>
      <c r="AS45" t="s">
        <v>32</v>
      </c>
      <c r="AT45" s="210" t="s">
        <v>32</v>
      </c>
      <c r="AU45" t="s">
        <v>5</v>
      </c>
      <c r="AV45">
        <v>7</v>
      </c>
      <c r="AW45" s="11" t="s">
        <v>393</v>
      </c>
      <c r="AX45" s="78" t="s">
        <v>32</v>
      </c>
      <c r="AY45" s="210">
        <v>0</v>
      </c>
      <c r="AZ45" s="372" t="s">
        <v>199</v>
      </c>
      <c r="BA45" s="6">
        <f t="shared" si="12"/>
        <v>4.75</v>
      </c>
      <c r="BB45" s="9" t="str">
        <f t="shared" si="13"/>
        <v>Bench</v>
      </c>
      <c r="BC45" s="9">
        <f t="shared" si="14"/>
        <v>6.083333333333333</v>
      </c>
      <c r="BD45" s="9" t="str">
        <f t="shared" si="15"/>
        <v>Reg</v>
      </c>
      <c r="BE45" s="9">
        <f t="shared" si="16"/>
        <v>6.083333333333333</v>
      </c>
      <c r="BF45" s="9" t="str">
        <f t="shared" si="17"/>
        <v>Reg</v>
      </c>
      <c r="BG45" s="77">
        <f t="shared" si="18"/>
        <v>4</v>
      </c>
      <c r="BH45" s="76">
        <f t="shared" si="19"/>
        <v>2.5</v>
      </c>
      <c r="BI45" t="str">
        <f t="shared" si="20"/>
        <v/>
      </c>
      <c r="BJ45" s="306" t="e">
        <f>IF(Q45="-","-",VLOOKUP($A45,AMAPit!$A$10:$AY$122,BJ$9,FALSE)-Q45)</f>
        <v>#N/A</v>
      </c>
      <c r="BK45" s="306" t="e">
        <f>IF(R45="-","-",VLOOKUP($A45,AMAPit!$A$10:$AY$122,BK$9,FALSE)-R45)</f>
        <v>#N/A</v>
      </c>
      <c r="BL45" s="306" t="e">
        <f>IF(S45="-","-",VLOOKUP($A45,AMAPit!$A$10:$AY$122,BL$9,FALSE)-S45)</f>
        <v>#N/A</v>
      </c>
      <c r="BM45" s="306" t="e">
        <f>IF(T45="-","-",VLOOKUP($A45,AMAPit!$A$10:$AY$122,BM$9,FALSE)-T45)</f>
        <v>#N/A</v>
      </c>
      <c r="BN45" s="306" t="e">
        <f>IF(U45="-","-",VLOOKUP($A45,AMAPit!$A$10:$AY$122,BN$9,FALSE)-U45)</f>
        <v>#N/A</v>
      </c>
      <c r="BO45" s="306" t="e">
        <f>IF(V45="-","-",VLOOKUP($A45,AMAPit!$A$10:$AY$122,BO$9,FALSE)-V45)</f>
        <v>#N/A</v>
      </c>
      <c r="BP45" s="306" t="e">
        <f>IF(W45="-","-",VLOOKUP($A45,AMAPit!$A$10:$AY$122,BP$9,FALSE)-W45)</f>
        <v>#N/A</v>
      </c>
      <c r="BQ45" s="306" t="e">
        <f>IF(X45="-","-",VLOOKUP($A45,AMAPit!$A$10:$AY$122,BQ$9,FALSE)-X45)</f>
        <v>#N/A</v>
      </c>
      <c r="BR45" s="306" t="e">
        <f>IF(Y45="-","-",VLOOKUP($A45,AMAPit!$A$10:$AY$122,BR$9,FALSE)-Y45)</f>
        <v>#N/A</v>
      </c>
      <c r="BS45" s="306" t="e">
        <f>IF(Z45="-","-",VLOOKUP($A45,AMAPit!$A$10:$AY$122,BS$9,FALSE)-Z45)</f>
        <v>#N/A</v>
      </c>
      <c r="BT45" s="306" t="e">
        <f>IF(AA45="-","-",VLOOKUP($A45,AMAPit!$A$10:$AY$122,BT$9,FALSE)-AA45)</f>
        <v>#N/A</v>
      </c>
      <c r="BU45" s="306" t="e">
        <f>IF(AB45="-","-",VLOOKUP($A45,AMAPit!$A$10:$AY$122,BU$9,FALSE)-AB45)</f>
        <v>#N/A</v>
      </c>
      <c r="BV45" s="306" t="str">
        <f>IF(AC45="-","-",VLOOKUP($A45,AMAPit!$A$10:$AY$122,BV$9,FALSE)-AC45)</f>
        <v>-</v>
      </c>
      <c r="BW45" s="306" t="str">
        <f>IF(AD45="-","-",VLOOKUP($A45,AMAPit!$A$10:$AY$122,BW$9,FALSE)-AD45)</f>
        <v>-</v>
      </c>
      <c r="BX45" s="306" t="str">
        <f>IF(AE45="-","-",VLOOKUP($A45,AMAPit!$A$10:$AY$122,BX$9,FALSE)-AE45)</f>
        <v>-</v>
      </c>
      <c r="BY45" s="306" t="str">
        <f>IF(AF45="-","-",VLOOKUP($A45,AMAPit!$A$10:$AY$122,BY$9,FALSE)-AF45)</f>
        <v>-</v>
      </c>
      <c r="BZ45" s="306" t="str">
        <f>IF(AG45="-","-",VLOOKUP($A45,AMAPit!$A$10:$AY$122,BZ$9,FALSE)-AG45)</f>
        <v>-</v>
      </c>
      <c r="CA45" s="306" t="str">
        <f>IF(AH45="-","-",VLOOKUP($A45,AMAPit!$A$10:$AY$122,CA$9,FALSE)-AH45)</f>
        <v>-</v>
      </c>
      <c r="CB45" s="306" t="str">
        <f>IF(AI45="-","-",VLOOKUP($A45,AMAPit!$A$10:$AY$122,CB$9,FALSE)-AI45)</f>
        <v>-</v>
      </c>
      <c r="CC45" s="306" t="str">
        <f>IF(AJ45="-","-",VLOOKUP($A45,AMAPit!$A$10:$AY$122,CC$9,FALSE)-AJ45)</f>
        <v>-</v>
      </c>
      <c r="CD45" s="306" t="e">
        <f>IF(AK45="-","-",VLOOKUP($A45,AMAPit!$A$10:$AY$122,CD$9,FALSE)-AK45)</f>
        <v>#N/A</v>
      </c>
      <c r="CE45" s="306" t="e">
        <f>IF(AL45="-","-",VLOOKUP($A45,AMAPit!$A$10:$AY$122,CE$9,FALSE)-AL45)</f>
        <v>#N/A</v>
      </c>
      <c r="CF45" s="306" t="str">
        <f>IF(AM45="-","-",VLOOKUP($A45,AMAPit!$A$10:$AY$122,CF$9,FALSE)-AM45)</f>
        <v>-</v>
      </c>
      <c r="CG45" s="306" t="str">
        <f>IF(AN45="-","-",VLOOKUP($A45,AMAPit!$A$10:$AY$122,CG$9,FALSE)-AN45)</f>
        <v>-</v>
      </c>
      <c r="CH45" s="306" t="str">
        <f>IF(AO45="-","-",VLOOKUP($A45,AMAPit!$A$10:$AY$122,CH$9,FALSE)-AO45)</f>
        <v>-</v>
      </c>
      <c r="CI45" s="306" t="str">
        <f>IF(AP45="-","-",VLOOKUP($A45,AMAPit!$A$10:$AY$122,CI$9,FALSE)-AP45)</f>
        <v>-</v>
      </c>
      <c r="CJ45" s="306" t="str">
        <f>IF(AQ45="-","-",VLOOKUP($A45,AMAPit!$A$10:$AY$122,CJ$9,FALSE)-AQ45)</f>
        <v>-</v>
      </c>
      <c r="CK45" s="306" t="str">
        <f>IF(AR45="-","-",VLOOKUP($A45,AMAPit!$A$10:$AY$122,CK$9,FALSE)-AR45)</f>
        <v>-</v>
      </c>
      <c r="CL45" s="306" t="str">
        <f>IF(AS45="-","-",VLOOKUP($A45,AMAPit!$A$10:$AY$122,CL$9,FALSE)-AS45)</f>
        <v>-</v>
      </c>
      <c r="CM45" s="306" t="str">
        <f>IF(AT45="-","-",VLOOKUP($A45,AMAPit!$A$10:$AY$122,CM$9,FALSE)-AT45)</f>
        <v>-</v>
      </c>
      <c r="CN45" t="e">
        <f t="shared" si="21"/>
        <v>#N/A</v>
      </c>
    </row>
    <row r="46" spans="1:92" x14ac:dyDescent="0.25">
      <c r="A46" s="305" t="s">
        <v>559</v>
      </c>
      <c r="B46" s="305" t="s">
        <v>534</v>
      </c>
      <c r="C46" s="305"/>
      <c r="D46" s="305" t="s">
        <v>72</v>
      </c>
      <c r="E46" t="s">
        <v>87</v>
      </c>
      <c r="F46" t="s">
        <v>771</v>
      </c>
      <c r="G46" s="305" t="s">
        <v>493</v>
      </c>
      <c r="H46" t="s">
        <v>783</v>
      </c>
      <c r="I46" t="s">
        <v>185</v>
      </c>
      <c r="J46">
        <v>34</v>
      </c>
      <c r="K46" t="s">
        <v>83</v>
      </c>
      <c r="L46" s="210" t="s">
        <v>83</v>
      </c>
      <c r="M46" t="s">
        <v>808</v>
      </c>
      <c r="N46" t="s">
        <v>808</v>
      </c>
      <c r="O46" t="s">
        <v>200</v>
      </c>
      <c r="P46" s="210" t="s">
        <v>200</v>
      </c>
      <c r="Q46">
        <v>6</v>
      </c>
      <c r="R46">
        <v>4</v>
      </c>
      <c r="S46" s="210">
        <v>2</v>
      </c>
      <c r="T46">
        <v>6</v>
      </c>
      <c r="U46">
        <v>4</v>
      </c>
      <c r="V46" s="210">
        <v>2</v>
      </c>
      <c r="W46">
        <v>6</v>
      </c>
      <c r="X46">
        <v>6</v>
      </c>
      <c r="Y46">
        <v>2</v>
      </c>
      <c r="Z46">
        <v>2</v>
      </c>
      <c r="AA46" t="s">
        <v>32</v>
      </c>
      <c r="AB46" t="s">
        <v>32</v>
      </c>
      <c r="AC46">
        <v>7</v>
      </c>
      <c r="AD46">
        <v>7</v>
      </c>
      <c r="AE46" t="s">
        <v>32</v>
      </c>
      <c r="AF46" t="s">
        <v>32</v>
      </c>
      <c r="AG46" t="s">
        <v>32</v>
      </c>
      <c r="AH46" t="s">
        <v>32</v>
      </c>
      <c r="AI46" t="s">
        <v>32</v>
      </c>
      <c r="AJ46" t="s">
        <v>32</v>
      </c>
      <c r="AK46">
        <v>8</v>
      </c>
      <c r="AL46">
        <v>8</v>
      </c>
      <c r="AM46" t="s">
        <v>32</v>
      </c>
      <c r="AN46" t="s">
        <v>32</v>
      </c>
      <c r="AO46" t="s">
        <v>32</v>
      </c>
      <c r="AP46" t="s">
        <v>32</v>
      </c>
      <c r="AQ46" t="s">
        <v>32</v>
      </c>
      <c r="AR46" t="s">
        <v>32</v>
      </c>
      <c r="AS46" t="s">
        <v>32</v>
      </c>
      <c r="AT46" s="210" t="s">
        <v>32</v>
      </c>
      <c r="AU46" t="s">
        <v>209</v>
      </c>
      <c r="AV46">
        <v>9</v>
      </c>
      <c r="AW46" s="11" t="s">
        <v>393</v>
      </c>
      <c r="AX46" s="78" t="s">
        <v>32</v>
      </c>
      <c r="AY46" s="210">
        <v>1</v>
      </c>
      <c r="AZ46" s="372" t="s">
        <v>529</v>
      </c>
      <c r="BA46" s="6">
        <f t="shared" si="12"/>
        <v>4.75</v>
      </c>
      <c r="BB46" s="9" t="str">
        <f t="shared" si="13"/>
        <v>Bench</v>
      </c>
      <c r="BC46" s="9">
        <f t="shared" si="14"/>
        <v>4.75</v>
      </c>
      <c r="BD46" s="9" t="str">
        <f t="shared" si="15"/>
        <v>Bench</v>
      </c>
      <c r="BE46" s="9">
        <f t="shared" si="16"/>
        <v>4.75</v>
      </c>
      <c r="BF46" s="9" t="str">
        <f t="shared" si="17"/>
        <v>Bench</v>
      </c>
      <c r="BG46" s="77">
        <f t="shared" si="18"/>
        <v>4</v>
      </c>
      <c r="BH46" s="76">
        <f t="shared" si="19"/>
        <v>3</v>
      </c>
      <c r="BI46" t="str">
        <f t="shared" si="20"/>
        <v>Yes</v>
      </c>
      <c r="BJ46" s="306" t="e">
        <f>IF(Q46="-","-",VLOOKUP($A46,AMAPit!$A$10:$AY$122,BJ$9,FALSE)-Q46)</f>
        <v>#N/A</v>
      </c>
      <c r="BK46" s="306" t="e">
        <f>IF(R46="-","-",VLOOKUP($A46,AMAPit!$A$10:$AY$122,BK$9,FALSE)-R46)</f>
        <v>#N/A</v>
      </c>
      <c r="BL46" s="306" t="e">
        <f>IF(S46="-","-",VLOOKUP($A46,AMAPit!$A$10:$AY$122,BL$9,FALSE)-S46)</f>
        <v>#N/A</v>
      </c>
      <c r="BM46" s="306" t="e">
        <f>IF(T46="-","-",VLOOKUP($A46,AMAPit!$A$10:$AY$122,BM$9,FALSE)-T46)</f>
        <v>#N/A</v>
      </c>
      <c r="BN46" s="306" t="e">
        <f>IF(U46="-","-",VLOOKUP($A46,AMAPit!$A$10:$AY$122,BN$9,FALSE)-U46)</f>
        <v>#N/A</v>
      </c>
      <c r="BO46" s="306" t="e">
        <f>IF(V46="-","-",VLOOKUP($A46,AMAPit!$A$10:$AY$122,BO$9,FALSE)-V46)</f>
        <v>#N/A</v>
      </c>
      <c r="BP46" s="306" t="e">
        <f>IF(W46="-","-",VLOOKUP($A46,AMAPit!$A$10:$AY$122,BP$9,FALSE)-W46)</f>
        <v>#N/A</v>
      </c>
      <c r="BQ46" s="306" t="e">
        <f>IF(X46="-","-",VLOOKUP($A46,AMAPit!$A$10:$AY$122,BQ$9,FALSE)-X46)</f>
        <v>#N/A</v>
      </c>
      <c r="BR46" s="306" t="e">
        <f>IF(Y46="-","-",VLOOKUP($A46,AMAPit!$A$10:$AY$122,BR$9,FALSE)-Y46)</f>
        <v>#N/A</v>
      </c>
      <c r="BS46" s="306" t="e">
        <f>IF(Z46="-","-",VLOOKUP($A46,AMAPit!$A$10:$AY$122,BS$9,FALSE)-Z46)</f>
        <v>#N/A</v>
      </c>
      <c r="BT46" s="306" t="str">
        <f>IF(AA46="-","-",VLOOKUP($A46,AMAPit!$A$10:$AY$122,BT$9,FALSE)-AA46)</f>
        <v>-</v>
      </c>
      <c r="BU46" s="306" t="str">
        <f>IF(AB46="-","-",VLOOKUP($A46,AMAPit!$A$10:$AY$122,BU$9,FALSE)-AB46)</f>
        <v>-</v>
      </c>
      <c r="BV46" s="306" t="e">
        <f>IF(AC46="-","-",VLOOKUP($A46,AMAPit!$A$10:$AY$122,BV$9,FALSE)-AC46)</f>
        <v>#N/A</v>
      </c>
      <c r="BW46" s="306" t="e">
        <f>IF(AD46="-","-",VLOOKUP($A46,AMAPit!$A$10:$AY$122,BW$9,FALSE)-AD46)</f>
        <v>#N/A</v>
      </c>
      <c r="BX46" s="306" t="str">
        <f>IF(AE46="-","-",VLOOKUP($A46,AMAPit!$A$10:$AY$122,BX$9,FALSE)-AE46)</f>
        <v>-</v>
      </c>
      <c r="BY46" s="306" t="str">
        <f>IF(AF46="-","-",VLOOKUP($A46,AMAPit!$A$10:$AY$122,BY$9,FALSE)-AF46)</f>
        <v>-</v>
      </c>
      <c r="BZ46" s="306" t="str">
        <f>IF(AG46="-","-",VLOOKUP($A46,AMAPit!$A$10:$AY$122,BZ$9,FALSE)-AG46)</f>
        <v>-</v>
      </c>
      <c r="CA46" s="306" t="str">
        <f>IF(AH46="-","-",VLOOKUP($A46,AMAPit!$A$10:$AY$122,CA$9,FALSE)-AH46)</f>
        <v>-</v>
      </c>
      <c r="CB46" s="306" t="str">
        <f>IF(AI46="-","-",VLOOKUP($A46,AMAPit!$A$10:$AY$122,CB$9,FALSE)-AI46)</f>
        <v>-</v>
      </c>
      <c r="CC46" s="306" t="str">
        <f>IF(AJ46="-","-",VLOOKUP($A46,AMAPit!$A$10:$AY$122,CC$9,FALSE)-AJ46)</f>
        <v>-</v>
      </c>
      <c r="CD46" s="306" t="e">
        <f>IF(AK46="-","-",VLOOKUP($A46,AMAPit!$A$10:$AY$122,CD$9,FALSE)-AK46)</f>
        <v>#N/A</v>
      </c>
      <c r="CE46" s="306" t="e">
        <f>IF(AL46="-","-",VLOOKUP($A46,AMAPit!$A$10:$AY$122,CE$9,FALSE)-AL46)</f>
        <v>#N/A</v>
      </c>
      <c r="CF46" s="306" t="str">
        <f>IF(AM46="-","-",VLOOKUP($A46,AMAPit!$A$10:$AY$122,CF$9,FALSE)-AM46)</f>
        <v>-</v>
      </c>
      <c r="CG46" s="306" t="str">
        <f>IF(AN46="-","-",VLOOKUP($A46,AMAPit!$A$10:$AY$122,CG$9,FALSE)-AN46)</f>
        <v>-</v>
      </c>
      <c r="CH46" s="306" t="str">
        <f>IF(AO46="-","-",VLOOKUP($A46,AMAPit!$A$10:$AY$122,CH$9,FALSE)-AO46)</f>
        <v>-</v>
      </c>
      <c r="CI46" s="306" t="str">
        <f>IF(AP46="-","-",VLOOKUP($A46,AMAPit!$A$10:$AY$122,CI$9,FALSE)-AP46)</f>
        <v>-</v>
      </c>
      <c r="CJ46" s="306" t="str">
        <f>IF(AQ46="-","-",VLOOKUP($A46,AMAPit!$A$10:$AY$122,CJ$9,FALSE)-AQ46)</f>
        <v>-</v>
      </c>
      <c r="CK46" s="306" t="str">
        <f>IF(AR46="-","-",VLOOKUP($A46,AMAPit!$A$10:$AY$122,CK$9,FALSE)-AR46)</f>
        <v>-</v>
      </c>
      <c r="CL46" s="306" t="str">
        <f>IF(AS46="-","-",VLOOKUP($A46,AMAPit!$A$10:$AY$122,CL$9,FALSE)-AS46)</f>
        <v>-</v>
      </c>
      <c r="CM46" s="306" t="str">
        <f>IF(AT46="-","-",VLOOKUP($A46,AMAPit!$A$10:$AY$122,CM$9,FALSE)-AT46)</f>
        <v>-</v>
      </c>
      <c r="CN46" t="e">
        <f t="shared" si="21"/>
        <v>#N/A</v>
      </c>
    </row>
    <row r="47" spans="1:92" x14ac:dyDescent="0.25">
      <c r="A47" s="305" t="s">
        <v>560</v>
      </c>
      <c r="B47" s="305" t="s">
        <v>534</v>
      </c>
      <c r="C47" s="305"/>
      <c r="D47" s="305" t="s">
        <v>72</v>
      </c>
      <c r="E47" t="s">
        <v>87</v>
      </c>
      <c r="F47" t="s">
        <v>445</v>
      </c>
      <c r="G47" s="305" t="s">
        <v>1148</v>
      </c>
      <c r="H47" t="s">
        <v>814</v>
      </c>
      <c r="I47" t="s">
        <v>187</v>
      </c>
      <c r="J47">
        <v>23</v>
      </c>
      <c r="K47" t="s">
        <v>83</v>
      </c>
      <c r="L47" s="210" t="s">
        <v>83</v>
      </c>
      <c r="M47" t="s">
        <v>816</v>
      </c>
      <c r="N47" t="s">
        <v>816</v>
      </c>
      <c r="O47" t="s">
        <v>200</v>
      </c>
      <c r="P47" s="210" t="s">
        <v>199</v>
      </c>
      <c r="Q47">
        <v>5</v>
      </c>
      <c r="R47">
        <v>5</v>
      </c>
      <c r="S47" s="210">
        <v>1</v>
      </c>
      <c r="T47">
        <v>5</v>
      </c>
      <c r="U47">
        <v>6</v>
      </c>
      <c r="V47" s="210">
        <v>1</v>
      </c>
      <c r="W47">
        <v>6</v>
      </c>
      <c r="X47">
        <v>6</v>
      </c>
      <c r="Y47">
        <v>5</v>
      </c>
      <c r="Z47">
        <v>5</v>
      </c>
      <c r="AA47">
        <v>5</v>
      </c>
      <c r="AB47">
        <v>5</v>
      </c>
      <c r="AC47">
        <v>3</v>
      </c>
      <c r="AD47">
        <v>3</v>
      </c>
      <c r="AE47" t="s">
        <v>32</v>
      </c>
      <c r="AF47" t="s">
        <v>32</v>
      </c>
      <c r="AG47" t="s">
        <v>32</v>
      </c>
      <c r="AH47" t="s">
        <v>32</v>
      </c>
      <c r="AI47" t="s">
        <v>32</v>
      </c>
      <c r="AJ47" t="s">
        <v>32</v>
      </c>
      <c r="AK47">
        <v>6</v>
      </c>
      <c r="AL47">
        <v>6</v>
      </c>
      <c r="AM47" t="s">
        <v>32</v>
      </c>
      <c r="AN47" t="s">
        <v>32</v>
      </c>
      <c r="AO47" t="s">
        <v>32</v>
      </c>
      <c r="AP47" t="s">
        <v>32</v>
      </c>
      <c r="AQ47" t="s">
        <v>32</v>
      </c>
      <c r="AR47" t="s">
        <v>32</v>
      </c>
      <c r="AS47" t="s">
        <v>32</v>
      </c>
      <c r="AT47" s="210" t="s">
        <v>32</v>
      </c>
      <c r="AU47" t="s">
        <v>333</v>
      </c>
      <c r="AV47">
        <v>6</v>
      </c>
      <c r="AW47" s="11" t="s">
        <v>394</v>
      </c>
      <c r="AX47" s="78" t="s">
        <v>32</v>
      </c>
      <c r="AY47" s="210" t="s">
        <v>33</v>
      </c>
      <c r="AZ47" s="372" t="s">
        <v>199</v>
      </c>
      <c r="BA47" s="6">
        <f t="shared" si="12"/>
        <v>4.6666666666666661</v>
      </c>
      <c r="BB47" s="9" t="str">
        <f t="shared" si="13"/>
        <v>Bench</v>
      </c>
      <c r="BC47" s="9">
        <f t="shared" si="14"/>
        <v>5</v>
      </c>
      <c r="BD47" s="9" t="str">
        <f t="shared" si="15"/>
        <v>Bench</v>
      </c>
      <c r="BE47" s="9">
        <f t="shared" si="16"/>
        <v>5</v>
      </c>
      <c r="BF47" s="9" t="str">
        <f t="shared" si="17"/>
        <v>Bench</v>
      </c>
      <c r="BG47" s="77">
        <f t="shared" si="18"/>
        <v>5</v>
      </c>
      <c r="BH47" s="76">
        <f t="shared" si="19"/>
        <v>2</v>
      </c>
      <c r="BI47" t="str">
        <f t="shared" si="20"/>
        <v/>
      </c>
      <c r="BJ47" s="306" t="e">
        <f>IF(Q47="-","-",VLOOKUP($A47,AMAPit!$A$10:$AY$122,BJ$9,FALSE)-Q47)</f>
        <v>#N/A</v>
      </c>
      <c r="BK47" s="306" t="e">
        <f>IF(R47="-","-",VLOOKUP($A47,AMAPit!$A$10:$AY$122,BK$9,FALSE)-R47)</f>
        <v>#N/A</v>
      </c>
      <c r="BL47" s="306" t="e">
        <f>IF(S47="-","-",VLOOKUP($A47,AMAPit!$A$10:$AY$122,BL$9,FALSE)-S47)</f>
        <v>#N/A</v>
      </c>
      <c r="BM47" s="306" t="e">
        <f>IF(T47="-","-",VLOOKUP($A47,AMAPit!$A$10:$AY$122,BM$9,FALSE)-T47)</f>
        <v>#N/A</v>
      </c>
      <c r="BN47" s="306" t="e">
        <f>IF(U47="-","-",VLOOKUP($A47,AMAPit!$A$10:$AY$122,BN$9,FALSE)-U47)</f>
        <v>#N/A</v>
      </c>
      <c r="BO47" s="306" t="e">
        <f>IF(V47="-","-",VLOOKUP($A47,AMAPit!$A$10:$AY$122,BO$9,FALSE)-V47)</f>
        <v>#N/A</v>
      </c>
      <c r="BP47" s="306" t="e">
        <f>IF(W47="-","-",VLOOKUP($A47,AMAPit!$A$10:$AY$122,BP$9,FALSE)-W47)</f>
        <v>#N/A</v>
      </c>
      <c r="BQ47" s="306" t="e">
        <f>IF(X47="-","-",VLOOKUP($A47,AMAPit!$A$10:$AY$122,BQ$9,FALSE)-X47)</f>
        <v>#N/A</v>
      </c>
      <c r="BR47" s="306" t="e">
        <f>IF(Y47="-","-",VLOOKUP($A47,AMAPit!$A$10:$AY$122,BR$9,FALSE)-Y47)</f>
        <v>#N/A</v>
      </c>
      <c r="BS47" s="306" t="e">
        <f>IF(Z47="-","-",VLOOKUP($A47,AMAPit!$A$10:$AY$122,BS$9,FALSE)-Z47)</f>
        <v>#N/A</v>
      </c>
      <c r="BT47" s="306" t="e">
        <f>IF(AA47="-","-",VLOOKUP($A47,AMAPit!$A$10:$AY$122,BT$9,FALSE)-AA47)</f>
        <v>#N/A</v>
      </c>
      <c r="BU47" s="306" t="e">
        <f>IF(AB47="-","-",VLOOKUP($A47,AMAPit!$A$10:$AY$122,BU$9,FALSE)-AB47)</f>
        <v>#N/A</v>
      </c>
      <c r="BV47" s="306" t="e">
        <f>IF(AC47="-","-",VLOOKUP($A47,AMAPit!$A$10:$AY$122,BV$9,FALSE)-AC47)</f>
        <v>#N/A</v>
      </c>
      <c r="BW47" s="306" t="e">
        <f>IF(AD47="-","-",VLOOKUP($A47,AMAPit!$A$10:$AY$122,BW$9,FALSE)-AD47)</f>
        <v>#N/A</v>
      </c>
      <c r="BX47" s="306" t="str">
        <f>IF(AE47="-","-",VLOOKUP($A47,AMAPit!$A$10:$AY$122,BX$9,FALSE)-AE47)</f>
        <v>-</v>
      </c>
      <c r="BY47" s="306" t="str">
        <f>IF(AF47="-","-",VLOOKUP($A47,AMAPit!$A$10:$AY$122,BY$9,FALSE)-AF47)</f>
        <v>-</v>
      </c>
      <c r="BZ47" s="306" t="str">
        <f>IF(AG47="-","-",VLOOKUP($A47,AMAPit!$A$10:$AY$122,BZ$9,FALSE)-AG47)</f>
        <v>-</v>
      </c>
      <c r="CA47" s="306" t="str">
        <f>IF(AH47="-","-",VLOOKUP($A47,AMAPit!$A$10:$AY$122,CA$9,FALSE)-AH47)</f>
        <v>-</v>
      </c>
      <c r="CB47" s="306" t="str">
        <f>IF(AI47="-","-",VLOOKUP($A47,AMAPit!$A$10:$AY$122,CB$9,FALSE)-AI47)</f>
        <v>-</v>
      </c>
      <c r="CC47" s="306" t="str">
        <f>IF(AJ47="-","-",VLOOKUP($A47,AMAPit!$A$10:$AY$122,CC$9,FALSE)-AJ47)</f>
        <v>-</v>
      </c>
      <c r="CD47" s="306" t="e">
        <f>IF(AK47="-","-",VLOOKUP($A47,AMAPit!$A$10:$AY$122,CD$9,FALSE)-AK47)</f>
        <v>#N/A</v>
      </c>
      <c r="CE47" s="306" t="e">
        <f>IF(AL47="-","-",VLOOKUP($A47,AMAPit!$A$10:$AY$122,CE$9,FALSE)-AL47)</f>
        <v>#N/A</v>
      </c>
      <c r="CF47" s="306" t="str">
        <f>IF(AM47="-","-",VLOOKUP($A47,AMAPit!$A$10:$AY$122,CF$9,FALSE)-AM47)</f>
        <v>-</v>
      </c>
      <c r="CG47" s="306" t="str">
        <f>IF(AN47="-","-",VLOOKUP($A47,AMAPit!$A$10:$AY$122,CG$9,FALSE)-AN47)</f>
        <v>-</v>
      </c>
      <c r="CH47" s="306" t="str">
        <f>IF(AO47="-","-",VLOOKUP($A47,AMAPit!$A$10:$AY$122,CH$9,FALSE)-AO47)</f>
        <v>-</v>
      </c>
      <c r="CI47" s="306" t="str">
        <f>IF(AP47="-","-",VLOOKUP($A47,AMAPit!$A$10:$AY$122,CI$9,FALSE)-AP47)</f>
        <v>-</v>
      </c>
      <c r="CJ47" s="306" t="str">
        <f>IF(AQ47="-","-",VLOOKUP($A47,AMAPit!$A$10:$AY$122,CJ$9,FALSE)-AQ47)</f>
        <v>-</v>
      </c>
      <c r="CK47" s="306" t="str">
        <f>IF(AR47="-","-",VLOOKUP($A47,AMAPit!$A$10:$AY$122,CK$9,FALSE)-AR47)</f>
        <v>-</v>
      </c>
      <c r="CL47" s="306" t="str">
        <f>IF(AS47="-","-",VLOOKUP($A47,AMAPit!$A$10:$AY$122,CL$9,FALSE)-AS47)</f>
        <v>-</v>
      </c>
      <c r="CM47" s="306" t="str">
        <f>IF(AT47="-","-",VLOOKUP($A47,AMAPit!$A$10:$AY$122,CM$9,FALSE)-AT47)</f>
        <v>-</v>
      </c>
      <c r="CN47" t="e">
        <f t="shared" si="21"/>
        <v>#N/A</v>
      </c>
    </row>
    <row r="48" spans="1:92" x14ac:dyDescent="0.25">
      <c r="A48" s="305" t="s">
        <v>465</v>
      </c>
      <c r="B48" s="305" t="s">
        <v>185</v>
      </c>
      <c r="C48" s="305"/>
      <c r="D48" s="305" t="s">
        <v>81</v>
      </c>
      <c r="E48" t="s">
        <v>87</v>
      </c>
      <c r="F48" t="s">
        <v>421</v>
      </c>
      <c r="G48" s="305" t="s">
        <v>815</v>
      </c>
      <c r="H48" t="s">
        <v>802</v>
      </c>
      <c r="I48" t="s">
        <v>277</v>
      </c>
      <c r="J48">
        <v>20</v>
      </c>
      <c r="K48" t="s">
        <v>82</v>
      </c>
      <c r="L48" s="210" t="s">
        <v>83</v>
      </c>
      <c r="M48" t="s">
        <v>803</v>
      </c>
      <c r="N48" t="s">
        <v>764</v>
      </c>
      <c r="O48" t="s">
        <v>200</v>
      </c>
      <c r="P48" s="210" t="s">
        <v>199</v>
      </c>
      <c r="Q48">
        <v>4</v>
      </c>
      <c r="R48">
        <v>5</v>
      </c>
      <c r="S48" s="210">
        <v>3</v>
      </c>
      <c r="T48">
        <v>6</v>
      </c>
      <c r="U48">
        <v>6</v>
      </c>
      <c r="V48" s="210">
        <v>5</v>
      </c>
      <c r="W48">
        <v>7</v>
      </c>
      <c r="X48">
        <v>8</v>
      </c>
      <c r="Y48">
        <v>2</v>
      </c>
      <c r="Z48">
        <v>8</v>
      </c>
      <c r="AA48">
        <v>5</v>
      </c>
      <c r="AB48">
        <v>7</v>
      </c>
      <c r="AC48" t="s">
        <v>32</v>
      </c>
      <c r="AD48" t="s">
        <v>32</v>
      </c>
      <c r="AE48" t="s">
        <v>32</v>
      </c>
      <c r="AF48" t="s">
        <v>32</v>
      </c>
      <c r="AG48" t="s">
        <v>32</v>
      </c>
      <c r="AH48" t="s">
        <v>32</v>
      </c>
      <c r="AI48" t="s">
        <v>32</v>
      </c>
      <c r="AJ48" t="s">
        <v>32</v>
      </c>
      <c r="AK48" t="s">
        <v>32</v>
      </c>
      <c r="AL48" t="s">
        <v>32</v>
      </c>
      <c r="AM48" t="s">
        <v>32</v>
      </c>
      <c r="AN48" t="s">
        <v>32</v>
      </c>
      <c r="AO48" t="s">
        <v>32</v>
      </c>
      <c r="AP48" t="s">
        <v>32</v>
      </c>
      <c r="AQ48" t="s">
        <v>32</v>
      </c>
      <c r="AR48" t="s">
        <v>32</v>
      </c>
      <c r="AS48" t="s">
        <v>32</v>
      </c>
      <c r="AT48" s="210" t="s">
        <v>32</v>
      </c>
      <c r="AU48" t="s">
        <v>6</v>
      </c>
      <c r="AV48">
        <v>7</v>
      </c>
      <c r="AW48" s="11" t="s">
        <v>394</v>
      </c>
      <c r="AX48" s="78" t="s">
        <v>32</v>
      </c>
      <c r="AY48" s="210" t="s">
        <v>33</v>
      </c>
      <c r="AZ48" s="372" t="s">
        <v>529</v>
      </c>
      <c r="BA48" s="6">
        <f t="shared" si="12"/>
        <v>4.5</v>
      </c>
      <c r="BB48" s="9" t="str">
        <f t="shared" si="13"/>
        <v>Bench</v>
      </c>
      <c r="BC48" s="9">
        <f t="shared" si="14"/>
        <v>6.166666666666667</v>
      </c>
      <c r="BD48" s="9" t="str">
        <f t="shared" si="15"/>
        <v>Reg</v>
      </c>
      <c r="BE48" s="9">
        <f t="shared" si="16"/>
        <v>6.166666666666667</v>
      </c>
      <c r="BF48" s="9" t="str">
        <f t="shared" si="17"/>
        <v>Reg</v>
      </c>
      <c r="BG48" s="77">
        <f t="shared" si="18"/>
        <v>3</v>
      </c>
      <c r="BH48" s="76">
        <f t="shared" si="19"/>
        <v>2</v>
      </c>
      <c r="BI48" t="str">
        <f t="shared" si="20"/>
        <v/>
      </c>
      <c r="BJ48" s="306" t="e">
        <f>IF(Q48="-","-",VLOOKUP($A48,AMAPit!$A$10:$AY$122,BJ$9,FALSE)-Q48)</f>
        <v>#N/A</v>
      </c>
      <c r="BK48" s="306" t="e">
        <f>IF(R48="-","-",VLOOKUP($A48,AMAPit!$A$10:$AY$122,BK$9,FALSE)-R48)</f>
        <v>#N/A</v>
      </c>
      <c r="BL48" s="306" t="e">
        <f>IF(S48="-","-",VLOOKUP($A48,AMAPit!$A$10:$AY$122,BL$9,FALSE)-S48)</f>
        <v>#N/A</v>
      </c>
      <c r="BM48" s="306" t="e">
        <f>IF(T48="-","-",VLOOKUP($A48,AMAPit!$A$10:$AY$122,BM$9,FALSE)-T48)</f>
        <v>#N/A</v>
      </c>
      <c r="BN48" s="306" t="e">
        <f>IF(U48="-","-",VLOOKUP($A48,AMAPit!$A$10:$AY$122,BN$9,FALSE)-U48)</f>
        <v>#N/A</v>
      </c>
      <c r="BO48" s="306" t="e">
        <f>IF(V48="-","-",VLOOKUP($A48,AMAPit!$A$10:$AY$122,BO$9,FALSE)-V48)</f>
        <v>#N/A</v>
      </c>
      <c r="BP48" s="306" t="e">
        <f>IF(W48="-","-",VLOOKUP($A48,AMAPit!$A$10:$AY$122,BP$9,FALSE)-W48)</f>
        <v>#N/A</v>
      </c>
      <c r="BQ48" s="306" t="e">
        <f>IF(X48="-","-",VLOOKUP($A48,AMAPit!$A$10:$AY$122,BQ$9,FALSE)-X48)</f>
        <v>#N/A</v>
      </c>
      <c r="BR48" s="306" t="e">
        <f>IF(Y48="-","-",VLOOKUP($A48,AMAPit!$A$10:$AY$122,BR$9,FALSE)-Y48)</f>
        <v>#N/A</v>
      </c>
      <c r="BS48" s="306" t="e">
        <f>IF(Z48="-","-",VLOOKUP($A48,AMAPit!$A$10:$AY$122,BS$9,FALSE)-Z48)</f>
        <v>#N/A</v>
      </c>
      <c r="BT48" s="306" t="e">
        <f>IF(AA48="-","-",VLOOKUP($A48,AMAPit!$A$10:$AY$122,BT$9,FALSE)-AA48)</f>
        <v>#N/A</v>
      </c>
      <c r="BU48" s="306" t="e">
        <f>IF(AB48="-","-",VLOOKUP($A48,AMAPit!$A$10:$AY$122,BU$9,FALSE)-AB48)</f>
        <v>#N/A</v>
      </c>
      <c r="BV48" s="306" t="str">
        <f>IF(AC48="-","-",VLOOKUP($A48,AMAPit!$A$10:$AY$122,BV$9,FALSE)-AC48)</f>
        <v>-</v>
      </c>
      <c r="BW48" s="306" t="str">
        <f>IF(AD48="-","-",VLOOKUP($A48,AMAPit!$A$10:$AY$122,BW$9,FALSE)-AD48)</f>
        <v>-</v>
      </c>
      <c r="BX48" s="306" t="str">
        <f>IF(AE48="-","-",VLOOKUP($A48,AMAPit!$A$10:$AY$122,BX$9,FALSE)-AE48)</f>
        <v>-</v>
      </c>
      <c r="BY48" s="306" t="str">
        <f>IF(AF48="-","-",VLOOKUP($A48,AMAPit!$A$10:$AY$122,BY$9,FALSE)-AF48)</f>
        <v>-</v>
      </c>
      <c r="BZ48" s="306" t="str">
        <f>IF(AG48="-","-",VLOOKUP($A48,AMAPit!$A$10:$AY$122,BZ$9,FALSE)-AG48)</f>
        <v>-</v>
      </c>
      <c r="CA48" s="306" t="str">
        <f>IF(AH48="-","-",VLOOKUP($A48,AMAPit!$A$10:$AY$122,CA$9,FALSE)-AH48)</f>
        <v>-</v>
      </c>
      <c r="CB48" s="306" t="str">
        <f>IF(AI48="-","-",VLOOKUP($A48,AMAPit!$A$10:$AY$122,CB$9,FALSE)-AI48)</f>
        <v>-</v>
      </c>
      <c r="CC48" s="306" t="str">
        <f>IF(AJ48="-","-",VLOOKUP($A48,AMAPit!$A$10:$AY$122,CC$9,FALSE)-AJ48)</f>
        <v>-</v>
      </c>
      <c r="CD48" s="306" t="str">
        <f>IF(AK48="-","-",VLOOKUP($A48,AMAPit!$A$10:$AY$122,CD$9,FALSE)-AK48)</f>
        <v>-</v>
      </c>
      <c r="CE48" s="306" t="str">
        <f>IF(AL48="-","-",VLOOKUP($A48,AMAPit!$A$10:$AY$122,CE$9,FALSE)-AL48)</f>
        <v>-</v>
      </c>
      <c r="CF48" s="306" t="str">
        <f>IF(AM48="-","-",VLOOKUP($A48,AMAPit!$A$10:$AY$122,CF$9,FALSE)-AM48)</f>
        <v>-</v>
      </c>
      <c r="CG48" s="306" t="str">
        <f>IF(AN48="-","-",VLOOKUP($A48,AMAPit!$A$10:$AY$122,CG$9,FALSE)-AN48)</f>
        <v>-</v>
      </c>
      <c r="CH48" s="306" t="str">
        <f>IF(AO48="-","-",VLOOKUP($A48,AMAPit!$A$10:$AY$122,CH$9,FALSE)-AO48)</f>
        <v>-</v>
      </c>
      <c r="CI48" s="306" t="str">
        <f>IF(AP48="-","-",VLOOKUP($A48,AMAPit!$A$10:$AY$122,CI$9,FALSE)-AP48)</f>
        <v>-</v>
      </c>
      <c r="CJ48" s="306" t="str">
        <f>IF(AQ48="-","-",VLOOKUP($A48,AMAPit!$A$10:$AY$122,CJ$9,FALSE)-AQ48)</f>
        <v>-</v>
      </c>
      <c r="CK48" s="306" t="str">
        <f>IF(AR48="-","-",VLOOKUP($A48,AMAPit!$A$10:$AY$122,CK$9,FALSE)-AR48)</f>
        <v>-</v>
      </c>
      <c r="CL48" s="306" t="str">
        <f>IF(AS48="-","-",VLOOKUP($A48,AMAPit!$A$10:$AY$122,CL$9,FALSE)-AS48)</f>
        <v>-</v>
      </c>
      <c r="CM48" s="306" t="str">
        <f>IF(AT48="-","-",VLOOKUP($A48,AMAPit!$A$10:$AY$122,CM$9,FALSE)-AT48)</f>
        <v>-</v>
      </c>
      <c r="CN48" t="e">
        <f t="shared" si="21"/>
        <v>#N/A</v>
      </c>
    </row>
    <row r="49" spans="1:92" x14ac:dyDescent="0.25">
      <c r="A49" s="305" t="s">
        <v>561</v>
      </c>
      <c r="B49" s="305" t="s">
        <v>534</v>
      </c>
      <c r="C49" s="305"/>
      <c r="D49" s="305" t="s">
        <v>81</v>
      </c>
      <c r="E49" t="s">
        <v>11</v>
      </c>
      <c r="F49" t="s">
        <v>966</v>
      </c>
      <c r="G49" s="305" t="s">
        <v>967</v>
      </c>
      <c r="H49" t="s">
        <v>783</v>
      </c>
      <c r="I49" t="s">
        <v>185</v>
      </c>
      <c r="J49">
        <v>27</v>
      </c>
      <c r="K49" t="s">
        <v>83</v>
      </c>
      <c r="L49" s="210" t="s">
        <v>83</v>
      </c>
      <c r="M49" t="s">
        <v>816</v>
      </c>
      <c r="N49" t="s">
        <v>816</v>
      </c>
      <c r="O49" t="s">
        <v>200</v>
      </c>
      <c r="P49" s="210" t="s">
        <v>200</v>
      </c>
      <c r="Q49">
        <v>5</v>
      </c>
      <c r="R49">
        <v>3</v>
      </c>
      <c r="S49" s="210">
        <v>4</v>
      </c>
      <c r="T49">
        <v>6</v>
      </c>
      <c r="U49">
        <v>3</v>
      </c>
      <c r="V49" s="210">
        <v>4</v>
      </c>
      <c r="W49">
        <v>6</v>
      </c>
      <c r="X49">
        <v>6</v>
      </c>
      <c r="Y49">
        <v>1</v>
      </c>
      <c r="Z49">
        <v>2</v>
      </c>
      <c r="AA49" t="s">
        <v>32</v>
      </c>
      <c r="AB49" t="s">
        <v>32</v>
      </c>
      <c r="AC49" t="s">
        <v>32</v>
      </c>
      <c r="AD49" t="s">
        <v>32</v>
      </c>
      <c r="AE49">
        <v>6</v>
      </c>
      <c r="AF49">
        <v>6</v>
      </c>
      <c r="AG49" t="s">
        <v>32</v>
      </c>
      <c r="AH49" t="s">
        <v>32</v>
      </c>
      <c r="AI49" t="s">
        <v>32</v>
      </c>
      <c r="AJ49" t="s">
        <v>32</v>
      </c>
      <c r="AK49" t="s">
        <v>32</v>
      </c>
      <c r="AL49" t="s">
        <v>32</v>
      </c>
      <c r="AM49" t="s">
        <v>32</v>
      </c>
      <c r="AN49" t="s">
        <v>32</v>
      </c>
      <c r="AO49" t="s">
        <v>32</v>
      </c>
      <c r="AP49" t="s">
        <v>32</v>
      </c>
      <c r="AQ49" t="s">
        <v>32</v>
      </c>
      <c r="AR49" t="s">
        <v>32</v>
      </c>
      <c r="AS49" t="s">
        <v>32</v>
      </c>
      <c r="AT49" s="210" t="s">
        <v>32</v>
      </c>
      <c r="AU49" t="s">
        <v>2</v>
      </c>
      <c r="AV49">
        <v>9</v>
      </c>
      <c r="AW49" s="11" t="s">
        <v>393</v>
      </c>
      <c r="AX49" s="78" t="s">
        <v>32</v>
      </c>
      <c r="AY49" s="210">
        <v>0</v>
      </c>
      <c r="AZ49" s="372" t="s">
        <v>529</v>
      </c>
      <c r="BA49" s="6">
        <f t="shared" si="12"/>
        <v>4.5</v>
      </c>
      <c r="BB49" s="9" t="str">
        <f t="shared" si="13"/>
        <v>Bench</v>
      </c>
      <c r="BC49" s="9">
        <f t="shared" si="14"/>
        <v>4.833333333333333</v>
      </c>
      <c r="BD49" s="9" t="str">
        <f t="shared" si="15"/>
        <v>Bench</v>
      </c>
      <c r="BE49" s="9">
        <f t="shared" si="16"/>
        <v>4.833333333333333</v>
      </c>
      <c r="BF49" s="9" t="str">
        <f t="shared" si="17"/>
        <v>Bench</v>
      </c>
      <c r="BG49" s="77">
        <f t="shared" si="18"/>
        <v>3</v>
      </c>
      <c r="BH49" s="76">
        <f t="shared" si="19"/>
        <v>2</v>
      </c>
      <c r="BI49" t="str">
        <f t="shared" si="20"/>
        <v/>
      </c>
      <c r="BJ49" s="306" t="e">
        <f>IF(Q49="-","-",VLOOKUP($A49,AMAPit!$A$10:$AY$122,BJ$9,FALSE)-Q49)</f>
        <v>#N/A</v>
      </c>
      <c r="BK49" s="306" t="e">
        <f>IF(R49="-","-",VLOOKUP($A49,AMAPit!$A$10:$AY$122,BK$9,FALSE)-R49)</f>
        <v>#N/A</v>
      </c>
      <c r="BL49" s="306" t="e">
        <f>IF(S49="-","-",VLOOKUP($A49,AMAPit!$A$10:$AY$122,BL$9,FALSE)-S49)</f>
        <v>#N/A</v>
      </c>
      <c r="BM49" s="306" t="e">
        <f>IF(T49="-","-",VLOOKUP($A49,AMAPit!$A$10:$AY$122,BM$9,FALSE)-T49)</f>
        <v>#N/A</v>
      </c>
      <c r="BN49" s="306" t="e">
        <f>IF(U49="-","-",VLOOKUP($A49,AMAPit!$A$10:$AY$122,BN$9,FALSE)-U49)</f>
        <v>#N/A</v>
      </c>
      <c r="BO49" s="306" t="e">
        <f>IF(V49="-","-",VLOOKUP($A49,AMAPit!$A$10:$AY$122,BO$9,FALSE)-V49)</f>
        <v>#N/A</v>
      </c>
      <c r="BP49" s="306" t="e">
        <f>IF(W49="-","-",VLOOKUP($A49,AMAPit!$A$10:$AY$122,BP$9,FALSE)-W49)</f>
        <v>#N/A</v>
      </c>
      <c r="BQ49" s="306" t="e">
        <f>IF(X49="-","-",VLOOKUP($A49,AMAPit!$A$10:$AY$122,BQ$9,FALSE)-X49)</f>
        <v>#N/A</v>
      </c>
      <c r="BR49" s="306" t="e">
        <f>IF(Y49="-","-",VLOOKUP($A49,AMAPit!$A$10:$AY$122,BR$9,FALSE)-Y49)</f>
        <v>#N/A</v>
      </c>
      <c r="BS49" s="306" t="e">
        <f>IF(Z49="-","-",VLOOKUP($A49,AMAPit!$A$10:$AY$122,BS$9,FALSE)-Z49)</f>
        <v>#N/A</v>
      </c>
      <c r="BT49" s="306" t="str">
        <f>IF(AA49="-","-",VLOOKUP($A49,AMAPit!$A$10:$AY$122,BT$9,FALSE)-AA49)</f>
        <v>-</v>
      </c>
      <c r="BU49" s="306" t="str">
        <f>IF(AB49="-","-",VLOOKUP($A49,AMAPit!$A$10:$AY$122,BU$9,FALSE)-AB49)</f>
        <v>-</v>
      </c>
      <c r="BV49" s="306" t="str">
        <f>IF(AC49="-","-",VLOOKUP($A49,AMAPit!$A$10:$AY$122,BV$9,FALSE)-AC49)</f>
        <v>-</v>
      </c>
      <c r="BW49" s="306" t="str">
        <f>IF(AD49="-","-",VLOOKUP($A49,AMAPit!$A$10:$AY$122,BW$9,FALSE)-AD49)</f>
        <v>-</v>
      </c>
      <c r="BX49" s="306" t="e">
        <f>IF(AE49="-","-",VLOOKUP($A49,AMAPit!$A$10:$AY$122,BX$9,FALSE)-AE49)</f>
        <v>#N/A</v>
      </c>
      <c r="BY49" s="306" t="e">
        <f>IF(AF49="-","-",VLOOKUP($A49,AMAPit!$A$10:$AY$122,BY$9,FALSE)-AF49)</f>
        <v>#N/A</v>
      </c>
      <c r="BZ49" s="306" t="str">
        <f>IF(AG49="-","-",VLOOKUP($A49,AMAPit!$A$10:$AY$122,BZ$9,FALSE)-AG49)</f>
        <v>-</v>
      </c>
      <c r="CA49" s="306" t="str">
        <f>IF(AH49="-","-",VLOOKUP($A49,AMAPit!$A$10:$AY$122,CA$9,FALSE)-AH49)</f>
        <v>-</v>
      </c>
      <c r="CB49" s="306" t="str">
        <f>IF(AI49="-","-",VLOOKUP($A49,AMAPit!$A$10:$AY$122,CB$9,FALSE)-AI49)</f>
        <v>-</v>
      </c>
      <c r="CC49" s="306" t="str">
        <f>IF(AJ49="-","-",VLOOKUP($A49,AMAPit!$A$10:$AY$122,CC$9,FALSE)-AJ49)</f>
        <v>-</v>
      </c>
      <c r="CD49" s="306" t="str">
        <f>IF(AK49="-","-",VLOOKUP($A49,AMAPit!$A$10:$AY$122,CD$9,FALSE)-AK49)</f>
        <v>-</v>
      </c>
      <c r="CE49" s="306" t="str">
        <f>IF(AL49="-","-",VLOOKUP($A49,AMAPit!$A$10:$AY$122,CE$9,FALSE)-AL49)</f>
        <v>-</v>
      </c>
      <c r="CF49" s="306" t="str">
        <f>IF(AM49="-","-",VLOOKUP($A49,AMAPit!$A$10:$AY$122,CF$9,FALSE)-AM49)</f>
        <v>-</v>
      </c>
      <c r="CG49" s="306" t="str">
        <f>IF(AN49="-","-",VLOOKUP($A49,AMAPit!$A$10:$AY$122,CG$9,FALSE)-AN49)</f>
        <v>-</v>
      </c>
      <c r="CH49" s="306" t="str">
        <f>IF(AO49="-","-",VLOOKUP($A49,AMAPit!$A$10:$AY$122,CH$9,FALSE)-AO49)</f>
        <v>-</v>
      </c>
      <c r="CI49" s="306" t="str">
        <f>IF(AP49="-","-",VLOOKUP($A49,AMAPit!$A$10:$AY$122,CI$9,FALSE)-AP49)</f>
        <v>-</v>
      </c>
      <c r="CJ49" s="306" t="str">
        <f>IF(AQ49="-","-",VLOOKUP($A49,AMAPit!$A$10:$AY$122,CJ$9,FALSE)-AQ49)</f>
        <v>-</v>
      </c>
      <c r="CK49" s="306" t="str">
        <f>IF(AR49="-","-",VLOOKUP($A49,AMAPit!$A$10:$AY$122,CK$9,FALSE)-AR49)</f>
        <v>-</v>
      </c>
      <c r="CL49" s="306" t="str">
        <f>IF(AS49="-","-",VLOOKUP($A49,AMAPit!$A$10:$AY$122,CL$9,FALSE)-AS49)</f>
        <v>-</v>
      </c>
      <c r="CM49" s="306" t="str">
        <f>IF(AT49="-","-",VLOOKUP($A49,AMAPit!$A$10:$AY$122,CM$9,FALSE)-AT49)</f>
        <v>-</v>
      </c>
      <c r="CN49" t="e">
        <f t="shared" si="21"/>
        <v>#N/A</v>
      </c>
    </row>
    <row r="50" spans="1:92" x14ac:dyDescent="0.25">
      <c r="A50" s="305" t="s">
        <v>562</v>
      </c>
      <c r="B50" s="305" t="s">
        <v>534</v>
      </c>
      <c r="C50" s="305"/>
      <c r="D50" s="305" t="s">
        <v>81</v>
      </c>
      <c r="E50" t="s">
        <v>87</v>
      </c>
      <c r="F50" t="s">
        <v>986</v>
      </c>
      <c r="G50" s="305" t="s">
        <v>427</v>
      </c>
      <c r="H50" t="s">
        <v>769</v>
      </c>
      <c r="I50" t="s">
        <v>186</v>
      </c>
      <c r="J50">
        <v>26</v>
      </c>
      <c r="K50" t="s">
        <v>83</v>
      </c>
      <c r="L50" s="210" t="s">
        <v>83</v>
      </c>
      <c r="M50" t="s">
        <v>803</v>
      </c>
      <c r="N50" t="s">
        <v>808</v>
      </c>
      <c r="O50" t="s">
        <v>200</v>
      </c>
      <c r="P50" s="210" t="s">
        <v>201</v>
      </c>
      <c r="Q50">
        <v>5</v>
      </c>
      <c r="R50">
        <v>2</v>
      </c>
      <c r="S50" s="210">
        <v>5</v>
      </c>
      <c r="T50">
        <v>6</v>
      </c>
      <c r="U50">
        <v>2</v>
      </c>
      <c r="V50" s="210">
        <v>5</v>
      </c>
      <c r="W50">
        <v>7</v>
      </c>
      <c r="X50">
        <v>8</v>
      </c>
      <c r="Y50">
        <v>1</v>
      </c>
      <c r="Z50">
        <v>2</v>
      </c>
      <c r="AA50">
        <v>8</v>
      </c>
      <c r="AB50">
        <v>9</v>
      </c>
      <c r="AC50" t="s">
        <v>32</v>
      </c>
      <c r="AD50" t="s">
        <v>32</v>
      </c>
      <c r="AE50" t="s">
        <v>32</v>
      </c>
      <c r="AF50" t="s">
        <v>32</v>
      </c>
      <c r="AG50" t="s">
        <v>32</v>
      </c>
      <c r="AH50" t="s">
        <v>32</v>
      </c>
      <c r="AI50" t="s">
        <v>32</v>
      </c>
      <c r="AJ50" t="s">
        <v>32</v>
      </c>
      <c r="AK50" t="s">
        <v>32</v>
      </c>
      <c r="AL50" t="s">
        <v>32</v>
      </c>
      <c r="AM50" t="s">
        <v>32</v>
      </c>
      <c r="AN50" t="s">
        <v>32</v>
      </c>
      <c r="AO50" t="s">
        <v>32</v>
      </c>
      <c r="AP50" t="s">
        <v>32</v>
      </c>
      <c r="AQ50" t="s">
        <v>32</v>
      </c>
      <c r="AR50" t="s">
        <v>32</v>
      </c>
      <c r="AS50" t="s">
        <v>32</v>
      </c>
      <c r="AT50" s="210" t="s">
        <v>32</v>
      </c>
      <c r="AU50" t="s">
        <v>2</v>
      </c>
      <c r="AV50">
        <v>9</v>
      </c>
      <c r="AW50" s="11" t="s">
        <v>40</v>
      </c>
      <c r="AX50" s="78" t="s">
        <v>32</v>
      </c>
      <c r="AY50" s="210">
        <v>0</v>
      </c>
      <c r="AZ50" s="372" t="s">
        <v>529</v>
      </c>
      <c r="BA50" s="6">
        <f t="shared" si="12"/>
        <v>4.5</v>
      </c>
      <c r="BB50" s="9" t="str">
        <f t="shared" si="13"/>
        <v>Bench</v>
      </c>
      <c r="BC50" s="9">
        <f t="shared" si="14"/>
        <v>4.833333333333333</v>
      </c>
      <c r="BD50" s="9" t="str">
        <f t="shared" si="15"/>
        <v>Bench</v>
      </c>
      <c r="BE50" s="9">
        <f t="shared" si="16"/>
        <v>4.833333333333333</v>
      </c>
      <c r="BF50" s="9" t="str">
        <f t="shared" si="17"/>
        <v>Bench</v>
      </c>
      <c r="BG50" s="77">
        <f t="shared" si="18"/>
        <v>3</v>
      </c>
      <c r="BH50" s="76">
        <f t="shared" si="19"/>
        <v>2</v>
      </c>
      <c r="BI50" t="str">
        <f t="shared" si="20"/>
        <v/>
      </c>
      <c r="BJ50" s="306" t="e">
        <f>IF(Q50="-","-",VLOOKUP($A50,AMAPit!$A$10:$AY$122,BJ$9,FALSE)-Q50)</f>
        <v>#N/A</v>
      </c>
      <c r="BK50" s="306" t="e">
        <f>IF(R50="-","-",VLOOKUP($A50,AMAPit!$A$10:$AY$122,BK$9,FALSE)-R50)</f>
        <v>#N/A</v>
      </c>
      <c r="BL50" s="306" t="e">
        <f>IF(S50="-","-",VLOOKUP($A50,AMAPit!$A$10:$AY$122,BL$9,FALSE)-S50)</f>
        <v>#N/A</v>
      </c>
      <c r="BM50" s="306" t="e">
        <f>IF(T50="-","-",VLOOKUP($A50,AMAPit!$A$10:$AY$122,BM$9,FALSE)-T50)</f>
        <v>#N/A</v>
      </c>
      <c r="BN50" s="306" t="e">
        <f>IF(U50="-","-",VLOOKUP($A50,AMAPit!$A$10:$AY$122,BN$9,FALSE)-U50)</f>
        <v>#N/A</v>
      </c>
      <c r="BO50" s="306" t="e">
        <f>IF(V50="-","-",VLOOKUP($A50,AMAPit!$A$10:$AY$122,BO$9,FALSE)-V50)</f>
        <v>#N/A</v>
      </c>
      <c r="BP50" s="306" t="e">
        <f>IF(W50="-","-",VLOOKUP($A50,AMAPit!$A$10:$AY$122,BP$9,FALSE)-W50)</f>
        <v>#N/A</v>
      </c>
      <c r="BQ50" s="306" t="e">
        <f>IF(X50="-","-",VLOOKUP($A50,AMAPit!$A$10:$AY$122,BQ$9,FALSE)-X50)</f>
        <v>#N/A</v>
      </c>
      <c r="BR50" s="306" t="e">
        <f>IF(Y50="-","-",VLOOKUP($A50,AMAPit!$A$10:$AY$122,BR$9,FALSE)-Y50)</f>
        <v>#N/A</v>
      </c>
      <c r="BS50" s="306" t="e">
        <f>IF(Z50="-","-",VLOOKUP($A50,AMAPit!$A$10:$AY$122,BS$9,FALSE)-Z50)</f>
        <v>#N/A</v>
      </c>
      <c r="BT50" s="306" t="e">
        <f>IF(AA50="-","-",VLOOKUP($A50,AMAPit!$A$10:$AY$122,BT$9,FALSE)-AA50)</f>
        <v>#N/A</v>
      </c>
      <c r="BU50" s="306" t="e">
        <f>IF(AB50="-","-",VLOOKUP($A50,AMAPit!$A$10:$AY$122,BU$9,FALSE)-AB50)</f>
        <v>#N/A</v>
      </c>
      <c r="BV50" s="306" t="str">
        <f>IF(AC50="-","-",VLOOKUP($A50,AMAPit!$A$10:$AY$122,BV$9,FALSE)-AC50)</f>
        <v>-</v>
      </c>
      <c r="BW50" s="306" t="str">
        <f>IF(AD50="-","-",VLOOKUP($A50,AMAPit!$A$10:$AY$122,BW$9,FALSE)-AD50)</f>
        <v>-</v>
      </c>
      <c r="BX50" s="306" t="str">
        <f>IF(AE50="-","-",VLOOKUP($A50,AMAPit!$A$10:$AY$122,BX$9,FALSE)-AE50)</f>
        <v>-</v>
      </c>
      <c r="BY50" s="306" t="str">
        <f>IF(AF50="-","-",VLOOKUP($A50,AMAPit!$A$10:$AY$122,BY$9,FALSE)-AF50)</f>
        <v>-</v>
      </c>
      <c r="BZ50" s="306" t="str">
        <f>IF(AG50="-","-",VLOOKUP($A50,AMAPit!$A$10:$AY$122,BZ$9,FALSE)-AG50)</f>
        <v>-</v>
      </c>
      <c r="CA50" s="306" t="str">
        <f>IF(AH50="-","-",VLOOKUP($A50,AMAPit!$A$10:$AY$122,CA$9,FALSE)-AH50)</f>
        <v>-</v>
      </c>
      <c r="CB50" s="306" t="str">
        <f>IF(AI50="-","-",VLOOKUP($A50,AMAPit!$A$10:$AY$122,CB$9,FALSE)-AI50)</f>
        <v>-</v>
      </c>
      <c r="CC50" s="306" t="str">
        <f>IF(AJ50="-","-",VLOOKUP($A50,AMAPit!$A$10:$AY$122,CC$9,FALSE)-AJ50)</f>
        <v>-</v>
      </c>
      <c r="CD50" s="306" t="str">
        <f>IF(AK50="-","-",VLOOKUP($A50,AMAPit!$A$10:$AY$122,CD$9,FALSE)-AK50)</f>
        <v>-</v>
      </c>
      <c r="CE50" s="306" t="str">
        <f>IF(AL50="-","-",VLOOKUP($A50,AMAPit!$A$10:$AY$122,CE$9,FALSE)-AL50)</f>
        <v>-</v>
      </c>
      <c r="CF50" s="306" t="str">
        <f>IF(AM50="-","-",VLOOKUP($A50,AMAPit!$A$10:$AY$122,CF$9,FALSE)-AM50)</f>
        <v>-</v>
      </c>
      <c r="CG50" s="306" t="str">
        <f>IF(AN50="-","-",VLOOKUP($A50,AMAPit!$A$10:$AY$122,CG$9,FALSE)-AN50)</f>
        <v>-</v>
      </c>
      <c r="CH50" s="306" t="str">
        <f>IF(AO50="-","-",VLOOKUP($A50,AMAPit!$A$10:$AY$122,CH$9,FALSE)-AO50)</f>
        <v>-</v>
      </c>
      <c r="CI50" s="306" t="str">
        <f>IF(AP50="-","-",VLOOKUP($A50,AMAPit!$A$10:$AY$122,CI$9,FALSE)-AP50)</f>
        <v>-</v>
      </c>
      <c r="CJ50" s="306" t="str">
        <f>IF(AQ50="-","-",VLOOKUP($A50,AMAPit!$A$10:$AY$122,CJ$9,FALSE)-AQ50)</f>
        <v>-</v>
      </c>
      <c r="CK50" s="306" t="str">
        <f>IF(AR50="-","-",VLOOKUP($A50,AMAPit!$A$10:$AY$122,CK$9,FALSE)-AR50)</f>
        <v>-</v>
      </c>
      <c r="CL50" s="306" t="str">
        <f>IF(AS50="-","-",VLOOKUP($A50,AMAPit!$A$10:$AY$122,CL$9,FALSE)-AS50)</f>
        <v>-</v>
      </c>
      <c r="CM50" s="306" t="str">
        <f>IF(AT50="-","-",VLOOKUP($A50,AMAPit!$A$10:$AY$122,CM$9,FALSE)-AT50)</f>
        <v>-</v>
      </c>
      <c r="CN50" t="e">
        <f t="shared" si="21"/>
        <v>#N/A</v>
      </c>
    </row>
    <row r="51" spans="1:92" x14ac:dyDescent="0.25">
      <c r="A51" s="305" t="s">
        <v>563</v>
      </c>
      <c r="B51" s="305" t="s">
        <v>534</v>
      </c>
      <c r="C51" s="305"/>
      <c r="D51" s="305" t="s">
        <v>72</v>
      </c>
      <c r="E51" t="s">
        <v>11</v>
      </c>
      <c r="F51" t="s">
        <v>949</v>
      </c>
      <c r="G51" s="305" t="s">
        <v>950</v>
      </c>
      <c r="H51" t="s">
        <v>783</v>
      </c>
      <c r="I51" t="s">
        <v>185</v>
      </c>
      <c r="J51">
        <v>30</v>
      </c>
      <c r="K51" t="s">
        <v>82</v>
      </c>
      <c r="L51" s="210" t="s">
        <v>82</v>
      </c>
      <c r="M51" t="s">
        <v>803</v>
      </c>
      <c r="N51" t="s">
        <v>803</v>
      </c>
      <c r="O51" t="s">
        <v>200</v>
      </c>
      <c r="P51" s="210" t="s">
        <v>200</v>
      </c>
      <c r="Q51">
        <v>7</v>
      </c>
      <c r="R51">
        <v>2</v>
      </c>
      <c r="S51" s="210">
        <v>3</v>
      </c>
      <c r="T51">
        <v>7</v>
      </c>
      <c r="U51">
        <v>2</v>
      </c>
      <c r="V51" s="210">
        <v>3</v>
      </c>
      <c r="W51">
        <v>9</v>
      </c>
      <c r="X51">
        <v>9</v>
      </c>
      <c r="Y51" t="s">
        <v>32</v>
      </c>
      <c r="Z51" t="s">
        <v>32</v>
      </c>
      <c r="AA51">
        <v>5</v>
      </c>
      <c r="AB51">
        <v>5</v>
      </c>
      <c r="AC51" t="s">
        <v>32</v>
      </c>
      <c r="AD51" t="s">
        <v>32</v>
      </c>
      <c r="AE51" t="s">
        <v>32</v>
      </c>
      <c r="AF51" t="s">
        <v>32</v>
      </c>
      <c r="AG51" t="s">
        <v>32</v>
      </c>
      <c r="AH51" t="s">
        <v>32</v>
      </c>
      <c r="AI51" t="s">
        <v>32</v>
      </c>
      <c r="AJ51" t="s">
        <v>32</v>
      </c>
      <c r="AK51" t="s">
        <v>32</v>
      </c>
      <c r="AL51" t="s">
        <v>32</v>
      </c>
      <c r="AM51" t="s">
        <v>32</v>
      </c>
      <c r="AN51" t="s">
        <v>32</v>
      </c>
      <c r="AO51" t="s">
        <v>32</v>
      </c>
      <c r="AP51" t="s">
        <v>32</v>
      </c>
      <c r="AQ51" t="s">
        <v>32</v>
      </c>
      <c r="AR51" t="s">
        <v>32</v>
      </c>
      <c r="AS51" t="s">
        <v>32</v>
      </c>
      <c r="AT51" s="210" t="s">
        <v>32</v>
      </c>
      <c r="AU51" t="s">
        <v>326</v>
      </c>
      <c r="AV51">
        <v>9</v>
      </c>
      <c r="AW51" s="11" t="s">
        <v>395</v>
      </c>
      <c r="AX51" s="78" t="s">
        <v>32</v>
      </c>
      <c r="AY51" s="210" t="s">
        <v>33</v>
      </c>
      <c r="AZ51" s="372" t="s">
        <v>529</v>
      </c>
      <c r="BA51" s="6">
        <f t="shared" si="12"/>
        <v>4.5</v>
      </c>
      <c r="BB51" s="9" t="str">
        <f t="shared" si="13"/>
        <v>Bench</v>
      </c>
      <c r="BC51" s="9">
        <f t="shared" si="14"/>
        <v>4.5</v>
      </c>
      <c r="BD51" s="9" t="str">
        <f t="shared" si="15"/>
        <v>Bench</v>
      </c>
      <c r="BE51" s="9">
        <f t="shared" si="16"/>
        <v>4.5</v>
      </c>
      <c r="BF51" s="9" t="str">
        <f t="shared" si="17"/>
        <v>Bench</v>
      </c>
      <c r="BG51" s="77">
        <f t="shared" si="18"/>
        <v>2</v>
      </c>
      <c r="BH51" s="76">
        <f t="shared" si="19"/>
        <v>1</v>
      </c>
      <c r="BI51" t="str">
        <f t="shared" si="20"/>
        <v/>
      </c>
      <c r="BJ51" s="306" t="e">
        <f>IF(Q51="-","-",VLOOKUP($A51,AMAPit!$A$10:$AY$122,BJ$9,FALSE)-Q51)</f>
        <v>#N/A</v>
      </c>
      <c r="BK51" s="306" t="e">
        <f>IF(R51="-","-",VLOOKUP($A51,AMAPit!$A$10:$AY$122,BK$9,FALSE)-R51)</f>
        <v>#N/A</v>
      </c>
      <c r="BL51" s="306" t="e">
        <f>IF(S51="-","-",VLOOKUP($A51,AMAPit!$A$10:$AY$122,BL$9,FALSE)-S51)</f>
        <v>#N/A</v>
      </c>
      <c r="BM51" s="306" t="e">
        <f>IF(T51="-","-",VLOOKUP($A51,AMAPit!$A$10:$AY$122,BM$9,FALSE)-T51)</f>
        <v>#N/A</v>
      </c>
      <c r="BN51" s="306" t="e">
        <f>IF(U51="-","-",VLOOKUP($A51,AMAPit!$A$10:$AY$122,BN$9,FALSE)-U51)</f>
        <v>#N/A</v>
      </c>
      <c r="BO51" s="306" t="e">
        <f>IF(V51="-","-",VLOOKUP($A51,AMAPit!$A$10:$AY$122,BO$9,FALSE)-V51)</f>
        <v>#N/A</v>
      </c>
      <c r="BP51" s="306" t="e">
        <f>IF(W51="-","-",VLOOKUP($A51,AMAPit!$A$10:$AY$122,BP$9,FALSE)-W51)</f>
        <v>#N/A</v>
      </c>
      <c r="BQ51" s="306" t="e">
        <f>IF(X51="-","-",VLOOKUP($A51,AMAPit!$A$10:$AY$122,BQ$9,FALSE)-X51)</f>
        <v>#N/A</v>
      </c>
      <c r="BR51" s="306" t="str">
        <f>IF(Y51="-","-",VLOOKUP($A51,AMAPit!$A$10:$AY$122,BR$9,FALSE)-Y51)</f>
        <v>-</v>
      </c>
      <c r="BS51" s="306" t="str">
        <f>IF(Z51="-","-",VLOOKUP($A51,AMAPit!$A$10:$AY$122,BS$9,FALSE)-Z51)</f>
        <v>-</v>
      </c>
      <c r="BT51" s="306" t="e">
        <f>IF(AA51="-","-",VLOOKUP($A51,AMAPit!$A$10:$AY$122,BT$9,FALSE)-AA51)</f>
        <v>#N/A</v>
      </c>
      <c r="BU51" s="306" t="e">
        <f>IF(AB51="-","-",VLOOKUP($A51,AMAPit!$A$10:$AY$122,BU$9,FALSE)-AB51)</f>
        <v>#N/A</v>
      </c>
      <c r="BV51" s="306" t="str">
        <f>IF(AC51="-","-",VLOOKUP($A51,AMAPit!$A$10:$AY$122,BV$9,FALSE)-AC51)</f>
        <v>-</v>
      </c>
      <c r="BW51" s="306" t="str">
        <f>IF(AD51="-","-",VLOOKUP($A51,AMAPit!$A$10:$AY$122,BW$9,FALSE)-AD51)</f>
        <v>-</v>
      </c>
      <c r="BX51" s="306" t="str">
        <f>IF(AE51="-","-",VLOOKUP($A51,AMAPit!$A$10:$AY$122,BX$9,FALSE)-AE51)</f>
        <v>-</v>
      </c>
      <c r="BY51" s="306" t="str">
        <f>IF(AF51="-","-",VLOOKUP($A51,AMAPit!$A$10:$AY$122,BY$9,FALSE)-AF51)</f>
        <v>-</v>
      </c>
      <c r="BZ51" s="306" t="str">
        <f>IF(AG51="-","-",VLOOKUP($A51,AMAPit!$A$10:$AY$122,BZ$9,FALSE)-AG51)</f>
        <v>-</v>
      </c>
      <c r="CA51" s="306" t="str">
        <f>IF(AH51="-","-",VLOOKUP($A51,AMAPit!$A$10:$AY$122,CA$9,FALSE)-AH51)</f>
        <v>-</v>
      </c>
      <c r="CB51" s="306" t="str">
        <f>IF(AI51="-","-",VLOOKUP($A51,AMAPit!$A$10:$AY$122,CB$9,FALSE)-AI51)</f>
        <v>-</v>
      </c>
      <c r="CC51" s="306" t="str">
        <f>IF(AJ51="-","-",VLOOKUP($A51,AMAPit!$A$10:$AY$122,CC$9,FALSE)-AJ51)</f>
        <v>-</v>
      </c>
      <c r="CD51" s="306" t="str">
        <f>IF(AK51="-","-",VLOOKUP($A51,AMAPit!$A$10:$AY$122,CD$9,FALSE)-AK51)</f>
        <v>-</v>
      </c>
      <c r="CE51" s="306" t="str">
        <f>IF(AL51="-","-",VLOOKUP($A51,AMAPit!$A$10:$AY$122,CE$9,FALSE)-AL51)</f>
        <v>-</v>
      </c>
      <c r="CF51" s="306" t="str">
        <f>IF(AM51="-","-",VLOOKUP($A51,AMAPit!$A$10:$AY$122,CF$9,FALSE)-AM51)</f>
        <v>-</v>
      </c>
      <c r="CG51" s="306" t="str">
        <f>IF(AN51="-","-",VLOOKUP($A51,AMAPit!$A$10:$AY$122,CG$9,FALSE)-AN51)</f>
        <v>-</v>
      </c>
      <c r="CH51" s="306" t="str">
        <f>IF(AO51="-","-",VLOOKUP($A51,AMAPit!$A$10:$AY$122,CH$9,FALSE)-AO51)</f>
        <v>-</v>
      </c>
      <c r="CI51" s="306" t="str">
        <f>IF(AP51="-","-",VLOOKUP($A51,AMAPit!$A$10:$AY$122,CI$9,FALSE)-AP51)</f>
        <v>-</v>
      </c>
      <c r="CJ51" s="306" t="str">
        <f>IF(AQ51="-","-",VLOOKUP($A51,AMAPit!$A$10:$AY$122,CJ$9,FALSE)-AQ51)</f>
        <v>-</v>
      </c>
      <c r="CK51" s="306" t="str">
        <f>IF(AR51="-","-",VLOOKUP($A51,AMAPit!$A$10:$AY$122,CK$9,FALSE)-AR51)</f>
        <v>-</v>
      </c>
      <c r="CL51" s="306" t="str">
        <f>IF(AS51="-","-",VLOOKUP($A51,AMAPit!$A$10:$AY$122,CL$9,FALSE)-AS51)</f>
        <v>-</v>
      </c>
      <c r="CM51" s="306" t="str">
        <f>IF(AT51="-","-",VLOOKUP($A51,AMAPit!$A$10:$AY$122,CM$9,FALSE)-AT51)</f>
        <v>-</v>
      </c>
      <c r="CN51" t="e">
        <f t="shared" si="21"/>
        <v>#N/A</v>
      </c>
    </row>
    <row r="52" spans="1:92" x14ac:dyDescent="0.25">
      <c r="A52" s="305" t="s">
        <v>564</v>
      </c>
      <c r="B52" s="305" t="s">
        <v>534</v>
      </c>
      <c r="C52" s="305"/>
      <c r="D52" s="305" t="s">
        <v>72</v>
      </c>
      <c r="E52" t="s">
        <v>11</v>
      </c>
      <c r="F52" t="s">
        <v>492</v>
      </c>
      <c r="G52" s="305" t="s">
        <v>984</v>
      </c>
      <c r="H52" t="s">
        <v>814</v>
      </c>
      <c r="I52" t="s">
        <v>187</v>
      </c>
      <c r="J52">
        <v>24</v>
      </c>
      <c r="K52" t="s">
        <v>83</v>
      </c>
      <c r="L52" s="210" t="s">
        <v>83</v>
      </c>
      <c r="M52" t="s">
        <v>816</v>
      </c>
      <c r="N52" t="s">
        <v>816</v>
      </c>
      <c r="O52" t="s">
        <v>200</v>
      </c>
      <c r="P52" s="210" t="s">
        <v>199</v>
      </c>
      <c r="Q52">
        <v>6</v>
      </c>
      <c r="R52">
        <v>1</v>
      </c>
      <c r="S52" s="210">
        <v>5</v>
      </c>
      <c r="T52">
        <v>6</v>
      </c>
      <c r="U52">
        <v>1</v>
      </c>
      <c r="V52" s="210">
        <v>5</v>
      </c>
      <c r="W52">
        <v>7</v>
      </c>
      <c r="X52">
        <v>8</v>
      </c>
      <c r="Y52">
        <v>1</v>
      </c>
      <c r="Z52">
        <v>1</v>
      </c>
      <c r="AA52" t="s">
        <v>32</v>
      </c>
      <c r="AB52" t="s">
        <v>32</v>
      </c>
      <c r="AC52">
        <v>6</v>
      </c>
      <c r="AD52">
        <v>7</v>
      </c>
      <c r="AE52" t="s">
        <v>32</v>
      </c>
      <c r="AF52" t="s">
        <v>32</v>
      </c>
      <c r="AG52" t="s">
        <v>32</v>
      </c>
      <c r="AH52" t="s">
        <v>32</v>
      </c>
      <c r="AI52" t="s">
        <v>32</v>
      </c>
      <c r="AJ52" t="s">
        <v>32</v>
      </c>
      <c r="AK52" t="s">
        <v>32</v>
      </c>
      <c r="AL52" t="s">
        <v>32</v>
      </c>
      <c r="AM52" t="s">
        <v>32</v>
      </c>
      <c r="AN52" t="s">
        <v>32</v>
      </c>
      <c r="AO52" t="s">
        <v>32</v>
      </c>
      <c r="AP52" t="s">
        <v>32</v>
      </c>
      <c r="AQ52" t="s">
        <v>32</v>
      </c>
      <c r="AR52" t="s">
        <v>32</v>
      </c>
      <c r="AS52" t="s">
        <v>32</v>
      </c>
      <c r="AT52" s="210" t="s">
        <v>32</v>
      </c>
      <c r="AU52" t="s">
        <v>4</v>
      </c>
      <c r="AV52">
        <v>9</v>
      </c>
      <c r="AW52" s="11" t="s">
        <v>40</v>
      </c>
      <c r="AX52" s="78" t="s">
        <v>32</v>
      </c>
      <c r="AY52" s="210" t="s">
        <v>33</v>
      </c>
      <c r="AZ52" s="372" t="s">
        <v>199</v>
      </c>
      <c r="BA52" s="6">
        <f t="shared" si="12"/>
        <v>4.5</v>
      </c>
      <c r="BB52" s="9" t="str">
        <f t="shared" si="13"/>
        <v>Bench</v>
      </c>
      <c r="BC52" s="9">
        <f t="shared" si="14"/>
        <v>4.5</v>
      </c>
      <c r="BD52" s="9" t="str">
        <f t="shared" si="15"/>
        <v>Bench</v>
      </c>
      <c r="BE52" s="9">
        <f t="shared" si="16"/>
        <v>4.5</v>
      </c>
      <c r="BF52" s="9" t="str">
        <f t="shared" si="17"/>
        <v>Bench</v>
      </c>
      <c r="BG52" s="77">
        <f t="shared" si="18"/>
        <v>3</v>
      </c>
      <c r="BH52" s="76">
        <f t="shared" si="19"/>
        <v>2</v>
      </c>
      <c r="BI52" t="str">
        <f t="shared" si="20"/>
        <v/>
      </c>
      <c r="BJ52" s="306" t="e">
        <f>IF(Q52="-","-",VLOOKUP($A52,AMAPit!$A$10:$AY$122,BJ$9,FALSE)-Q52)</f>
        <v>#N/A</v>
      </c>
      <c r="BK52" s="306" t="e">
        <f>IF(R52="-","-",VLOOKUP($A52,AMAPit!$A$10:$AY$122,BK$9,FALSE)-R52)</f>
        <v>#N/A</v>
      </c>
      <c r="BL52" s="306" t="e">
        <f>IF(S52="-","-",VLOOKUP($A52,AMAPit!$A$10:$AY$122,BL$9,FALSE)-S52)</f>
        <v>#N/A</v>
      </c>
      <c r="BM52" s="306" t="e">
        <f>IF(T52="-","-",VLOOKUP($A52,AMAPit!$A$10:$AY$122,BM$9,FALSE)-T52)</f>
        <v>#N/A</v>
      </c>
      <c r="BN52" s="306" t="e">
        <f>IF(U52="-","-",VLOOKUP($A52,AMAPit!$A$10:$AY$122,BN$9,FALSE)-U52)</f>
        <v>#N/A</v>
      </c>
      <c r="BO52" s="306" t="e">
        <f>IF(V52="-","-",VLOOKUP($A52,AMAPit!$A$10:$AY$122,BO$9,FALSE)-V52)</f>
        <v>#N/A</v>
      </c>
      <c r="BP52" s="306" t="e">
        <f>IF(W52="-","-",VLOOKUP($A52,AMAPit!$A$10:$AY$122,BP$9,FALSE)-W52)</f>
        <v>#N/A</v>
      </c>
      <c r="BQ52" s="306" t="e">
        <f>IF(X52="-","-",VLOOKUP($A52,AMAPit!$A$10:$AY$122,BQ$9,FALSE)-X52)</f>
        <v>#N/A</v>
      </c>
      <c r="BR52" s="306" t="e">
        <f>IF(Y52="-","-",VLOOKUP($A52,AMAPit!$A$10:$AY$122,BR$9,FALSE)-Y52)</f>
        <v>#N/A</v>
      </c>
      <c r="BS52" s="306" t="e">
        <f>IF(Z52="-","-",VLOOKUP($A52,AMAPit!$A$10:$AY$122,BS$9,FALSE)-Z52)</f>
        <v>#N/A</v>
      </c>
      <c r="BT52" s="306" t="str">
        <f>IF(AA52="-","-",VLOOKUP($A52,AMAPit!$A$10:$AY$122,BT$9,FALSE)-AA52)</f>
        <v>-</v>
      </c>
      <c r="BU52" s="306" t="str">
        <f>IF(AB52="-","-",VLOOKUP($A52,AMAPit!$A$10:$AY$122,BU$9,FALSE)-AB52)</f>
        <v>-</v>
      </c>
      <c r="BV52" s="306" t="e">
        <f>IF(AC52="-","-",VLOOKUP($A52,AMAPit!$A$10:$AY$122,BV$9,FALSE)-AC52)</f>
        <v>#N/A</v>
      </c>
      <c r="BW52" s="306" t="e">
        <f>IF(AD52="-","-",VLOOKUP($A52,AMAPit!$A$10:$AY$122,BW$9,FALSE)-AD52)</f>
        <v>#N/A</v>
      </c>
      <c r="BX52" s="306" t="str">
        <f>IF(AE52="-","-",VLOOKUP($A52,AMAPit!$A$10:$AY$122,BX$9,FALSE)-AE52)</f>
        <v>-</v>
      </c>
      <c r="BY52" s="306" t="str">
        <f>IF(AF52="-","-",VLOOKUP($A52,AMAPit!$A$10:$AY$122,BY$9,FALSE)-AF52)</f>
        <v>-</v>
      </c>
      <c r="BZ52" s="306" t="str">
        <f>IF(AG52="-","-",VLOOKUP($A52,AMAPit!$A$10:$AY$122,BZ$9,FALSE)-AG52)</f>
        <v>-</v>
      </c>
      <c r="CA52" s="306" t="str">
        <f>IF(AH52="-","-",VLOOKUP($A52,AMAPit!$A$10:$AY$122,CA$9,FALSE)-AH52)</f>
        <v>-</v>
      </c>
      <c r="CB52" s="306" t="str">
        <f>IF(AI52="-","-",VLOOKUP($A52,AMAPit!$A$10:$AY$122,CB$9,FALSE)-AI52)</f>
        <v>-</v>
      </c>
      <c r="CC52" s="306" t="str">
        <f>IF(AJ52="-","-",VLOOKUP($A52,AMAPit!$A$10:$AY$122,CC$9,FALSE)-AJ52)</f>
        <v>-</v>
      </c>
      <c r="CD52" s="306" t="str">
        <f>IF(AK52="-","-",VLOOKUP($A52,AMAPit!$A$10:$AY$122,CD$9,FALSE)-AK52)</f>
        <v>-</v>
      </c>
      <c r="CE52" s="306" t="str">
        <f>IF(AL52="-","-",VLOOKUP($A52,AMAPit!$A$10:$AY$122,CE$9,FALSE)-AL52)</f>
        <v>-</v>
      </c>
      <c r="CF52" s="306" t="str">
        <f>IF(AM52="-","-",VLOOKUP($A52,AMAPit!$A$10:$AY$122,CF$9,FALSE)-AM52)</f>
        <v>-</v>
      </c>
      <c r="CG52" s="306" t="str">
        <f>IF(AN52="-","-",VLOOKUP($A52,AMAPit!$A$10:$AY$122,CG$9,FALSE)-AN52)</f>
        <v>-</v>
      </c>
      <c r="CH52" s="306" t="str">
        <f>IF(AO52="-","-",VLOOKUP($A52,AMAPit!$A$10:$AY$122,CH$9,FALSE)-AO52)</f>
        <v>-</v>
      </c>
      <c r="CI52" s="306" t="str">
        <f>IF(AP52="-","-",VLOOKUP($A52,AMAPit!$A$10:$AY$122,CI$9,FALSE)-AP52)</f>
        <v>-</v>
      </c>
      <c r="CJ52" s="306" t="str">
        <f>IF(AQ52="-","-",VLOOKUP($A52,AMAPit!$A$10:$AY$122,CJ$9,FALSE)-AQ52)</f>
        <v>-</v>
      </c>
      <c r="CK52" s="306" t="str">
        <f>IF(AR52="-","-",VLOOKUP($A52,AMAPit!$A$10:$AY$122,CK$9,FALSE)-AR52)</f>
        <v>-</v>
      </c>
      <c r="CL52" s="306" t="str">
        <f>IF(AS52="-","-",VLOOKUP($A52,AMAPit!$A$10:$AY$122,CL$9,FALSE)-AS52)</f>
        <v>-</v>
      </c>
      <c r="CM52" s="306" t="str">
        <f>IF(AT52="-","-",VLOOKUP($A52,AMAPit!$A$10:$AY$122,CM$9,FALSE)-AT52)</f>
        <v>-</v>
      </c>
      <c r="CN52" t="e">
        <f t="shared" si="21"/>
        <v>#N/A</v>
      </c>
    </row>
    <row r="53" spans="1:92" x14ac:dyDescent="0.25">
      <c r="A53" s="305" t="s">
        <v>565</v>
      </c>
      <c r="B53" s="305" t="s">
        <v>534</v>
      </c>
      <c r="C53" s="305"/>
      <c r="D53" s="305" t="s">
        <v>81</v>
      </c>
      <c r="E53" t="s">
        <v>87</v>
      </c>
      <c r="F53" t="s">
        <v>521</v>
      </c>
      <c r="G53" s="305" t="s">
        <v>934</v>
      </c>
      <c r="H53" t="s">
        <v>769</v>
      </c>
      <c r="I53" t="s">
        <v>186</v>
      </c>
      <c r="J53">
        <v>25</v>
      </c>
      <c r="K53" t="s">
        <v>82</v>
      </c>
      <c r="L53" s="210" t="s">
        <v>82</v>
      </c>
      <c r="M53" t="s">
        <v>808</v>
      </c>
      <c r="N53" t="s">
        <v>808</v>
      </c>
      <c r="O53" t="s">
        <v>200</v>
      </c>
      <c r="P53" s="210" t="s">
        <v>200</v>
      </c>
      <c r="Q53">
        <v>5</v>
      </c>
      <c r="R53">
        <v>4</v>
      </c>
      <c r="S53" s="210">
        <v>3</v>
      </c>
      <c r="T53">
        <v>5</v>
      </c>
      <c r="U53">
        <v>4</v>
      </c>
      <c r="V53" s="210">
        <v>3</v>
      </c>
      <c r="W53">
        <v>6</v>
      </c>
      <c r="X53">
        <v>6</v>
      </c>
      <c r="Y53">
        <v>6</v>
      </c>
      <c r="Z53">
        <v>8</v>
      </c>
      <c r="AA53" t="s">
        <v>32</v>
      </c>
      <c r="AB53" t="s">
        <v>32</v>
      </c>
      <c r="AC53" t="s">
        <v>32</v>
      </c>
      <c r="AD53" t="s">
        <v>32</v>
      </c>
      <c r="AE53" t="s">
        <v>32</v>
      </c>
      <c r="AF53" t="s">
        <v>32</v>
      </c>
      <c r="AG53">
        <v>6</v>
      </c>
      <c r="AH53">
        <v>7</v>
      </c>
      <c r="AI53" t="s">
        <v>32</v>
      </c>
      <c r="AJ53" t="s">
        <v>32</v>
      </c>
      <c r="AK53" t="s">
        <v>32</v>
      </c>
      <c r="AL53" t="s">
        <v>32</v>
      </c>
      <c r="AM53" t="s">
        <v>32</v>
      </c>
      <c r="AN53" t="s">
        <v>32</v>
      </c>
      <c r="AO53" t="s">
        <v>32</v>
      </c>
      <c r="AP53" t="s">
        <v>32</v>
      </c>
      <c r="AQ53" t="s">
        <v>32</v>
      </c>
      <c r="AR53" t="s">
        <v>32</v>
      </c>
      <c r="AS53" t="s">
        <v>32</v>
      </c>
      <c r="AT53" s="210" t="s">
        <v>32</v>
      </c>
      <c r="AU53" t="s">
        <v>209</v>
      </c>
      <c r="AV53">
        <v>8</v>
      </c>
      <c r="AW53" s="11" t="s">
        <v>393</v>
      </c>
      <c r="AX53" s="78" t="s">
        <v>32</v>
      </c>
      <c r="AY53" s="210" t="s">
        <v>33</v>
      </c>
      <c r="AZ53" s="372" t="s">
        <v>529</v>
      </c>
      <c r="BA53" s="6">
        <f t="shared" si="12"/>
        <v>4.5</v>
      </c>
      <c r="BB53" s="9" t="str">
        <f t="shared" si="13"/>
        <v>Bench</v>
      </c>
      <c r="BC53" s="9">
        <f t="shared" si="14"/>
        <v>4.5</v>
      </c>
      <c r="BD53" s="9" t="str">
        <f t="shared" si="15"/>
        <v>Bench</v>
      </c>
      <c r="BE53" s="9">
        <f t="shared" si="16"/>
        <v>4.5</v>
      </c>
      <c r="BF53" s="9" t="str">
        <f t="shared" si="17"/>
        <v>Bench</v>
      </c>
      <c r="BG53" s="77">
        <f t="shared" si="18"/>
        <v>3</v>
      </c>
      <c r="BH53" s="76">
        <f t="shared" si="19"/>
        <v>3</v>
      </c>
      <c r="BI53" t="str">
        <f t="shared" si="20"/>
        <v/>
      </c>
      <c r="BJ53" s="306" t="e">
        <f>IF(Q53="-","-",VLOOKUP($A53,AMAPit!$A$10:$AY$122,BJ$9,FALSE)-Q53)</f>
        <v>#N/A</v>
      </c>
      <c r="BK53" s="306" t="e">
        <f>IF(R53="-","-",VLOOKUP($A53,AMAPit!$A$10:$AY$122,BK$9,FALSE)-R53)</f>
        <v>#N/A</v>
      </c>
      <c r="BL53" s="306" t="e">
        <f>IF(S53="-","-",VLOOKUP($A53,AMAPit!$A$10:$AY$122,BL$9,FALSE)-S53)</f>
        <v>#N/A</v>
      </c>
      <c r="BM53" s="306" t="e">
        <f>IF(T53="-","-",VLOOKUP($A53,AMAPit!$A$10:$AY$122,BM$9,FALSE)-T53)</f>
        <v>#N/A</v>
      </c>
      <c r="BN53" s="306" t="e">
        <f>IF(U53="-","-",VLOOKUP($A53,AMAPit!$A$10:$AY$122,BN$9,FALSE)-U53)</f>
        <v>#N/A</v>
      </c>
      <c r="BO53" s="306" t="e">
        <f>IF(V53="-","-",VLOOKUP($A53,AMAPit!$A$10:$AY$122,BO$9,FALSE)-V53)</f>
        <v>#N/A</v>
      </c>
      <c r="BP53" s="306" t="e">
        <f>IF(W53="-","-",VLOOKUP($A53,AMAPit!$A$10:$AY$122,BP$9,FALSE)-W53)</f>
        <v>#N/A</v>
      </c>
      <c r="BQ53" s="306" t="e">
        <f>IF(X53="-","-",VLOOKUP($A53,AMAPit!$A$10:$AY$122,BQ$9,FALSE)-X53)</f>
        <v>#N/A</v>
      </c>
      <c r="BR53" s="306" t="e">
        <f>IF(Y53="-","-",VLOOKUP($A53,AMAPit!$A$10:$AY$122,BR$9,FALSE)-Y53)</f>
        <v>#N/A</v>
      </c>
      <c r="BS53" s="306" t="e">
        <f>IF(Z53="-","-",VLOOKUP($A53,AMAPit!$A$10:$AY$122,BS$9,FALSE)-Z53)</f>
        <v>#N/A</v>
      </c>
      <c r="BT53" s="306" t="str">
        <f>IF(AA53="-","-",VLOOKUP($A53,AMAPit!$A$10:$AY$122,BT$9,FALSE)-AA53)</f>
        <v>-</v>
      </c>
      <c r="BU53" s="306" t="str">
        <f>IF(AB53="-","-",VLOOKUP($A53,AMAPit!$A$10:$AY$122,BU$9,FALSE)-AB53)</f>
        <v>-</v>
      </c>
      <c r="BV53" s="306" t="str">
        <f>IF(AC53="-","-",VLOOKUP($A53,AMAPit!$A$10:$AY$122,BV$9,FALSE)-AC53)</f>
        <v>-</v>
      </c>
      <c r="BW53" s="306" t="str">
        <f>IF(AD53="-","-",VLOOKUP($A53,AMAPit!$A$10:$AY$122,BW$9,FALSE)-AD53)</f>
        <v>-</v>
      </c>
      <c r="BX53" s="306" t="str">
        <f>IF(AE53="-","-",VLOOKUP($A53,AMAPit!$A$10:$AY$122,BX$9,FALSE)-AE53)</f>
        <v>-</v>
      </c>
      <c r="BY53" s="306" t="str">
        <f>IF(AF53="-","-",VLOOKUP($A53,AMAPit!$A$10:$AY$122,BY$9,FALSE)-AF53)</f>
        <v>-</v>
      </c>
      <c r="BZ53" s="306" t="e">
        <f>IF(AG53="-","-",VLOOKUP($A53,AMAPit!$A$10:$AY$122,BZ$9,FALSE)-AG53)</f>
        <v>#N/A</v>
      </c>
      <c r="CA53" s="306" t="e">
        <f>IF(AH53="-","-",VLOOKUP($A53,AMAPit!$A$10:$AY$122,CA$9,FALSE)-AH53)</f>
        <v>#N/A</v>
      </c>
      <c r="CB53" s="306" t="str">
        <f>IF(AI53="-","-",VLOOKUP($A53,AMAPit!$A$10:$AY$122,CB$9,FALSE)-AI53)</f>
        <v>-</v>
      </c>
      <c r="CC53" s="306" t="str">
        <f>IF(AJ53="-","-",VLOOKUP($A53,AMAPit!$A$10:$AY$122,CC$9,FALSE)-AJ53)</f>
        <v>-</v>
      </c>
      <c r="CD53" s="306" t="str">
        <f>IF(AK53="-","-",VLOOKUP($A53,AMAPit!$A$10:$AY$122,CD$9,FALSE)-AK53)</f>
        <v>-</v>
      </c>
      <c r="CE53" s="306" t="str">
        <f>IF(AL53="-","-",VLOOKUP($A53,AMAPit!$A$10:$AY$122,CE$9,FALSE)-AL53)</f>
        <v>-</v>
      </c>
      <c r="CF53" s="306" t="str">
        <f>IF(AM53="-","-",VLOOKUP($A53,AMAPit!$A$10:$AY$122,CF$9,FALSE)-AM53)</f>
        <v>-</v>
      </c>
      <c r="CG53" s="306" t="str">
        <f>IF(AN53="-","-",VLOOKUP($A53,AMAPit!$A$10:$AY$122,CG$9,FALSE)-AN53)</f>
        <v>-</v>
      </c>
      <c r="CH53" s="306" t="str">
        <f>IF(AO53="-","-",VLOOKUP($A53,AMAPit!$A$10:$AY$122,CH$9,FALSE)-AO53)</f>
        <v>-</v>
      </c>
      <c r="CI53" s="306" t="str">
        <f>IF(AP53="-","-",VLOOKUP($A53,AMAPit!$A$10:$AY$122,CI$9,FALSE)-AP53)</f>
        <v>-</v>
      </c>
      <c r="CJ53" s="306" t="str">
        <f>IF(AQ53="-","-",VLOOKUP($A53,AMAPit!$A$10:$AY$122,CJ$9,FALSE)-AQ53)</f>
        <v>-</v>
      </c>
      <c r="CK53" s="306" t="str">
        <f>IF(AR53="-","-",VLOOKUP($A53,AMAPit!$A$10:$AY$122,CK$9,FALSE)-AR53)</f>
        <v>-</v>
      </c>
      <c r="CL53" s="306" t="str">
        <f>IF(AS53="-","-",VLOOKUP($A53,AMAPit!$A$10:$AY$122,CL$9,FALSE)-AS53)</f>
        <v>-</v>
      </c>
      <c r="CM53" s="306" t="str">
        <f>IF(AT53="-","-",VLOOKUP($A53,AMAPit!$A$10:$AY$122,CM$9,FALSE)-AT53)</f>
        <v>-</v>
      </c>
      <c r="CN53" t="e">
        <f t="shared" si="21"/>
        <v>#N/A</v>
      </c>
    </row>
    <row r="54" spans="1:92" x14ac:dyDescent="0.25">
      <c r="A54" s="305" t="s">
        <v>566</v>
      </c>
      <c r="B54" s="305" t="s">
        <v>534</v>
      </c>
      <c r="C54" s="305"/>
      <c r="D54" s="305" t="s">
        <v>81</v>
      </c>
      <c r="E54" t="s">
        <v>11</v>
      </c>
      <c r="F54" t="s">
        <v>987</v>
      </c>
      <c r="G54" s="305" t="s">
        <v>427</v>
      </c>
      <c r="H54" t="s">
        <v>814</v>
      </c>
      <c r="I54" t="s">
        <v>187</v>
      </c>
      <c r="J54">
        <v>23</v>
      </c>
      <c r="K54" t="s">
        <v>83</v>
      </c>
      <c r="L54" s="210" t="s">
        <v>83</v>
      </c>
      <c r="M54" t="s">
        <v>816</v>
      </c>
      <c r="N54" t="s">
        <v>816</v>
      </c>
      <c r="O54" t="s">
        <v>201</v>
      </c>
      <c r="P54" s="210" t="s">
        <v>200</v>
      </c>
      <c r="Q54">
        <v>5</v>
      </c>
      <c r="R54">
        <v>3</v>
      </c>
      <c r="S54" s="210">
        <v>4</v>
      </c>
      <c r="T54">
        <v>5</v>
      </c>
      <c r="U54">
        <v>3</v>
      </c>
      <c r="V54" s="210">
        <v>4</v>
      </c>
      <c r="W54">
        <v>6</v>
      </c>
      <c r="X54">
        <v>7</v>
      </c>
      <c r="Y54">
        <v>1</v>
      </c>
      <c r="Z54">
        <v>1</v>
      </c>
      <c r="AA54" t="s">
        <v>32</v>
      </c>
      <c r="AB54" t="s">
        <v>32</v>
      </c>
      <c r="AC54">
        <v>6</v>
      </c>
      <c r="AD54">
        <v>7</v>
      </c>
      <c r="AE54" t="s">
        <v>32</v>
      </c>
      <c r="AF54" t="s">
        <v>32</v>
      </c>
      <c r="AG54" t="s">
        <v>32</v>
      </c>
      <c r="AH54" t="s">
        <v>32</v>
      </c>
      <c r="AI54" t="s">
        <v>32</v>
      </c>
      <c r="AJ54" t="s">
        <v>32</v>
      </c>
      <c r="AK54" t="s">
        <v>32</v>
      </c>
      <c r="AL54" t="s">
        <v>32</v>
      </c>
      <c r="AM54" t="s">
        <v>32</v>
      </c>
      <c r="AN54" t="s">
        <v>32</v>
      </c>
      <c r="AO54" t="s">
        <v>32</v>
      </c>
      <c r="AP54" t="s">
        <v>32</v>
      </c>
      <c r="AQ54" t="s">
        <v>32</v>
      </c>
      <c r="AR54" t="s">
        <v>32</v>
      </c>
      <c r="AS54" t="s">
        <v>32</v>
      </c>
      <c r="AT54" s="210" t="s">
        <v>32</v>
      </c>
      <c r="AU54" t="s">
        <v>1</v>
      </c>
      <c r="AV54">
        <v>4</v>
      </c>
      <c r="AW54" s="11" t="s">
        <v>393</v>
      </c>
      <c r="AX54" s="78" t="s">
        <v>32</v>
      </c>
      <c r="AY54" s="210" t="s">
        <v>33</v>
      </c>
      <c r="AZ54" s="372" t="s">
        <v>199</v>
      </c>
      <c r="BA54" s="6">
        <f t="shared" si="12"/>
        <v>4.5</v>
      </c>
      <c r="BB54" s="9" t="str">
        <f t="shared" si="13"/>
        <v>Bench</v>
      </c>
      <c r="BC54" s="9">
        <f t="shared" si="14"/>
        <v>4.5</v>
      </c>
      <c r="BD54" s="9" t="str">
        <f t="shared" si="15"/>
        <v>Bench</v>
      </c>
      <c r="BE54" s="9">
        <f t="shared" si="16"/>
        <v>4.5</v>
      </c>
      <c r="BF54" s="9" t="str">
        <f t="shared" si="17"/>
        <v>Bench</v>
      </c>
      <c r="BG54" s="77">
        <f t="shared" si="18"/>
        <v>3</v>
      </c>
      <c r="BH54" s="76">
        <f t="shared" si="19"/>
        <v>2</v>
      </c>
      <c r="BI54" t="str">
        <f t="shared" si="20"/>
        <v/>
      </c>
      <c r="BJ54" s="306" t="e">
        <f>IF(Q54="-","-",VLOOKUP($A54,AMAPit!$A$10:$AY$122,BJ$9,FALSE)-Q54)</f>
        <v>#N/A</v>
      </c>
      <c r="BK54" s="306" t="e">
        <f>IF(R54="-","-",VLOOKUP($A54,AMAPit!$A$10:$AY$122,BK$9,FALSE)-R54)</f>
        <v>#N/A</v>
      </c>
      <c r="BL54" s="306" t="e">
        <f>IF(S54="-","-",VLOOKUP($A54,AMAPit!$A$10:$AY$122,BL$9,FALSE)-S54)</f>
        <v>#N/A</v>
      </c>
      <c r="BM54" s="306" t="e">
        <f>IF(T54="-","-",VLOOKUP($A54,AMAPit!$A$10:$AY$122,BM$9,FALSE)-T54)</f>
        <v>#N/A</v>
      </c>
      <c r="BN54" s="306" t="e">
        <f>IF(U54="-","-",VLOOKUP($A54,AMAPit!$A$10:$AY$122,BN$9,FALSE)-U54)</f>
        <v>#N/A</v>
      </c>
      <c r="BO54" s="306" t="e">
        <f>IF(V54="-","-",VLOOKUP($A54,AMAPit!$A$10:$AY$122,BO$9,FALSE)-V54)</f>
        <v>#N/A</v>
      </c>
      <c r="BP54" s="306" t="e">
        <f>IF(W54="-","-",VLOOKUP($A54,AMAPit!$A$10:$AY$122,BP$9,FALSE)-W54)</f>
        <v>#N/A</v>
      </c>
      <c r="BQ54" s="306" t="e">
        <f>IF(X54="-","-",VLOOKUP($A54,AMAPit!$A$10:$AY$122,BQ$9,FALSE)-X54)</f>
        <v>#N/A</v>
      </c>
      <c r="BR54" s="306" t="e">
        <f>IF(Y54="-","-",VLOOKUP($A54,AMAPit!$A$10:$AY$122,BR$9,FALSE)-Y54)</f>
        <v>#N/A</v>
      </c>
      <c r="BS54" s="306" t="e">
        <f>IF(Z54="-","-",VLOOKUP($A54,AMAPit!$A$10:$AY$122,BS$9,FALSE)-Z54)</f>
        <v>#N/A</v>
      </c>
      <c r="BT54" s="306" t="str">
        <f>IF(AA54="-","-",VLOOKUP($A54,AMAPit!$A$10:$AY$122,BT$9,FALSE)-AA54)</f>
        <v>-</v>
      </c>
      <c r="BU54" s="306" t="str">
        <f>IF(AB54="-","-",VLOOKUP($A54,AMAPit!$A$10:$AY$122,BU$9,FALSE)-AB54)</f>
        <v>-</v>
      </c>
      <c r="BV54" s="306" t="e">
        <f>IF(AC54="-","-",VLOOKUP($A54,AMAPit!$A$10:$AY$122,BV$9,FALSE)-AC54)</f>
        <v>#N/A</v>
      </c>
      <c r="BW54" s="306" t="e">
        <f>IF(AD54="-","-",VLOOKUP($A54,AMAPit!$A$10:$AY$122,BW$9,FALSE)-AD54)</f>
        <v>#N/A</v>
      </c>
      <c r="BX54" s="306" t="str">
        <f>IF(AE54="-","-",VLOOKUP($A54,AMAPit!$A$10:$AY$122,BX$9,FALSE)-AE54)</f>
        <v>-</v>
      </c>
      <c r="BY54" s="306" t="str">
        <f>IF(AF54="-","-",VLOOKUP($A54,AMAPit!$A$10:$AY$122,BY$9,FALSE)-AF54)</f>
        <v>-</v>
      </c>
      <c r="BZ54" s="306" t="str">
        <f>IF(AG54="-","-",VLOOKUP($A54,AMAPit!$A$10:$AY$122,BZ$9,FALSE)-AG54)</f>
        <v>-</v>
      </c>
      <c r="CA54" s="306" t="str">
        <f>IF(AH54="-","-",VLOOKUP($A54,AMAPit!$A$10:$AY$122,CA$9,FALSE)-AH54)</f>
        <v>-</v>
      </c>
      <c r="CB54" s="306" t="str">
        <f>IF(AI54="-","-",VLOOKUP($A54,AMAPit!$A$10:$AY$122,CB$9,FALSE)-AI54)</f>
        <v>-</v>
      </c>
      <c r="CC54" s="306" t="str">
        <f>IF(AJ54="-","-",VLOOKUP($A54,AMAPit!$A$10:$AY$122,CC$9,FALSE)-AJ54)</f>
        <v>-</v>
      </c>
      <c r="CD54" s="306" t="str">
        <f>IF(AK54="-","-",VLOOKUP($A54,AMAPit!$A$10:$AY$122,CD$9,FALSE)-AK54)</f>
        <v>-</v>
      </c>
      <c r="CE54" s="306" t="str">
        <f>IF(AL54="-","-",VLOOKUP($A54,AMAPit!$A$10:$AY$122,CE$9,FALSE)-AL54)</f>
        <v>-</v>
      </c>
      <c r="CF54" s="306" t="str">
        <f>IF(AM54="-","-",VLOOKUP($A54,AMAPit!$A$10:$AY$122,CF$9,FALSE)-AM54)</f>
        <v>-</v>
      </c>
      <c r="CG54" s="306" t="str">
        <f>IF(AN54="-","-",VLOOKUP($A54,AMAPit!$A$10:$AY$122,CG$9,FALSE)-AN54)</f>
        <v>-</v>
      </c>
      <c r="CH54" s="306" t="str">
        <f>IF(AO54="-","-",VLOOKUP($A54,AMAPit!$A$10:$AY$122,CH$9,FALSE)-AO54)</f>
        <v>-</v>
      </c>
      <c r="CI54" s="306" t="str">
        <f>IF(AP54="-","-",VLOOKUP($A54,AMAPit!$A$10:$AY$122,CI$9,FALSE)-AP54)</f>
        <v>-</v>
      </c>
      <c r="CJ54" s="306" t="str">
        <f>IF(AQ54="-","-",VLOOKUP($A54,AMAPit!$A$10:$AY$122,CJ$9,FALSE)-AQ54)</f>
        <v>-</v>
      </c>
      <c r="CK54" s="306" t="str">
        <f>IF(AR54="-","-",VLOOKUP($A54,AMAPit!$A$10:$AY$122,CK$9,FALSE)-AR54)</f>
        <v>-</v>
      </c>
      <c r="CL54" s="306" t="str">
        <f>IF(AS54="-","-",VLOOKUP($A54,AMAPit!$A$10:$AY$122,CL$9,FALSE)-AS54)</f>
        <v>-</v>
      </c>
      <c r="CM54" s="306" t="str">
        <f>IF(AT54="-","-",VLOOKUP($A54,AMAPit!$A$10:$AY$122,CM$9,FALSE)-AT54)</f>
        <v>-</v>
      </c>
      <c r="CN54" t="e">
        <f t="shared" si="21"/>
        <v>#N/A</v>
      </c>
    </row>
    <row r="55" spans="1:92" x14ac:dyDescent="0.25">
      <c r="A55" s="305" t="s">
        <v>567</v>
      </c>
      <c r="B55" s="305" t="s">
        <v>534</v>
      </c>
      <c r="C55" s="305"/>
      <c r="D55" s="305" t="s">
        <v>72</v>
      </c>
      <c r="E55" t="s">
        <v>11</v>
      </c>
      <c r="F55" t="s">
        <v>1019</v>
      </c>
      <c r="G55" s="305" t="s">
        <v>496</v>
      </c>
      <c r="H55" t="s">
        <v>783</v>
      </c>
      <c r="I55" t="s">
        <v>185</v>
      </c>
      <c r="J55">
        <v>29</v>
      </c>
      <c r="K55" t="s">
        <v>83</v>
      </c>
      <c r="L55" s="210" t="s">
        <v>83</v>
      </c>
      <c r="M55" t="s">
        <v>816</v>
      </c>
      <c r="N55" t="s">
        <v>816</v>
      </c>
      <c r="O55" t="s">
        <v>199</v>
      </c>
      <c r="P55" s="210" t="s">
        <v>200</v>
      </c>
      <c r="Q55">
        <v>3</v>
      </c>
      <c r="R55">
        <v>2</v>
      </c>
      <c r="S55" s="210">
        <v>7</v>
      </c>
      <c r="T55">
        <v>3</v>
      </c>
      <c r="U55">
        <v>2</v>
      </c>
      <c r="V55" s="210">
        <v>7</v>
      </c>
      <c r="W55">
        <v>4</v>
      </c>
      <c r="X55">
        <v>5</v>
      </c>
      <c r="Y55">
        <v>3</v>
      </c>
      <c r="Z55">
        <v>4</v>
      </c>
      <c r="AA55">
        <v>3</v>
      </c>
      <c r="AB55">
        <v>3</v>
      </c>
      <c r="AC55">
        <v>3</v>
      </c>
      <c r="AD55">
        <v>4</v>
      </c>
      <c r="AE55" t="s">
        <v>32</v>
      </c>
      <c r="AF55" t="s">
        <v>32</v>
      </c>
      <c r="AG55" t="s">
        <v>32</v>
      </c>
      <c r="AH55" t="s">
        <v>32</v>
      </c>
      <c r="AI55" t="s">
        <v>32</v>
      </c>
      <c r="AJ55" t="s">
        <v>32</v>
      </c>
      <c r="AK55" t="s">
        <v>32</v>
      </c>
      <c r="AL55" t="s">
        <v>32</v>
      </c>
      <c r="AM55" t="s">
        <v>32</v>
      </c>
      <c r="AN55" t="s">
        <v>32</v>
      </c>
      <c r="AO55" t="s">
        <v>32</v>
      </c>
      <c r="AP55" t="s">
        <v>32</v>
      </c>
      <c r="AQ55" t="s">
        <v>32</v>
      </c>
      <c r="AR55" t="s">
        <v>32</v>
      </c>
      <c r="AS55" t="s">
        <v>32</v>
      </c>
      <c r="AT55" s="210" t="s">
        <v>32</v>
      </c>
      <c r="AU55" t="s">
        <v>5</v>
      </c>
      <c r="AV55">
        <v>9</v>
      </c>
      <c r="AW55" s="11" t="s">
        <v>395</v>
      </c>
      <c r="AX55" s="78" t="s">
        <v>32</v>
      </c>
      <c r="AY55" s="210" t="s">
        <v>33</v>
      </c>
      <c r="AZ55" s="372" t="s">
        <v>529</v>
      </c>
      <c r="BA55" s="6">
        <f t="shared" si="12"/>
        <v>4.5</v>
      </c>
      <c r="BB55" s="9" t="str">
        <f t="shared" si="13"/>
        <v>Bench</v>
      </c>
      <c r="BC55" s="9">
        <f t="shared" si="14"/>
        <v>4.5</v>
      </c>
      <c r="BD55" s="9" t="str">
        <f t="shared" si="15"/>
        <v>Bench</v>
      </c>
      <c r="BE55" s="9">
        <f t="shared" si="16"/>
        <v>4.5</v>
      </c>
      <c r="BF55" s="9" t="str">
        <f t="shared" si="17"/>
        <v>Bench</v>
      </c>
      <c r="BG55" s="77">
        <f t="shared" si="18"/>
        <v>4</v>
      </c>
      <c r="BH55" s="76">
        <f t="shared" si="19"/>
        <v>0</v>
      </c>
      <c r="BI55" t="str">
        <f t="shared" si="20"/>
        <v/>
      </c>
      <c r="BJ55" s="306" t="e">
        <f>IF(Q55="-","-",VLOOKUP($A55,AMAPit!$A$10:$AY$122,BJ$9,FALSE)-Q55)</f>
        <v>#N/A</v>
      </c>
      <c r="BK55" s="306" t="e">
        <f>IF(R55="-","-",VLOOKUP($A55,AMAPit!$A$10:$AY$122,BK$9,FALSE)-R55)</f>
        <v>#N/A</v>
      </c>
      <c r="BL55" s="306" t="e">
        <f>IF(S55="-","-",VLOOKUP($A55,AMAPit!$A$10:$AY$122,BL$9,FALSE)-S55)</f>
        <v>#N/A</v>
      </c>
      <c r="BM55" s="306" t="e">
        <f>IF(T55="-","-",VLOOKUP($A55,AMAPit!$A$10:$AY$122,BM$9,FALSE)-T55)</f>
        <v>#N/A</v>
      </c>
      <c r="BN55" s="306" t="e">
        <f>IF(U55="-","-",VLOOKUP($A55,AMAPit!$A$10:$AY$122,BN$9,FALSE)-U55)</f>
        <v>#N/A</v>
      </c>
      <c r="BO55" s="306" t="e">
        <f>IF(V55="-","-",VLOOKUP($A55,AMAPit!$A$10:$AY$122,BO$9,FALSE)-V55)</f>
        <v>#N/A</v>
      </c>
      <c r="BP55" s="306" t="e">
        <f>IF(W55="-","-",VLOOKUP($A55,AMAPit!$A$10:$AY$122,BP$9,FALSE)-W55)</f>
        <v>#N/A</v>
      </c>
      <c r="BQ55" s="306" t="e">
        <f>IF(X55="-","-",VLOOKUP($A55,AMAPit!$A$10:$AY$122,BQ$9,FALSE)-X55)</f>
        <v>#N/A</v>
      </c>
      <c r="BR55" s="306" t="e">
        <f>IF(Y55="-","-",VLOOKUP($A55,AMAPit!$A$10:$AY$122,BR$9,FALSE)-Y55)</f>
        <v>#N/A</v>
      </c>
      <c r="BS55" s="306" t="e">
        <f>IF(Z55="-","-",VLOOKUP($A55,AMAPit!$A$10:$AY$122,BS$9,FALSE)-Z55)</f>
        <v>#N/A</v>
      </c>
      <c r="BT55" s="306" t="e">
        <f>IF(AA55="-","-",VLOOKUP($A55,AMAPit!$A$10:$AY$122,BT$9,FALSE)-AA55)</f>
        <v>#N/A</v>
      </c>
      <c r="BU55" s="306" t="e">
        <f>IF(AB55="-","-",VLOOKUP($A55,AMAPit!$A$10:$AY$122,BU$9,FALSE)-AB55)</f>
        <v>#N/A</v>
      </c>
      <c r="BV55" s="306" t="e">
        <f>IF(AC55="-","-",VLOOKUP($A55,AMAPit!$A$10:$AY$122,BV$9,FALSE)-AC55)</f>
        <v>#N/A</v>
      </c>
      <c r="BW55" s="306" t="e">
        <f>IF(AD55="-","-",VLOOKUP($A55,AMAPit!$A$10:$AY$122,BW$9,FALSE)-AD55)</f>
        <v>#N/A</v>
      </c>
      <c r="BX55" s="306" t="str">
        <f>IF(AE55="-","-",VLOOKUP($A55,AMAPit!$A$10:$AY$122,BX$9,FALSE)-AE55)</f>
        <v>-</v>
      </c>
      <c r="BY55" s="306" t="str">
        <f>IF(AF55="-","-",VLOOKUP($A55,AMAPit!$A$10:$AY$122,BY$9,FALSE)-AF55)</f>
        <v>-</v>
      </c>
      <c r="BZ55" s="306" t="str">
        <f>IF(AG55="-","-",VLOOKUP($A55,AMAPit!$A$10:$AY$122,BZ$9,FALSE)-AG55)</f>
        <v>-</v>
      </c>
      <c r="CA55" s="306" t="str">
        <f>IF(AH55="-","-",VLOOKUP($A55,AMAPit!$A$10:$AY$122,CA$9,FALSE)-AH55)</f>
        <v>-</v>
      </c>
      <c r="CB55" s="306" t="str">
        <f>IF(AI55="-","-",VLOOKUP($A55,AMAPit!$A$10:$AY$122,CB$9,FALSE)-AI55)</f>
        <v>-</v>
      </c>
      <c r="CC55" s="306" t="str">
        <f>IF(AJ55="-","-",VLOOKUP($A55,AMAPit!$A$10:$AY$122,CC$9,FALSE)-AJ55)</f>
        <v>-</v>
      </c>
      <c r="CD55" s="306" t="str">
        <f>IF(AK55="-","-",VLOOKUP($A55,AMAPit!$A$10:$AY$122,CD$9,FALSE)-AK55)</f>
        <v>-</v>
      </c>
      <c r="CE55" s="306" t="str">
        <f>IF(AL55="-","-",VLOOKUP($A55,AMAPit!$A$10:$AY$122,CE$9,FALSE)-AL55)</f>
        <v>-</v>
      </c>
      <c r="CF55" s="306" t="str">
        <f>IF(AM55="-","-",VLOOKUP($A55,AMAPit!$A$10:$AY$122,CF$9,FALSE)-AM55)</f>
        <v>-</v>
      </c>
      <c r="CG55" s="306" t="str">
        <f>IF(AN55="-","-",VLOOKUP($A55,AMAPit!$A$10:$AY$122,CG$9,FALSE)-AN55)</f>
        <v>-</v>
      </c>
      <c r="CH55" s="306" t="str">
        <f>IF(AO55="-","-",VLOOKUP($A55,AMAPit!$A$10:$AY$122,CH$9,FALSE)-AO55)</f>
        <v>-</v>
      </c>
      <c r="CI55" s="306" t="str">
        <f>IF(AP55="-","-",VLOOKUP($A55,AMAPit!$A$10:$AY$122,CI$9,FALSE)-AP55)</f>
        <v>-</v>
      </c>
      <c r="CJ55" s="306" t="str">
        <f>IF(AQ55="-","-",VLOOKUP($A55,AMAPit!$A$10:$AY$122,CJ$9,FALSE)-AQ55)</f>
        <v>-</v>
      </c>
      <c r="CK55" s="306" t="str">
        <f>IF(AR55="-","-",VLOOKUP($A55,AMAPit!$A$10:$AY$122,CK$9,FALSE)-AR55)</f>
        <v>-</v>
      </c>
      <c r="CL55" s="306" t="str">
        <f>IF(AS55="-","-",VLOOKUP($A55,AMAPit!$A$10:$AY$122,CL$9,FALSE)-AS55)</f>
        <v>-</v>
      </c>
      <c r="CM55" s="306" t="str">
        <f>IF(AT55="-","-",VLOOKUP($A55,AMAPit!$A$10:$AY$122,CM$9,FALSE)-AT55)</f>
        <v>-</v>
      </c>
      <c r="CN55" t="e">
        <f t="shared" si="21"/>
        <v>#N/A</v>
      </c>
    </row>
    <row r="56" spans="1:92" x14ac:dyDescent="0.25">
      <c r="A56" s="305" t="s">
        <v>568</v>
      </c>
      <c r="B56" s="305" t="s">
        <v>534</v>
      </c>
      <c r="C56" s="305"/>
      <c r="D56" s="305" t="s">
        <v>81</v>
      </c>
      <c r="E56" t="s">
        <v>11</v>
      </c>
      <c r="F56" t="s">
        <v>414</v>
      </c>
      <c r="G56" s="305" t="s">
        <v>993</v>
      </c>
      <c r="H56" t="s">
        <v>814</v>
      </c>
      <c r="I56" t="s">
        <v>187</v>
      </c>
      <c r="J56">
        <v>25</v>
      </c>
      <c r="K56" t="s">
        <v>83</v>
      </c>
      <c r="L56" s="210" t="s">
        <v>83</v>
      </c>
      <c r="M56" t="s">
        <v>816</v>
      </c>
      <c r="N56" t="s">
        <v>816</v>
      </c>
      <c r="O56" t="s">
        <v>200</v>
      </c>
      <c r="P56" s="210" t="s">
        <v>200</v>
      </c>
      <c r="Q56">
        <v>5</v>
      </c>
      <c r="R56">
        <v>3</v>
      </c>
      <c r="S56" s="210">
        <v>3</v>
      </c>
      <c r="T56">
        <v>5</v>
      </c>
      <c r="U56">
        <v>3</v>
      </c>
      <c r="V56" s="210">
        <v>3</v>
      </c>
      <c r="W56">
        <v>6</v>
      </c>
      <c r="X56">
        <v>7</v>
      </c>
      <c r="Y56">
        <v>4</v>
      </c>
      <c r="Z56">
        <v>4</v>
      </c>
      <c r="AA56">
        <v>3</v>
      </c>
      <c r="AB56">
        <v>5</v>
      </c>
      <c r="AC56">
        <v>6</v>
      </c>
      <c r="AD56">
        <v>7</v>
      </c>
      <c r="AE56" t="s">
        <v>32</v>
      </c>
      <c r="AF56" t="s">
        <v>32</v>
      </c>
      <c r="AG56" t="s">
        <v>32</v>
      </c>
      <c r="AH56" t="s">
        <v>32</v>
      </c>
      <c r="AI56" t="s">
        <v>32</v>
      </c>
      <c r="AJ56" t="s">
        <v>32</v>
      </c>
      <c r="AK56" t="s">
        <v>32</v>
      </c>
      <c r="AL56" t="s">
        <v>32</v>
      </c>
      <c r="AM56" t="s">
        <v>32</v>
      </c>
      <c r="AN56" t="s">
        <v>32</v>
      </c>
      <c r="AO56" t="s">
        <v>32</v>
      </c>
      <c r="AP56" t="s">
        <v>32</v>
      </c>
      <c r="AQ56" t="s">
        <v>32</v>
      </c>
      <c r="AR56" t="s">
        <v>32</v>
      </c>
      <c r="AS56" t="s">
        <v>32</v>
      </c>
      <c r="AT56" s="210" t="s">
        <v>32</v>
      </c>
      <c r="AU56" t="s">
        <v>6</v>
      </c>
      <c r="AV56">
        <v>8</v>
      </c>
      <c r="AW56" s="11" t="s">
        <v>490</v>
      </c>
      <c r="AX56" s="78" t="s">
        <v>32</v>
      </c>
      <c r="AY56" s="210" t="s">
        <v>33</v>
      </c>
      <c r="AZ56" s="372" t="s">
        <v>529</v>
      </c>
      <c r="BA56" s="6">
        <f t="shared" si="12"/>
        <v>4.4166666666666661</v>
      </c>
      <c r="BB56" s="9" t="str">
        <f t="shared" si="13"/>
        <v>Bench</v>
      </c>
      <c r="BC56" s="9">
        <f t="shared" si="14"/>
        <v>4.4166666666666661</v>
      </c>
      <c r="BD56" s="9" t="str">
        <f t="shared" si="15"/>
        <v>Bench</v>
      </c>
      <c r="BE56" s="9">
        <f t="shared" si="16"/>
        <v>4.4166666666666661</v>
      </c>
      <c r="BF56" s="9" t="str">
        <f t="shared" si="17"/>
        <v>Bench</v>
      </c>
      <c r="BG56" s="77">
        <f t="shared" si="18"/>
        <v>4</v>
      </c>
      <c r="BH56" s="76">
        <f t="shared" si="19"/>
        <v>2</v>
      </c>
      <c r="BI56" t="str">
        <f t="shared" si="20"/>
        <v/>
      </c>
      <c r="BJ56" s="306" t="e">
        <f>IF(Q56="-","-",VLOOKUP($A56,AMAPit!$A$10:$AY$122,BJ$9,FALSE)-Q56)</f>
        <v>#N/A</v>
      </c>
      <c r="BK56" s="306" t="e">
        <f>IF(R56="-","-",VLOOKUP($A56,AMAPit!$A$10:$AY$122,BK$9,FALSE)-R56)</f>
        <v>#N/A</v>
      </c>
      <c r="BL56" s="306" t="e">
        <f>IF(S56="-","-",VLOOKUP($A56,AMAPit!$A$10:$AY$122,BL$9,FALSE)-S56)</f>
        <v>#N/A</v>
      </c>
      <c r="BM56" s="306" t="e">
        <f>IF(T56="-","-",VLOOKUP($A56,AMAPit!$A$10:$AY$122,BM$9,FALSE)-T56)</f>
        <v>#N/A</v>
      </c>
      <c r="BN56" s="306" t="e">
        <f>IF(U56="-","-",VLOOKUP($A56,AMAPit!$A$10:$AY$122,BN$9,FALSE)-U56)</f>
        <v>#N/A</v>
      </c>
      <c r="BO56" s="306" t="e">
        <f>IF(V56="-","-",VLOOKUP($A56,AMAPit!$A$10:$AY$122,BO$9,FALSE)-V56)</f>
        <v>#N/A</v>
      </c>
      <c r="BP56" s="306" t="e">
        <f>IF(W56="-","-",VLOOKUP($A56,AMAPit!$A$10:$AY$122,BP$9,FALSE)-W56)</f>
        <v>#N/A</v>
      </c>
      <c r="BQ56" s="306" t="e">
        <f>IF(X56="-","-",VLOOKUP($A56,AMAPit!$A$10:$AY$122,BQ$9,FALSE)-X56)</f>
        <v>#N/A</v>
      </c>
      <c r="BR56" s="306" t="e">
        <f>IF(Y56="-","-",VLOOKUP($A56,AMAPit!$A$10:$AY$122,BR$9,FALSE)-Y56)</f>
        <v>#N/A</v>
      </c>
      <c r="BS56" s="306" t="e">
        <f>IF(Z56="-","-",VLOOKUP($A56,AMAPit!$A$10:$AY$122,BS$9,FALSE)-Z56)</f>
        <v>#N/A</v>
      </c>
      <c r="BT56" s="306" t="e">
        <f>IF(AA56="-","-",VLOOKUP($A56,AMAPit!$A$10:$AY$122,BT$9,FALSE)-AA56)</f>
        <v>#N/A</v>
      </c>
      <c r="BU56" s="306" t="e">
        <f>IF(AB56="-","-",VLOOKUP($A56,AMAPit!$A$10:$AY$122,BU$9,FALSE)-AB56)</f>
        <v>#N/A</v>
      </c>
      <c r="BV56" s="306" t="e">
        <f>IF(AC56="-","-",VLOOKUP($A56,AMAPit!$A$10:$AY$122,BV$9,FALSE)-AC56)</f>
        <v>#N/A</v>
      </c>
      <c r="BW56" s="306" t="e">
        <f>IF(AD56="-","-",VLOOKUP($A56,AMAPit!$A$10:$AY$122,BW$9,FALSE)-AD56)</f>
        <v>#N/A</v>
      </c>
      <c r="BX56" s="306" t="str">
        <f>IF(AE56="-","-",VLOOKUP($A56,AMAPit!$A$10:$AY$122,BX$9,FALSE)-AE56)</f>
        <v>-</v>
      </c>
      <c r="BY56" s="306" t="str">
        <f>IF(AF56="-","-",VLOOKUP($A56,AMAPit!$A$10:$AY$122,BY$9,FALSE)-AF56)</f>
        <v>-</v>
      </c>
      <c r="BZ56" s="306" t="str">
        <f>IF(AG56="-","-",VLOOKUP($A56,AMAPit!$A$10:$AY$122,BZ$9,FALSE)-AG56)</f>
        <v>-</v>
      </c>
      <c r="CA56" s="306" t="str">
        <f>IF(AH56="-","-",VLOOKUP($A56,AMAPit!$A$10:$AY$122,CA$9,FALSE)-AH56)</f>
        <v>-</v>
      </c>
      <c r="CB56" s="306" t="str">
        <f>IF(AI56="-","-",VLOOKUP($A56,AMAPit!$A$10:$AY$122,CB$9,FALSE)-AI56)</f>
        <v>-</v>
      </c>
      <c r="CC56" s="306" t="str">
        <f>IF(AJ56="-","-",VLOOKUP($A56,AMAPit!$A$10:$AY$122,CC$9,FALSE)-AJ56)</f>
        <v>-</v>
      </c>
      <c r="CD56" s="306" t="str">
        <f>IF(AK56="-","-",VLOOKUP($A56,AMAPit!$A$10:$AY$122,CD$9,FALSE)-AK56)</f>
        <v>-</v>
      </c>
      <c r="CE56" s="306" t="str">
        <f>IF(AL56="-","-",VLOOKUP($A56,AMAPit!$A$10:$AY$122,CE$9,FALSE)-AL56)</f>
        <v>-</v>
      </c>
      <c r="CF56" s="306" t="str">
        <f>IF(AM56="-","-",VLOOKUP($A56,AMAPit!$A$10:$AY$122,CF$9,FALSE)-AM56)</f>
        <v>-</v>
      </c>
      <c r="CG56" s="306" t="str">
        <f>IF(AN56="-","-",VLOOKUP($A56,AMAPit!$A$10:$AY$122,CG$9,FALSE)-AN56)</f>
        <v>-</v>
      </c>
      <c r="CH56" s="306" t="str">
        <f>IF(AO56="-","-",VLOOKUP($A56,AMAPit!$A$10:$AY$122,CH$9,FALSE)-AO56)</f>
        <v>-</v>
      </c>
      <c r="CI56" s="306" t="str">
        <f>IF(AP56="-","-",VLOOKUP($A56,AMAPit!$A$10:$AY$122,CI$9,FALSE)-AP56)</f>
        <v>-</v>
      </c>
      <c r="CJ56" s="306" t="str">
        <f>IF(AQ56="-","-",VLOOKUP($A56,AMAPit!$A$10:$AY$122,CJ$9,FALSE)-AQ56)</f>
        <v>-</v>
      </c>
      <c r="CK56" s="306" t="str">
        <f>IF(AR56="-","-",VLOOKUP($A56,AMAPit!$A$10:$AY$122,CK$9,FALSE)-AR56)</f>
        <v>-</v>
      </c>
      <c r="CL56" s="306" t="str">
        <f>IF(AS56="-","-",VLOOKUP($A56,AMAPit!$A$10:$AY$122,CL$9,FALSE)-AS56)</f>
        <v>-</v>
      </c>
      <c r="CM56" s="306" t="str">
        <f>IF(AT56="-","-",VLOOKUP($A56,AMAPit!$A$10:$AY$122,CM$9,FALSE)-AT56)</f>
        <v>-</v>
      </c>
      <c r="CN56" t="e">
        <f t="shared" si="21"/>
        <v>#N/A</v>
      </c>
    </row>
    <row r="57" spans="1:92" x14ac:dyDescent="0.25">
      <c r="A57" s="305" t="s">
        <v>569</v>
      </c>
      <c r="B57" s="305" t="s">
        <v>534</v>
      </c>
      <c r="C57" s="305"/>
      <c r="D57" s="305" t="s">
        <v>81</v>
      </c>
      <c r="E57" t="s">
        <v>87</v>
      </c>
      <c r="F57" t="s">
        <v>943</v>
      </c>
      <c r="G57" s="305" t="s">
        <v>944</v>
      </c>
      <c r="H57" t="s">
        <v>814</v>
      </c>
      <c r="I57" t="s">
        <v>187</v>
      </c>
      <c r="J57">
        <v>25</v>
      </c>
      <c r="K57" t="s">
        <v>83</v>
      </c>
      <c r="L57" s="210" t="s">
        <v>83</v>
      </c>
      <c r="M57" t="s">
        <v>808</v>
      </c>
      <c r="N57" t="s">
        <v>808</v>
      </c>
      <c r="O57" t="s">
        <v>200</v>
      </c>
      <c r="P57" s="210" t="s">
        <v>200</v>
      </c>
      <c r="Q57">
        <v>4</v>
      </c>
      <c r="R57">
        <v>2</v>
      </c>
      <c r="S57" s="210">
        <v>5</v>
      </c>
      <c r="T57">
        <v>5</v>
      </c>
      <c r="U57">
        <v>3</v>
      </c>
      <c r="V57" s="210">
        <v>5</v>
      </c>
      <c r="W57">
        <v>6</v>
      </c>
      <c r="X57">
        <v>7</v>
      </c>
      <c r="Y57" t="s">
        <v>32</v>
      </c>
      <c r="Z57" t="s">
        <v>32</v>
      </c>
      <c r="AA57">
        <v>5</v>
      </c>
      <c r="AB57">
        <v>6</v>
      </c>
      <c r="AC57">
        <v>6</v>
      </c>
      <c r="AD57">
        <v>6</v>
      </c>
      <c r="AE57" t="s">
        <v>32</v>
      </c>
      <c r="AF57" t="s">
        <v>32</v>
      </c>
      <c r="AG57" t="s">
        <v>32</v>
      </c>
      <c r="AH57" t="s">
        <v>32</v>
      </c>
      <c r="AI57" t="s">
        <v>32</v>
      </c>
      <c r="AJ57" t="s">
        <v>32</v>
      </c>
      <c r="AK57" t="s">
        <v>32</v>
      </c>
      <c r="AL57" t="s">
        <v>32</v>
      </c>
      <c r="AM57" t="s">
        <v>32</v>
      </c>
      <c r="AN57" t="s">
        <v>32</v>
      </c>
      <c r="AO57" t="s">
        <v>32</v>
      </c>
      <c r="AP57" t="s">
        <v>32</v>
      </c>
      <c r="AQ57" t="s">
        <v>32</v>
      </c>
      <c r="AR57" t="s">
        <v>32</v>
      </c>
      <c r="AS57" t="s">
        <v>32</v>
      </c>
      <c r="AT57" s="210" t="s">
        <v>32</v>
      </c>
      <c r="AU57" t="s">
        <v>5</v>
      </c>
      <c r="AV57">
        <v>8</v>
      </c>
      <c r="AW57" s="11" t="s">
        <v>40</v>
      </c>
      <c r="AX57" s="78" t="s">
        <v>32</v>
      </c>
      <c r="AY57" s="210" t="s">
        <v>33</v>
      </c>
      <c r="AZ57" s="372" t="s">
        <v>529</v>
      </c>
      <c r="BA57" s="6">
        <f t="shared" si="12"/>
        <v>4.1666666666666661</v>
      </c>
      <c r="BB57" s="9" t="str">
        <f t="shared" si="13"/>
        <v>Bench</v>
      </c>
      <c r="BC57" s="9">
        <f t="shared" si="14"/>
        <v>4.833333333333333</v>
      </c>
      <c r="BD57" s="9" t="str">
        <f t="shared" si="15"/>
        <v>Bench</v>
      </c>
      <c r="BE57" s="9">
        <f t="shared" si="16"/>
        <v>4.833333333333333</v>
      </c>
      <c r="BF57" s="9" t="str">
        <f t="shared" si="17"/>
        <v>Bench</v>
      </c>
      <c r="BG57" s="77">
        <f t="shared" si="18"/>
        <v>3</v>
      </c>
      <c r="BH57" s="76">
        <f t="shared" si="19"/>
        <v>2.5</v>
      </c>
      <c r="BI57" t="str">
        <f t="shared" si="20"/>
        <v/>
      </c>
      <c r="BJ57" s="306" t="e">
        <f>IF(Q57="-","-",VLOOKUP($A57,AMAPit!$A$10:$AY$122,BJ$9,FALSE)-Q57)</f>
        <v>#N/A</v>
      </c>
      <c r="BK57" s="306" t="e">
        <f>IF(R57="-","-",VLOOKUP($A57,AMAPit!$A$10:$AY$122,BK$9,FALSE)-R57)</f>
        <v>#N/A</v>
      </c>
      <c r="BL57" s="306" t="e">
        <f>IF(S57="-","-",VLOOKUP($A57,AMAPit!$A$10:$AY$122,BL$9,FALSE)-S57)</f>
        <v>#N/A</v>
      </c>
      <c r="BM57" s="306" t="e">
        <f>IF(T57="-","-",VLOOKUP($A57,AMAPit!$A$10:$AY$122,BM$9,FALSE)-T57)</f>
        <v>#N/A</v>
      </c>
      <c r="BN57" s="306" t="e">
        <f>IF(U57="-","-",VLOOKUP($A57,AMAPit!$A$10:$AY$122,BN$9,FALSE)-U57)</f>
        <v>#N/A</v>
      </c>
      <c r="BO57" s="306" t="e">
        <f>IF(V57="-","-",VLOOKUP($A57,AMAPit!$A$10:$AY$122,BO$9,FALSE)-V57)</f>
        <v>#N/A</v>
      </c>
      <c r="BP57" s="306" t="e">
        <f>IF(W57="-","-",VLOOKUP($A57,AMAPit!$A$10:$AY$122,BP$9,FALSE)-W57)</f>
        <v>#N/A</v>
      </c>
      <c r="BQ57" s="306" t="e">
        <f>IF(X57="-","-",VLOOKUP($A57,AMAPit!$A$10:$AY$122,BQ$9,FALSE)-X57)</f>
        <v>#N/A</v>
      </c>
      <c r="BR57" s="306" t="str">
        <f>IF(Y57="-","-",VLOOKUP($A57,AMAPit!$A$10:$AY$122,BR$9,FALSE)-Y57)</f>
        <v>-</v>
      </c>
      <c r="BS57" s="306" t="str">
        <f>IF(Z57="-","-",VLOOKUP($A57,AMAPit!$A$10:$AY$122,BS$9,FALSE)-Z57)</f>
        <v>-</v>
      </c>
      <c r="BT57" s="306" t="e">
        <f>IF(AA57="-","-",VLOOKUP($A57,AMAPit!$A$10:$AY$122,BT$9,FALSE)-AA57)</f>
        <v>#N/A</v>
      </c>
      <c r="BU57" s="306" t="e">
        <f>IF(AB57="-","-",VLOOKUP($A57,AMAPit!$A$10:$AY$122,BU$9,FALSE)-AB57)</f>
        <v>#N/A</v>
      </c>
      <c r="BV57" s="306" t="e">
        <f>IF(AC57="-","-",VLOOKUP($A57,AMAPit!$A$10:$AY$122,BV$9,FALSE)-AC57)</f>
        <v>#N/A</v>
      </c>
      <c r="BW57" s="306" t="e">
        <f>IF(AD57="-","-",VLOOKUP($A57,AMAPit!$A$10:$AY$122,BW$9,FALSE)-AD57)</f>
        <v>#N/A</v>
      </c>
      <c r="BX57" s="306" t="str">
        <f>IF(AE57="-","-",VLOOKUP($A57,AMAPit!$A$10:$AY$122,BX$9,FALSE)-AE57)</f>
        <v>-</v>
      </c>
      <c r="BY57" s="306" t="str">
        <f>IF(AF57="-","-",VLOOKUP($A57,AMAPit!$A$10:$AY$122,BY$9,FALSE)-AF57)</f>
        <v>-</v>
      </c>
      <c r="BZ57" s="306" t="str">
        <f>IF(AG57="-","-",VLOOKUP($A57,AMAPit!$A$10:$AY$122,BZ$9,FALSE)-AG57)</f>
        <v>-</v>
      </c>
      <c r="CA57" s="306" t="str">
        <f>IF(AH57="-","-",VLOOKUP($A57,AMAPit!$A$10:$AY$122,CA$9,FALSE)-AH57)</f>
        <v>-</v>
      </c>
      <c r="CB57" s="306" t="str">
        <f>IF(AI57="-","-",VLOOKUP($A57,AMAPit!$A$10:$AY$122,CB$9,FALSE)-AI57)</f>
        <v>-</v>
      </c>
      <c r="CC57" s="306" t="str">
        <f>IF(AJ57="-","-",VLOOKUP($A57,AMAPit!$A$10:$AY$122,CC$9,FALSE)-AJ57)</f>
        <v>-</v>
      </c>
      <c r="CD57" s="306" t="str">
        <f>IF(AK57="-","-",VLOOKUP($A57,AMAPit!$A$10:$AY$122,CD$9,FALSE)-AK57)</f>
        <v>-</v>
      </c>
      <c r="CE57" s="306" t="str">
        <f>IF(AL57="-","-",VLOOKUP($A57,AMAPit!$A$10:$AY$122,CE$9,FALSE)-AL57)</f>
        <v>-</v>
      </c>
      <c r="CF57" s="306" t="str">
        <f>IF(AM57="-","-",VLOOKUP($A57,AMAPit!$A$10:$AY$122,CF$9,FALSE)-AM57)</f>
        <v>-</v>
      </c>
      <c r="CG57" s="306" t="str">
        <f>IF(AN57="-","-",VLOOKUP($A57,AMAPit!$A$10:$AY$122,CG$9,FALSE)-AN57)</f>
        <v>-</v>
      </c>
      <c r="CH57" s="306" t="str">
        <f>IF(AO57="-","-",VLOOKUP($A57,AMAPit!$A$10:$AY$122,CH$9,FALSE)-AO57)</f>
        <v>-</v>
      </c>
      <c r="CI57" s="306" t="str">
        <f>IF(AP57="-","-",VLOOKUP($A57,AMAPit!$A$10:$AY$122,CI$9,FALSE)-AP57)</f>
        <v>-</v>
      </c>
      <c r="CJ57" s="306" t="str">
        <f>IF(AQ57="-","-",VLOOKUP($A57,AMAPit!$A$10:$AY$122,CJ$9,FALSE)-AQ57)</f>
        <v>-</v>
      </c>
      <c r="CK57" s="306" t="str">
        <f>IF(AR57="-","-",VLOOKUP($A57,AMAPit!$A$10:$AY$122,CK$9,FALSE)-AR57)</f>
        <v>-</v>
      </c>
      <c r="CL57" s="306" t="str">
        <f>IF(AS57="-","-",VLOOKUP($A57,AMAPit!$A$10:$AY$122,CL$9,FALSE)-AS57)</f>
        <v>-</v>
      </c>
      <c r="CM57" s="306" t="str">
        <f>IF(AT57="-","-",VLOOKUP($A57,AMAPit!$A$10:$AY$122,CM$9,FALSE)-AT57)</f>
        <v>-</v>
      </c>
      <c r="CN57" t="e">
        <f t="shared" si="21"/>
        <v>#N/A</v>
      </c>
    </row>
    <row r="58" spans="1:92" x14ac:dyDescent="0.25">
      <c r="A58" s="305" t="s">
        <v>570</v>
      </c>
      <c r="B58" s="305" t="s">
        <v>534</v>
      </c>
      <c r="C58" s="305"/>
      <c r="D58" s="305" t="s">
        <v>81</v>
      </c>
      <c r="E58" t="s">
        <v>11</v>
      </c>
      <c r="F58" t="s">
        <v>972</v>
      </c>
      <c r="G58" s="305" t="s">
        <v>973</v>
      </c>
      <c r="H58" t="s">
        <v>802</v>
      </c>
      <c r="I58" t="s">
        <v>277</v>
      </c>
      <c r="J58">
        <v>22</v>
      </c>
      <c r="K58" t="s">
        <v>85</v>
      </c>
      <c r="L58" s="210" t="s">
        <v>83</v>
      </c>
      <c r="M58" t="s">
        <v>816</v>
      </c>
      <c r="N58" t="s">
        <v>816</v>
      </c>
      <c r="O58" t="s">
        <v>200</v>
      </c>
      <c r="P58" s="210" t="s">
        <v>200</v>
      </c>
      <c r="Q58">
        <v>5</v>
      </c>
      <c r="R58">
        <v>2</v>
      </c>
      <c r="S58" s="210">
        <v>3</v>
      </c>
      <c r="T58">
        <v>6</v>
      </c>
      <c r="U58">
        <v>2</v>
      </c>
      <c r="V58" s="210">
        <v>4</v>
      </c>
      <c r="W58" t="s">
        <v>32</v>
      </c>
      <c r="X58" t="s">
        <v>32</v>
      </c>
      <c r="Y58">
        <v>6</v>
      </c>
      <c r="Z58">
        <v>7</v>
      </c>
      <c r="AA58">
        <v>4</v>
      </c>
      <c r="AB58">
        <v>6</v>
      </c>
      <c r="AC58" t="s">
        <v>32</v>
      </c>
      <c r="AD58" t="s">
        <v>32</v>
      </c>
      <c r="AE58" t="s">
        <v>32</v>
      </c>
      <c r="AF58" t="s">
        <v>32</v>
      </c>
      <c r="AG58">
        <v>4</v>
      </c>
      <c r="AH58">
        <v>4</v>
      </c>
      <c r="AI58">
        <v>5</v>
      </c>
      <c r="AJ58">
        <v>6</v>
      </c>
      <c r="AK58" t="s">
        <v>32</v>
      </c>
      <c r="AL58" t="s">
        <v>32</v>
      </c>
      <c r="AM58" t="s">
        <v>32</v>
      </c>
      <c r="AN58" t="s">
        <v>32</v>
      </c>
      <c r="AO58" t="s">
        <v>32</v>
      </c>
      <c r="AP58" t="s">
        <v>32</v>
      </c>
      <c r="AQ58" t="s">
        <v>32</v>
      </c>
      <c r="AR58" t="s">
        <v>32</v>
      </c>
      <c r="AS58" t="s">
        <v>32</v>
      </c>
      <c r="AT58" s="210" t="s">
        <v>32</v>
      </c>
      <c r="AU58" t="s">
        <v>8</v>
      </c>
      <c r="AV58">
        <v>3</v>
      </c>
      <c r="AW58" s="11" t="s">
        <v>393</v>
      </c>
      <c r="AX58" s="78" t="s">
        <v>32</v>
      </c>
      <c r="AY58" s="210" t="s">
        <v>33</v>
      </c>
      <c r="AZ58" s="372" t="s">
        <v>199</v>
      </c>
      <c r="BA58" s="6">
        <f t="shared" si="12"/>
        <v>4.0833333333333339</v>
      </c>
      <c r="BB58" s="9" t="str">
        <f t="shared" si="13"/>
        <v>Bench</v>
      </c>
      <c r="BC58" s="9">
        <f t="shared" si="14"/>
        <v>4.75</v>
      </c>
      <c r="BD58" s="9" t="str">
        <f t="shared" si="15"/>
        <v>Bench</v>
      </c>
      <c r="BE58" s="9">
        <f t="shared" si="16"/>
        <v>4.75</v>
      </c>
      <c r="BF58" s="9" t="str">
        <f t="shared" si="17"/>
        <v>Bench</v>
      </c>
      <c r="BG58" s="77">
        <f t="shared" si="18"/>
        <v>4</v>
      </c>
      <c r="BH58" s="76">
        <f t="shared" si="19"/>
        <v>2</v>
      </c>
      <c r="BI58" t="str">
        <f t="shared" si="20"/>
        <v/>
      </c>
      <c r="BJ58" s="306" t="e">
        <f>IF(Q58="-","-",VLOOKUP($A58,AMAPit!$A$10:$AY$122,BJ$9,FALSE)-Q58)</f>
        <v>#N/A</v>
      </c>
      <c r="BK58" s="306" t="e">
        <f>IF(R58="-","-",VLOOKUP($A58,AMAPit!$A$10:$AY$122,BK$9,FALSE)-R58)</f>
        <v>#N/A</v>
      </c>
      <c r="BL58" s="306" t="e">
        <f>IF(S58="-","-",VLOOKUP($A58,AMAPit!$A$10:$AY$122,BL$9,FALSE)-S58)</f>
        <v>#N/A</v>
      </c>
      <c r="BM58" s="306" t="e">
        <f>IF(T58="-","-",VLOOKUP($A58,AMAPit!$A$10:$AY$122,BM$9,FALSE)-T58)</f>
        <v>#N/A</v>
      </c>
      <c r="BN58" s="306" t="e">
        <f>IF(U58="-","-",VLOOKUP($A58,AMAPit!$A$10:$AY$122,BN$9,FALSE)-U58)</f>
        <v>#N/A</v>
      </c>
      <c r="BO58" s="306" t="e">
        <f>IF(V58="-","-",VLOOKUP($A58,AMAPit!$A$10:$AY$122,BO$9,FALSE)-V58)</f>
        <v>#N/A</v>
      </c>
      <c r="BP58" s="306" t="str">
        <f>IF(W58="-","-",VLOOKUP($A58,AMAPit!$A$10:$AY$122,BP$9,FALSE)-W58)</f>
        <v>-</v>
      </c>
      <c r="BQ58" s="306" t="str">
        <f>IF(X58="-","-",VLOOKUP($A58,AMAPit!$A$10:$AY$122,BQ$9,FALSE)-X58)</f>
        <v>-</v>
      </c>
      <c r="BR58" s="306" t="e">
        <f>IF(Y58="-","-",VLOOKUP($A58,AMAPit!$A$10:$AY$122,BR$9,FALSE)-Y58)</f>
        <v>#N/A</v>
      </c>
      <c r="BS58" s="306" t="e">
        <f>IF(Z58="-","-",VLOOKUP($A58,AMAPit!$A$10:$AY$122,BS$9,FALSE)-Z58)</f>
        <v>#N/A</v>
      </c>
      <c r="BT58" s="306" t="e">
        <f>IF(AA58="-","-",VLOOKUP($A58,AMAPit!$A$10:$AY$122,BT$9,FALSE)-AA58)</f>
        <v>#N/A</v>
      </c>
      <c r="BU58" s="306" t="e">
        <f>IF(AB58="-","-",VLOOKUP($A58,AMAPit!$A$10:$AY$122,BU$9,FALSE)-AB58)</f>
        <v>#N/A</v>
      </c>
      <c r="BV58" s="306" t="str">
        <f>IF(AC58="-","-",VLOOKUP($A58,AMAPit!$A$10:$AY$122,BV$9,FALSE)-AC58)</f>
        <v>-</v>
      </c>
      <c r="BW58" s="306" t="str">
        <f>IF(AD58="-","-",VLOOKUP($A58,AMAPit!$A$10:$AY$122,BW$9,FALSE)-AD58)</f>
        <v>-</v>
      </c>
      <c r="BX58" s="306" t="str">
        <f>IF(AE58="-","-",VLOOKUP($A58,AMAPit!$A$10:$AY$122,BX$9,FALSE)-AE58)</f>
        <v>-</v>
      </c>
      <c r="BY58" s="306" t="str">
        <f>IF(AF58="-","-",VLOOKUP($A58,AMAPit!$A$10:$AY$122,BY$9,FALSE)-AF58)</f>
        <v>-</v>
      </c>
      <c r="BZ58" s="306" t="e">
        <f>IF(AG58="-","-",VLOOKUP($A58,AMAPit!$A$10:$AY$122,BZ$9,FALSE)-AG58)</f>
        <v>#N/A</v>
      </c>
      <c r="CA58" s="306" t="e">
        <f>IF(AH58="-","-",VLOOKUP($A58,AMAPit!$A$10:$AY$122,CA$9,FALSE)-AH58)</f>
        <v>#N/A</v>
      </c>
      <c r="CB58" s="306" t="e">
        <f>IF(AI58="-","-",VLOOKUP($A58,AMAPit!$A$10:$AY$122,CB$9,FALSE)-AI58)</f>
        <v>#N/A</v>
      </c>
      <c r="CC58" s="306" t="e">
        <f>IF(AJ58="-","-",VLOOKUP($A58,AMAPit!$A$10:$AY$122,CC$9,FALSE)-AJ58)</f>
        <v>#N/A</v>
      </c>
      <c r="CD58" s="306" t="str">
        <f>IF(AK58="-","-",VLOOKUP($A58,AMAPit!$A$10:$AY$122,CD$9,FALSE)-AK58)</f>
        <v>-</v>
      </c>
      <c r="CE58" s="306" t="str">
        <f>IF(AL58="-","-",VLOOKUP($A58,AMAPit!$A$10:$AY$122,CE$9,FALSE)-AL58)</f>
        <v>-</v>
      </c>
      <c r="CF58" s="306" t="str">
        <f>IF(AM58="-","-",VLOOKUP($A58,AMAPit!$A$10:$AY$122,CF$9,FALSE)-AM58)</f>
        <v>-</v>
      </c>
      <c r="CG58" s="306" t="str">
        <f>IF(AN58="-","-",VLOOKUP($A58,AMAPit!$A$10:$AY$122,CG$9,FALSE)-AN58)</f>
        <v>-</v>
      </c>
      <c r="CH58" s="306" t="str">
        <f>IF(AO58="-","-",VLOOKUP($A58,AMAPit!$A$10:$AY$122,CH$9,FALSE)-AO58)</f>
        <v>-</v>
      </c>
      <c r="CI58" s="306" t="str">
        <f>IF(AP58="-","-",VLOOKUP($A58,AMAPit!$A$10:$AY$122,CI$9,FALSE)-AP58)</f>
        <v>-</v>
      </c>
      <c r="CJ58" s="306" t="str">
        <f>IF(AQ58="-","-",VLOOKUP($A58,AMAPit!$A$10:$AY$122,CJ$9,FALSE)-AQ58)</f>
        <v>-</v>
      </c>
      <c r="CK58" s="306" t="str">
        <f>IF(AR58="-","-",VLOOKUP($A58,AMAPit!$A$10:$AY$122,CK$9,FALSE)-AR58)</f>
        <v>-</v>
      </c>
      <c r="CL58" s="306" t="str">
        <f>IF(AS58="-","-",VLOOKUP($A58,AMAPit!$A$10:$AY$122,CL$9,FALSE)-AS58)</f>
        <v>-</v>
      </c>
      <c r="CM58" s="306" t="str">
        <f>IF(AT58="-","-",VLOOKUP($A58,AMAPit!$A$10:$AY$122,CM$9,FALSE)-AT58)</f>
        <v>-</v>
      </c>
      <c r="CN58" t="e">
        <f t="shared" si="21"/>
        <v>#N/A</v>
      </c>
    </row>
    <row r="59" spans="1:92" x14ac:dyDescent="0.25">
      <c r="A59" s="305" t="s">
        <v>571</v>
      </c>
      <c r="B59" s="305" t="s">
        <v>534</v>
      </c>
      <c r="C59" s="305"/>
      <c r="D59" s="305" t="s">
        <v>81</v>
      </c>
      <c r="E59" t="s">
        <v>87</v>
      </c>
      <c r="F59" t="s">
        <v>890</v>
      </c>
      <c r="G59" s="305" t="s">
        <v>433</v>
      </c>
      <c r="H59" t="s">
        <v>814</v>
      </c>
      <c r="I59" t="s">
        <v>187</v>
      </c>
      <c r="J59">
        <v>23</v>
      </c>
      <c r="K59" t="s">
        <v>83</v>
      </c>
      <c r="L59" s="210" t="s">
        <v>83</v>
      </c>
      <c r="M59" t="s">
        <v>803</v>
      </c>
      <c r="N59" t="s">
        <v>773</v>
      </c>
      <c r="O59" t="s">
        <v>200</v>
      </c>
      <c r="P59" s="210" t="s">
        <v>200</v>
      </c>
      <c r="Q59">
        <v>5</v>
      </c>
      <c r="R59">
        <v>1</v>
      </c>
      <c r="S59" s="210">
        <v>4</v>
      </c>
      <c r="T59">
        <v>5</v>
      </c>
      <c r="U59">
        <v>2</v>
      </c>
      <c r="V59" s="210">
        <v>5</v>
      </c>
      <c r="W59">
        <v>7</v>
      </c>
      <c r="X59">
        <v>7</v>
      </c>
      <c r="Y59">
        <v>2</v>
      </c>
      <c r="Z59">
        <v>2</v>
      </c>
      <c r="AA59" t="s">
        <v>32</v>
      </c>
      <c r="AB59" t="s">
        <v>32</v>
      </c>
      <c r="AC59">
        <v>5</v>
      </c>
      <c r="AD59">
        <v>6</v>
      </c>
      <c r="AE59" t="s">
        <v>32</v>
      </c>
      <c r="AF59" t="s">
        <v>32</v>
      </c>
      <c r="AG59" t="s">
        <v>32</v>
      </c>
      <c r="AH59" t="s">
        <v>32</v>
      </c>
      <c r="AI59" t="s">
        <v>32</v>
      </c>
      <c r="AJ59" t="s">
        <v>32</v>
      </c>
      <c r="AK59">
        <v>6</v>
      </c>
      <c r="AL59">
        <v>6</v>
      </c>
      <c r="AM59" t="s">
        <v>32</v>
      </c>
      <c r="AN59" t="s">
        <v>32</v>
      </c>
      <c r="AO59" t="s">
        <v>32</v>
      </c>
      <c r="AP59" t="s">
        <v>32</v>
      </c>
      <c r="AQ59" t="s">
        <v>32</v>
      </c>
      <c r="AR59" t="s">
        <v>32</v>
      </c>
      <c r="AS59" t="s">
        <v>32</v>
      </c>
      <c r="AT59" s="210" t="s">
        <v>32</v>
      </c>
      <c r="AU59" t="s">
        <v>5</v>
      </c>
      <c r="AV59">
        <v>6</v>
      </c>
      <c r="AW59" s="11" t="s">
        <v>40</v>
      </c>
      <c r="AX59" s="78" t="s">
        <v>32</v>
      </c>
      <c r="AY59" s="210">
        <v>0</v>
      </c>
      <c r="AZ59" s="372" t="s">
        <v>199</v>
      </c>
      <c r="BA59" s="6">
        <f t="shared" si="12"/>
        <v>4.0833333333333339</v>
      </c>
      <c r="BB59" s="9" t="str">
        <f t="shared" si="13"/>
        <v>Bench</v>
      </c>
      <c r="BC59" s="9">
        <f t="shared" si="14"/>
        <v>4.75</v>
      </c>
      <c r="BD59" s="9" t="str">
        <f t="shared" si="15"/>
        <v>Bench</v>
      </c>
      <c r="BE59" s="9">
        <f t="shared" si="16"/>
        <v>4.75</v>
      </c>
      <c r="BF59" s="9" t="str">
        <f t="shared" si="17"/>
        <v>Bench</v>
      </c>
      <c r="BG59" s="77">
        <f t="shared" si="18"/>
        <v>4</v>
      </c>
      <c r="BH59" s="76">
        <f t="shared" si="19"/>
        <v>2.5</v>
      </c>
      <c r="BI59" t="str">
        <f t="shared" si="20"/>
        <v/>
      </c>
      <c r="BJ59" s="306" t="e">
        <f>IF(Q59="-","-",VLOOKUP($A59,AMAPit!$A$10:$AY$122,BJ$9,FALSE)-Q59)</f>
        <v>#N/A</v>
      </c>
      <c r="BK59" s="306" t="e">
        <f>IF(R59="-","-",VLOOKUP($A59,AMAPit!$A$10:$AY$122,BK$9,FALSE)-R59)</f>
        <v>#N/A</v>
      </c>
      <c r="BL59" s="306" t="e">
        <f>IF(S59="-","-",VLOOKUP($A59,AMAPit!$A$10:$AY$122,BL$9,FALSE)-S59)</f>
        <v>#N/A</v>
      </c>
      <c r="BM59" s="306" t="e">
        <f>IF(T59="-","-",VLOOKUP($A59,AMAPit!$A$10:$AY$122,BM$9,FALSE)-T59)</f>
        <v>#N/A</v>
      </c>
      <c r="BN59" s="306" t="e">
        <f>IF(U59="-","-",VLOOKUP($A59,AMAPit!$A$10:$AY$122,BN$9,FALSE)-U59)</f>
        <v>#N/A</v>
      </c>
      <c r="BO59" s="306" t="e">
        <f>IF(V59="-","-",VLOOKUP($A59,AMAPit!$A$10:$AY$122,BO$9,FALSE)-V59)</f>
        <v>#N/A</v>
      </c>
      <c r="BP59" s="306" t="e">
        <f>IF(W59="-","-",VLOOKUP($A59,AMAPit!$A$10:$AY$122,BP$9,FALSE)-W59)</f>
        <v>#N/A</v>
      </c>
      <c r="BQ59" s="306" t="e">
        <f>IF(X59="-","-",VLOOKUP($A59,AMAPit!$A$10:$AY$122,BQ$9,FALSE)-X59)</f>
        <v>#N/A</v>
      </c>
      <c r="BR59" s="306" t="e">
        <f>IF(Y59="-","-",VLOOKUP($A59,AMAPit!$A$10:$AY$122,BR$9,FALSE)-Y59)</f>
        <v>#N/A</v>
      </c>
      <c r="BS59" s="306" t="e">
        <f>IF(Z59="-","-",VLOOKUP($A59,AMAPit!$A$10:$AY$122,BS$9,FALSE)-Z59)</f>
        <v>#N/A</v>
      </c>
      <c r="BT59" s="306" t="str">
        <f>IF(AA59="-","-",VLOOKUP($A59,AMAPit!$A$10:$AY$122,BT$9,FALSE)-AA59)</f>
        <v>-</v>
      </c>
      <c r="BU59" s="306" t="str">
        <f>IF(AB59="-","-",VLOOKUP($A59,AMAPit!$A$10:$AY$122,BU$9,FALSE)-AB59)</f>
        <v>-</v>
      </c>
      <c r="BV59" s="306" t="e">
        <f>IF(AC59="-","-",VLOOKUP($A59,AMAPit!$A$10:$AY$122,BV$9,FALSE)-AC59)</f>
        <v>#N/A</v>
      </c>
      <c r="BW59" s="306" t="e">
        <f>IF(AD59="-","-",VLOOKUP($A59,AMAPit!$A$10:$AY$122,BW$9,FALSE)-AD59)</f>
        <v>#N/A</v>
      </c>
      <c r="BX59" s="306" t="str">
        <f>IF(AE59="-","-",VLOOKUP($A59,AMAPit!$A$10:$AY$122,BX$9,FALSE)-AE59)</f>
        <v>-</v>
      </c>
      <c r="BY59" s="306" t="str">
        <f>IF(AF59="-","-",VLOOKUP($A59,AMAPit!$A$10:$AY$122,BY$9,FALSE)-AF59)</f>
        <v>-</v>
      </c>
      <c r="BZ59" s="306" t="str">
        <f>IF(AG59="-","-",VLOOKUP($A59,AMAPit!$A$10:$AY$122,BZ$9,FALSE)-AG59)</f>
        <v>-</v>
      </c>
      <c r="CA59" s="306" t="str">
        <f>IF(AH59="-","-",VLOOKUP($A59,AMAPit!$A$10:$AY$122,CA$9,FALSE)-AH59)</f>
        <v>-</v>
      </c>
      <c r="CB59" s="306" t="str">
        <f>IF(AI59="-","-",VLOOKUP($A59,AMAPit!$A$10:$AY$122,CB$9,FALSE)-AI59)</f>
        <v>-</v>
      </c>
      <c r="CC59" s="306" t="str">
        <f>IF(AJ59="-","-",VLOOKUP($A59,AMAPit!$A$10:$AY$122,CC$9,FALSE)-AJ59)</f>
        <v>-</v>
      </c>
      <c r="CD59" s="306" t="e">
        <f>IF(AK59="-","-",VLOOKUP($A59,AMAPit!$A$10:$AY$122,CD$9,FALSE)-AK59)</f>
        <v>#N/A</v>
      </c>
      <c r="CE59" s="306" t="e">
        <f>IF(AL59="-","-",VLOOKUP($A59,AMAPit!$A$10:$AY$122,CE$9,FALSE)-AL59)</f>
        <v>#N/A</v>
      </c>
      <c r="CF59" s="306" t="str">
        <f>IF(AM59="-","-",VLOOKUP($A59,AMAPit!$A$10:$AY$122,CF$9,FALSE)-AM59)</f>
        <v>-</v>
      </c>
      <c r="CG59" s="306" t="str">
        <f>IF(AN59="-","-",VLOOKUP($A59,AMAPit!$A$10:$AY$122,CG$9,FALSE)-AN59)</f>
        <v>-</v>
      </c>
      <c r="CH59" s="306" t="str">
        <f>IF(AO59="-","-",VLOOKUP($A59,AMAPit!$A$10:$AY$122,CH$9,FALSE)-AO59)</f>
        <v>-</v>
      </c>
      <c r="CI59" s="306" t="str">
        <f>IF(AP59="-","-",VLOOKUP($A59,AMAPit!$A$10:$AY$122,CI$9,FALSE)-AP59)</f>
        <v>-</v>
      </c>
      <c r="CJ59" s="306" t="str">
        <f>IF(AQ59="-","-",VLOOKUP($A59,AMAPit!$A$10:$AY$122,CJ$9,FALSE)-AQ59)</f>
        <v>-</v>
      </c>
      <c r="CK59" s="306" t="str">
        <f>IF(AR59="-","-",VLOOKUP($A59,AMAPit!$A$10:$AY$122,CK$9,FALSE)-AR59)</f>
        <v>-</v>
      </c>
      <c r="CL59" s="306" t="str">
        <f>IF(AS59="-","-",VLOOKUP($A59,AMAPit!$A$10:$AY$122,CL$9,FALSE)-AS59)</f>
        <v>-</v>
      </c>
      <c r="CM59" s="306" t="str">
        <f>IF(AT59="-","-",VLOOKUP($A59,AMAPit!$A$10:$AY$122,CM$9,FALSE)-AT59)</f>
        <v>-</v>
      </c>
      <c r="CN59" t="e">
        <f t="shared" si="21"/>
        <v>#N/A</v>
      </c>
    </row>
    <row r="60" spans="1:92" x14ac:dyDescent="0.25">
      <c r="A60" s="305" t="s">
        <v>572</v>
      </c>
      <c r="B60" s="305" t="s">
        <v>534</v>
      </c>
      <c r="C60" s="305"/>
      <c r="D60" s="305" t="s">
        <v>81</v>
      </c>
      <c r="E60" t="s">
        <v>87</v>
      </c>
      <c r="F60" t="s">
        <v>1208</v>
      </c>
      <c r="G60" s="305" t="s">
        <v>496</v>
      </c>
      <c r="H60" t="s">
        <v>814</v>
      </c>
      <c r="I60" t="s">
        <v>187</v>
      </c>
      <c r="J60">
        <v>23</v>
      </c>
      <c r="K60" t="s">
        <v>83</v>
      </c>
      <c r="L60" s="210" t="s">
        <v>83</v>
      </c>
      <c r="M60" t="s">
        <v>816</v>
      </c>
      <c r="N60" t="s">
        <v>808</v>
      </c>
      <c r="O60" t="s">
        <v>199</v>
      </c>
      <c r="P60" s="210" t="s">
        <v>199</v>
      </c>
      <c r="Q60">
        <v>5</v>
      </c>
      <c r="R60">
        <v>3</v>
      </c>
      <c r="S60" s="210">
        <v>2</v>
      </c>
      <c r="T60">
        <v>6</v>
      </c>
      <c r="U60">
        <v>3</v>
      </c>
      <c r="V60" s="210">
        <v>2</v>
      </c>
      <c r="W60">
        <v>7</v>
      </c>
      <c r="X60">
        <v>8</v>
      </c>
      <c r="Y60" t="s">
        <v>32</v>
      </c>
      <c r="Z60" t="s">
        <v>32</v>
      </c>
      <c r="AA60">
        <v>4</v>
      </c>
      <c r="AB60">
        <v>7</v>
      </c>
      <c r="AC60">
        <v>4</v>
      </c>
      <c r="AD60">
        <v>5</v>
      </c>
      <c r="AE60" t="s">
        <v>32</v>
      </c>
      <c r="AF60" t="s">
        <v>32</v>
      </c>
      <c r="AG60" t="s">
        <v>32</v>
      </c>
      <c r="AH60" t="s">
        <v>32</v>
      </c>
      <c r="AI60" t="s">
        <v>32</v>
      </c>
      <c r="AJ60" t="s">
        <v>32</v>
      </c>
      <c r="AK60" t="s">
        <v>32</v>
      </c>
      <c r="AL60" t="s">
        <v>32</v>
      </c>
      <c r="AM60" t="s">
        <v>32</v>
      </c>
      <c r="AN60" t="s">
        <v>32</v>
      </c>
      <c r="AO60" t="s">
        <v>32</v>
      </c>
      <c r="AP60" t="s">
        <v>32</v>
      </c>
      <c r="AQ60">
        <v>2</v>
      </c>
      <c r="AR60">
        <v>4</v>
      </c>
      <c r="AS60" t="s">
        <v>32</v>
      </c>
      <c r="AT60" s="210" t="s">
        <v>32</v>
      </c>
      <c r="AU60" t="s">
        <v>326</v>
      </c>
      <c r="AV60">
        <v>6</v>
      </c>
      <c r="AW60" s="11" t="s">
        <v>394</v>
      </c>
      <c r="AX60" s="78" t="s">
        <v>32</v>
      </c>
      <c r="AY60" s="210" t="s">
        <v>33</v>
      </c>
      <c r="AZ60" s="372" t="s">
        <v>199</v>
      </c>
      <c r="BA60" s="6">
        <f t="shared" si="12"/>
        <v>4.0833333333333339</v>
      </c>
      <c r="BB60" s="9" t="str">
        <f t="shared" si="13"/>
        <v>Bench</v>
      </c>
      <c r="BC60" s="9">
        <f t="shared" si="14"/>
        <v>4.4166666666666661</v>
      </c>
      <c r="BD60" s="9" t="str">
        <f t="shared" si="15"/>
        <v>Bench</v>
      </c>
      <c r="BE60" s="9">
        <f t="shared" si="16"/>
        <v>4.4166666666666661</v>
      </c>
      <c r="BF60" s="9" t="str">
        <f t="shared" si="17"/>
        <v>Bench</v>
      </c>
      <c r="BG60" s="77">
        <f t="shared" si="18"/>
        <v>4</v>
      </c>
      <c r="BH60" s="76">
        <f t="shared" si="19"/>
        <v>1.5</v>
      </c>
      <c r="BI60" t="str">
        <f t="shared" si="20"/>
        <v/>
      </c>
      <c r="BJ60" s="306" t="e">
        <f>IF(Q60="-","-",VLOOKUP($A60,AMAPit!$A$10:$AY$122,BJ$9,FALSE)-Q60)</f>
        <v>#N/A</v>
      </c>
      <c r="BK60" s="306" t="e">
        <f>IF(R60="-","-",VLOOKUP($A60,AMAPit!$A$10:$AY$122,BK$9,FALSE)-R60)</f>
        <v>#N/A</v>
      </c>
      <c r="BL60" s="306" t="e">
        <f>IF(S60="-","-",VLOOKUP($A60,AMAPit!$A$10:$AY$122,BL$9,FALSE)-S60)</f>
        <v>#N/A</v>
      </c>
      <c r="BM60" s="306" t="e">
        <f>IF(T60="-","-",VLOOKUP($A60,AMAPit!$A$10:$AY$122,BM$9,FALSE)-T60)</f>
        <v>#N/A</v>
      </c>
      <c r="BN60" s="306" t="e">
        <f>IF(U60="-","-",VLOOKUP($A60,AMAPit!$A$10:$AY$122,BN$9,FALSE)-U60)</f>
        <v>#N/A</v>
      </c>
      <c r="BO60" s="306" t="e">
        <f>IF(V60="-","-",VLOOKUP($A60,AMAPit!$A$10:$AY$122,BO$9,FALSE)-V60)</f>
        <v>#N/A</v>
      </c>
      <c r="BP60" s="306" t="e">
        <f>IF(W60="-","-",VLOOKUP($A60,AMAPit!$A$10:$AY$122,BP$9,FALSE)-W60)</f>
        <v>#N/A</v>
      </c>
      <c r="BQ60" s="306" t="e">
        <f>IF(X60="-","-",VLOOKUP($A60,AMAPit!$A$10:$AY$122,BQ$9,FALSE)-X60)</f>
        <v>#N/A</v>
      </c>
      <c r="BR60" s="306" t="str">
        <f>IF(Y60="-","-",VLOOKUP($A60,AMAPit!$A$10:$AY$122,BR$9,FALSE)-Y60)</f>
        <v>-</v>
      </c>
      <c r="BS60" s="306" t="str">
        <f>IF(Z60="-","-",VLOOKUP($A60,AMAPit!$A$10:$AY$122,BS$9,FALSE)-Z60)</f>
        <v>-</v>
      </c>
      <c r="BT60" s="306" t="e">
        <f>IF(AA60="-","-",VLOOKUP($A60,AMAPit!$A$10:$AY$122,BT$9,FALSE)-AA60)</f>
        <v>#N/A</v>
      </c>
      <c r="BU60" s="306" t="e">
        <f>IF(AB60="-","-",VLOOKUP($A60,AMAPit!$A$10:$AY$122,BU$9,FALSE)-AB60)</f>
        <v>#N/A</v>
      </c>
      <c r="BV60" s="306" t="e">
        <f>IF(AC60="-","-",VLOOKUP($A60,AMAPit!$A$10:$AY$122,BV$9,FALSE)-AC60)</f>
        <v>#N/A</v>
      </c>
      <c r="BW60" s="306" t="e">
        <f>IF(AD60="-","-",VLOOKUP($A60,AMAPit!$A$10:$AY$122,BW$9,FALSE)-AD60)</f>
        <v>#N/A</v>
      </c>
      <c r="BX60" s="306" t="str">
        <f>IF(AE60="-","-",VLOOKUP($A60,AMAPit!$A$10:$AY$122,BX$9,FALSE)-AE60)</f>
        <v>-</v>
      </c>
      <c r="BY60" s="306" t="str">
        <f>IF(AF60="-","-",VLOOKUP($A60,AMAPit!$A$10:$AY$122,BY$9,FALSE)-AF60)</f>
        <v>-</v>
      </c>
      <c r="BZ60" s="306" t="str">
        <f>IF(AG60="-","-",VLOOKUP($A60,AMAPit!$A$10:$AY$122,BZ$9,FALSE)-AG60)</f>
        <v>-</v>
      </c>
      <c r="CA60" s="306" t="str">
        <f>IF(AH60="-","-",VLOOKUP($A60,AMAPit!$A$10:$AY$122,CA$9,FALSE)-AH60)</f>
        <v>-</v>
      </c>
      <c r="CB60" s="306" t="str">
        <f>IF(AI60="-","-",VLOOKUP($A60,AMAPit!$A$10:$AY$122,CB$9,FALSE)-AI60)</f>
        <v>-</v>
      </c>
      <c r="CC60" s="306" t="str">
        <f>IF(AJ60="-","-",VLOOKUP($A60,AMAPit!$A$10:$AY$122,CC$9,FALSE)-AJ60)</f>
        <v>-</v>
      </c>
      <c r="CD60" s="306" t="str">
        <f>IF(AK60="-","-",VLOOKUP($A60,AMAPit!$A$10:$AY$122,CD$9,FALSE)-AK60)</f>
        <v>-</v>
      </c>
      <c r="CE60" s="306" t="str">
        <f>IF(AL60="-","-",VLOOKUP($A60,AMAPit!$A$10:$AY$122,CE$9,FALSE)-AL60)</f>
        <v>-</v>
      </c>
      <c r="CF60" s="306" t="str">
        <f>IF(AM60="-","-",VLOOKUP($A60,AMAPit!$A$10:$AY$122,CF$9,FALSE)-AM60)</f>
        <v>-</v>
      </c>
      <c r="CG60" s="306" t="str">
        <f>IF(AN60="-","-",VLOOKUP($A60,AMAPit!$A$10:$AY$122,CG$9,FALSE)-AN60)</f>
        <v>-</v>
      </c>
      <c r="CH60" s="306" t="str">
        <f>IF(AO60="-","-",VLOOKUP($A60,AMAPit!$A$10:$AY$122,CH$9,FALSE)-AO60)</f>
        <v>-</v>
      </c>
      <c r="CI60" s="306" t="str">
        <f>IF(AP60="-","-",VLOOKUP($A60,AMAPit!$A$10:$AY$122,CI$9,FALSE)-AP60)</f>
        <v>-</v>
      </c>
      <c r="CJ60" s="306" t="e">
        <f>IF(AQ60="-","-",VLOOKUP($A60,AMAPit!$A$10:$AY$122,CJ$9,FALSE)-AQ60)</f>
        <v>#N/A</v>
      </c>
      <c r="CK60" s="306" t="e">
        <f>IF(AR60="-","-",VLOOKUP($A60,AMAPit!$A$10:$AY$122,CK$9,FALSE)-AR60)</f>
        <v>#N/A</v>
      </c>
      <c r="CL60" s="306" t="str">
        <f>IF(AS60="-","-",VLOOKUP($A60,AMAPit!$A$10:$AY$122,CL$9,FALSE)-AS60)</f>
        <v>-</v>
      </c>
      <c r="CM60" s="306" t="str">
        <f>IF(AT60="-","-",VLOOKUP($A60,AMAPit!$A$10:$AY$122,CM$9,FALSE)-AT60)</f>
        <v>-</v>
      </c>
      <c r="CN60" t="e">
        <f t="shared" si="21"/>
        <v>#N/A</v>
      </c>
    </row>
    <row r="61" spans="1:92" x14ac:dyDescent="0.25">
      <c r="A61" s="305" t="s">
        <v>573</v>
      </c>
      <c r="B61" s="305" t="s">
        <v>534</v>
      </c>
      <c r="C61" s="305"/>
      <c r="D61" s="305" t="s">
        <v>72</v>
      </c>
      <c r="E61" t="s">
        <v>87</v>
      </c>
      <c r="F61" t="s">
        <v>935</v>
      </c>
      <c r="G61" s="305" t="s">
        <v>1000</v>
      </c>
      <c r="H61" t="s">
        <v>810</v>
      </c>
      <c r="I61" t="s">
        <v>83</v>
      </c>
      <c r="J61">
        <v>20</v>
      </c>
      <c r="K61" t="s">
        <v>82</v>
      </c>
      <c r="L61" s="210" t="s">
        <v>82</v>
      </c>
      <c r="M61" t="s">
        <v>816</v>
      </c>
      <c r="N61" t="s">
        <v>808</v>
      </c>
      <c r="O61" t="s">
        <v>200</v>
      </c>
      <c r="P61" s="210" t="s">
        <v>200</v>
      </c>
      <c r="Q61">
        <v>5</v>
      </c>
      <c r="R61">
        <v>2</v>
      </c>
      <c r="S61" s="210">
        <v>2</v>
      </c>
      <c r="T61">
        <v>6</v>
      </c>
      <c r="U61">
        <v>3</v>
      </c>
      <c r="V61" s="210">
        <v>2</v>
      </c>
      <c r="W61" t="s">
        <v>32</v>
      </c>
      <c r="X61" t="s">
        <v>32</v>
      </c>
      <c r="Y61">
        <v>1</v>
      </c>
      <c r="Z61">
        <v>1</v>
      </c>
      <c r="AA61">
        <v>5</v>
      </c>
      <c r="AB61">
        <v>7</v>
      </c>
      <c r="AC61" t="s">
        <v>32</v>
      </c>
      <c r="AD61" t="s">
        <v>32</v>
      </c>
      <c r="AE61" t="s">
        <v>32</v>
      </c>
      <c r="AF61" t="s">
        <v>32</v>
      </c>
      <c r="AG61">
        <v>5</v>
      </c>
      <c r="AH61">
        <v>7</v>
      </c>
      <c r="AI61">
        <v>6</v>
      </c>
      <c r="AJ61">
        <v>7</v>
      </c>
      <c r="AK61">
        <v>5</v>
      </c>
      <c r="AL61">
        <v>6</v>
      </c>
      <c r="AM61" t="s">
        <v>32</v>
      </c>
      <c r="AN61" t="s">
        <v>32</v>
      </c>
      <c r="AO61" t="s">
        <v>32</v>
      </c>
      <c r="AP61" t="s">
        <v>32</v>
      </c>
      <c r="AQ61" t="s">
        <v>32</v>
      </c>
      <c r="AR61" t="s">
        <v>32</v>
      </c>
      <c r="AS61" t="s">
        <v>32</v>
      </c>
      <c r="AT61" s="210" t="s">
        <v>32</v>
      </c>
      <c r="AU61" t="s">
        <v>7</v>
      </c>
      <c r="AV61">
        <v>8</v>
      </c>
      <c r="AW61" s="11" t="s">
        <v>394</v>
      </c>
      <c r="AX61" s="78" t="s">
        <v>32</v>
      </c>
      <c r="AY61" s="210" t="s">
        <v>33</v>
      </c>
      <c r="AZ61" s="372" t="s">
        <v>529</v>
      </c>
      <c r="BA61" s="6">
        <f t="shared" si="12"/>
        <v>4</v>
      </c>
      <c r="BB61" s="9" t="str">
        <f t="shared" si="13"/>
        <v>Minors</v>
      </c>
      <c r="BC61" s="9">
        <f t="shared" si="14"/>
        <v>4.6666666666666661</v>
      </c>
      <c r="BD61" s="9" t="str">
        <f t="shared" si="15"/>
        <v>Bench</v>
      </c>
      <c r="BE61" s="9">
        <f t="shared" si="16"/>
        <v>4.6666666666666661</v>
      </c>
      <c r="BF61" s="9" t="str">
        <f t="shared" si="17"/>
        <v>Bench</v>
      </c>
      <c r="BG61" s="77">
        <f t="shared" si="18"/>
        <v>5</v>
      </c>
      <c r="BH61" s="76">
        <f t="shared" si="19"/>
        <v>2.5</v>
      </c>
      <c r="BI61" t="str">
        <f t="shared" si="20"/>
        <v/>
      </c>
      <c r="BJ61" s="306" t="e">
        <f>IF(Q61="-","-",VLOOKUP($A61,AMAPit!$A$10:$AY$122,BJ$9,FALSE)-Q61)</f>
        <v>#N/A</v>
      </c>
      <c r="BK61" s="306" t="e">
        <f>IF(R61="-","-",VLOOKUP($A61,AMAPit!$A$10:$AY$122,BK$9,FALSE)-R61)</f>
        <v>#N/A</v>
      </c>
      <c r="BL61" s="306" t="e">
        <f>IF(S61="-","-",VLOOKUP($A61,AMAPit!$A$10:$AY$122,BL$9,FALSE)-S61)</f>
        <v>#N/A</v>
      </c>
      <c r="BM61" s="306" t="e">
        <f>IF(T61="-","-",VLOOKUP($A61,AMAPit!$A$10:$AY$122,BM$9,FALSE)-T61)</f>
        <v>#N/A</v>
      </c>
      <c r="BN61" s="306" t="e">
        <f>IF(U61="-","-",VLOOKUP($A61,AMAPit!$A$10:$AY$122,BN$9,FALSE)-U61)</f>
        <v>#N/A</v>
      </c>
      <c r="BO61" s="306" t="e">
        <f>IF(V61="-","-",VLOOKUP($A61,AMAPit!$A$10:$AY$122,BO$9,FALSE)-V61)</f>
        <v>#N/A</v>
      </c>
      <c r="BP61" s="306" t="str">
        <f>IF(W61="-","-",VLOOKUP($A61,AMAPit!$A$10:$AY$122,BP$9,FALSE)-W61)</f>
        <v>-</v>
      </c>
      <c r="BQ61" s="306" t="str">
        <f>IF(X61="-","-",VLOOKUP($A61,AMAPit!$A$10:$AY$122,BQ$9,FALSE)-X61)</f>
        <v>-</v>
      </c>
      <c r="BR61" s="306" t="e">
        <f>IF(Y61="-","-",VLOOKUP($A61,AMAPit!$A$10:$AY$122,BR$9,FALSE)-Y61)</f>
        <v>#N/A</v>
      </c>
      <c r="BS61" s="306" t="e">
        <f>IF(Z61="-","-",VLOOKUP($A61,AMAPit!$A$10:$AY$122,BS$9,FALSE)-Z61)</f>
        <v>#N/A</v>
      </c>
      <c r="BT61" s="306" t="e">
        <f>IF(AA61="-","-",VLOOKUP($A61,AMAPit!$A$10:$AY$122,BT$9,FALSE)-AA61)</f>
        <v>#N/A</v>
      </c>
      <c r="BU61" s="306" t="e">
        <f>IF(AB61="-","-",VLOOKUP($A61,AMAPit!$A$10:$AY$122,BU$9,FALSE)-AB61)</f>
        <v>#N/A</v>
      </c>
      <c r="BV61" s="306" t="str">
        <f>IF(AC61="-","-",VLOOKUP($A61,AMAPit!$A$10:$AY$122,BV$9,FALSE)-AC61)</f>
        <v>-</v>
      </c>
      <c r="BW61" s="306" t="str">
        <f>IF(AD61="-","-",VLOOKUP($A61,AMAPit!$A$10:$AY$122,BW$9,FALSE)-AD61)</f>
        <v>-</v>
      </c>
      <c r="BX61" s="306" t="str">
        <f>IF(AE61="-","-",VLOOKUP($A61,AMAPit!$A$10:$AY$122,BX$9,FALSE)-AE61)</f>
        <v>-</v>
      </c>
      <c r="BY61" s="306" t="str">
        <f>IF(AF61="-","-",VLOOKUP($A61,AMAPit!$A$10:$AY$122,BY$9,FALSE)-AF61)</f>
        <v>-</v>
      </c>
      <c r="BZ61" s="306" t="e">
        <f>IF(AG61="-","-",VLOOKUP($A61,AMAPit!$A$10:$AY$122,BZ$9,FALSE)-AG61)</f>
        <v>#N/A</v>
      </c>
      <c r="CA61" s="306" t="e">
        <f>IF(AH61="-","-",VLOOKUP($A61,AMAPit!$A$10:$AY$122,CA$9,FALSE)-AH61)</f>
        <v>#N/A</v>
      </c>
      <c r="CB61" s="306" t="e">
        <f>IF(AI61="-","-",VLOOKUP($A61,AMAPit!$A$10:$AY$122,CB$9,FALSE)-AI61)</f>
        <v>#N/A</v>
      </c>
      <c r="CC61" s="306" t="e">
        <f>IF(AJ61="-","-",VLOOKUP($A61,AMAPit!$A$10:$AY$122,CC$9,FALSE)-AJ61)</f>
        <v>#N/A</v>
      </c>
      <c r="CD61" s="306" t="e">
        <f>IF(AK61="-","-",VLOOKUP($A61,AMAPit!$A$10:$AY$122,CD$9,FALSE)-AK61)</f>
        <v>#N/A</v>
      </c>
      <c r="CE61" s="306" t="e">
        <f>IF(AL61="-","-",VLOOKUP($A61,AMAPit!$A$10:$AY$122,CE$9,FALSE)-AL61)</f>
        <v>#N/A</v>
      </c>
      <c r="CF61" s="306" t="str">
        <f>IF(AM61="-","-",VLOOKUP($A61,AMAPit!$A$10:$AY$122,CF$9,FALSE)-AM61)</f>
        <v>-</v>
      </c>
      <c r="CG61" s="306" t="str">
        <f>IF(AN61="-","-",VLOOKUP($A61,AMAPit!$A$10:$AY$122,CG$9,FALSE)-AN61)</f>
        <v>-</v>
      </c>
      <c r="CH61" s="306" t="str">
        <f>IF(AO61="-","-",VLOOKUP($A61,AMAPit!$A$10:$AY$122,CH$9,FALSE)-AO61)</f>
        <v>-</v>
      </c>
      <c r="CI61" s="306" t="str">
        <f>IF(AP61="-","-",VLOOKUP($A61,AMAPit!$A$10:$AY$122,CI$9,FALSE)-AP61)</f>
        <v>-</v>
      </c>
      <c r="CJ61" s="306" t="str">
        <f>IF(AQ61="-","-",VLOOKUP($A61,AMAPit!$A$10:$AY$122,CJ$9,FALSE)-AQ61)</f>
        <v>-</v>
      </c>
      <c r="CK61" s="306" t="str">
        <f>IF(AR61="-","-",VLOOKUP($A61,AMAPit!$A$10:$AY$122,CK$9,FALSE)-AR61)</f>
        <v>-</v>
      </c>
      <c r="CL61" s="306" t="str">
        <f>IF(AS61="-","-",VLOOKUP($A61,AMAPit!$A$10:$AY$122,CL$9,FALSE)-AS61)</f>
        <v>-</v>
      </c>
      <c r="CM61" s="306" t="str">
        <f>IF(AT61="-","-",VLOOKUP($A61,AMAPit!$A$10:$AY$122,CM$9,FALSE)-AT61)</f>
        <v>-</v>
      </c>
      <c r="CN61" t="e">
        <f t="shared" si="21"/>
        <v>#N/A</v>
      </c>
    </row>
    <row r="62" spans="1:92" x14ac:dyDescent="0.25">
      <c r="A62" s="305" t="s">
        <v>574</v>
      </c>
      <c r="B62" s="305" t="s">
        <v>534</v>
      </c>
      <c r="C62" s="305"/>
      <c r="D62" s="305" t="s">
        <v>81</v>
      </c>
      <c r="E62" t="s">
        <v>87</v>
      </c>
      <c r="F62" t="s">
        <v>1006</v>
      </c>
      <c r="G62" s="305" t="s">
        <v>470</v>
      </c>
      <c r="H62" t="s">
        <v>814</v>
      </c>
      <c r="I62" t="s">
        <v>187</v>
      </c>
      <c r="J62">
        <v>24</v>
      </c>
      <c r="K62" t="s">
        <v>85</v>
      </c>
      <c r="L62" s="212" t="s">
        <v>83</v>
      </c>
      <c r="M62" t="s">
        <v>816</v>
      </c>
      <c r="N62" t="s">
        <v>803</v>
      </c>
      <c r="O62" t="s">
        <v>199</v>
      </c>
      <c r="P62" s="212" t="s">
        <v>199</v>
      </c>
      <c r="Q62">
        <v>3</v>
      </c>
      <c r="R62">
        <v>3</v>
      </c>
      <c r="S62" s="212">
        <v>4</v>
      </c>
      <c r="T62">
        <v>4</v>
      </c>
      <c r="U62">
        <v>4</v>
      </c>
      <c r="V62" s="212">
        <v>4</v>
      </c>
      <c r="W62">
        <v>6</v>
      </c>
      <c r="X62">
        <v>7</v>
      </c>
      <c r="Y62">
        <v>5</v>
      </c>
      <c r="Z62">
        <v>6</v>
      </c>
      <c r="AA62" t="s">
        <v>32</v>
      </c>
      <c r="AB62" t="s">
        <v>32</v>
      </c>
      <c r="AC62">
        <v>2</v>
      </c>
      <c r="AD62">
        <v>2</v>
      </c>
      <c r="AE62" t="s">
        <v>32</v>
      </c>
      <c r="AF62" t="s">
        <v>32</v>
      </c>
      <c r="AG62" t="s">
        <v>32</v>
      </c>
      <c r="AH62" t="s">
        <v>32</v>
      </c>
      <c r="AI62" t="s">
        <v>32</v>
      </c>
      <c r="AJ62" t="s">
        <v>32</v>
      </c>
      <c r="AK62" t="s">
        <v>32</v>
      </c>
      <c r="AL62" t="s">
        <v>32</v>
      </c>
      <c r="AM62" t="s">
        <v>32</v>
      </c>
      <c r="AN62" t="s">
        <v>32</v>
      </c>
      <c r="AO62" t="s">
        <v>32</v>
      </c>
      <c r="AP62" t="s">
        <v>32</v>
      </c>
      <c r="AQ62" t="s">
        <v>32</v>
      </c>
      <c r="AR62" t="s">
        <v>32</v>
      </c>
      <c r="AS62" t="s">
        <v>32</v>
      </c>
      <c r="AT62" s="212" t="s">
        <v>32</v>
      </c>
      <c r="AU62" t="s">
        <v>1</v>
      </c>
      <c r="AV62">
        <v>7</v>
      </c>
      <c r="AW62" s="11" t="s">
        <v>394</v>
      </c>
      <c r="AX62" s="78" t="s">
        <v>32</v>
      </c>
      <c r="AY62" s="212" t="s">
        <v>33</v>
      </c>
      <c r="AZ62" s="372" t="s">
        <v>199</v>
      </c>
      <c r="BA62" s="6">
        <f t="shared" si="12"/>
        <v>3.8333333333333335</v>
      </c>
      <c r="BB62" s="9" t="str">
        <f t="shared" si="13"/>
        <v>Minors</v>
      </c>
      <c r="BC62" s="9">
        <f t="shared" si="14"/>
        <v>4.5</v>
      </c>
      <c r="BD62" s="9" t="str">
        <f t="shared" si="15"/>
        <v>Bench</v>
      </c>
      <c r="BE62" s="9">
        <f t="shared" si="16"/>
        <v>4.5</v>
      </c>
      <c r="BF62" s="9" t="str">
        <f t="shared" si="17"/>
        <v>Bench</v>
      </c>
      <c r="BG62" s="77">
        <f t="shared" si="18"/>
        <v>3</v>
      </c>
      <c r="BH62" s="76">
        <f t="shared" si="19"/>
        <v>1.5</v>
      </c>
      <c r="BI62" t="str">
        <f t="shared" si="20"/>
        <v/>
      </c>
      <c r="BJ62" s="306" t="e">
        <f>IF(Q62="-","-",VLOOKUP($A62,AMAPit!$A$10:$AY$122,BJ$9,FALSE)-Q62)</f>
        <v>#N/A</v>
      </c>
      <c r="BK62" s="306" t="e">
        <f>IF(R62="-","-",VLOOKUP($A62,AMAPit!$A$10:$AY$122,BK$9,FALSE)-R62)</f>
        <v>#N/A</v>
      </c>
      <c r="BL62" s="306" t="e">
        <f>IF(S62="-","-",VLOOKUP($A62,AMAPit!$A$10:$AY$122,BL$9,FALSE)-S62)</f>
        <v>#N/A</v>
      </c>
      <c r="BM62" s="306" t="e">
        <f>IF(T62="-","-",VLOOKUP($A62,AMAPit!$A$10:$AY$122,BM$9,FALSE)-T62)</f>
        <v>#N/A</v>
      </c>
      <c r="BN62" s="306" t="e">
        <f>IF(U62="-","-",VLOOKUP($A62,AMAPit!$A$10:$AY$122,BN$9,FALSE)-U62)</f>
        <v>#N/A</v>
      </c>
      <c r="BO62" s="306" t="e">
        <f>IF(V62="-","-",VLOOKUP($A62,AMAPit!$A$10:$AY$122,BO$9,FALSE)-V62)</f>
        <v>#N/A</v>
      </c>
      <c r="BP62" s="306" t="e">
        <f>IF(W62="-","-",VLOOKUP($A62,AMAPit!$A$10:$AY$122,BP$9,FALSE)-W62)</f>
        <v>#N/A</v>
      </c>
      <c r="BQ62" s="306" t="e">
        <f>IF(X62="-","-",VLOOKUP($A62,AMAPit!$A$10:$AY$122,BQ$9,FALSE)-X62)</f>
        <v>#N/A</v>
      </c>
      <c r="BR62" s="306" t="e">
        <f>IF(Y62="-","-",VLOOKUP($A62,AMAPit!$A$10:$AY$122,BR$9,FALSE)-Y62)</f>
        <v>#N/A</v>
      </c>
      <c r="BS62" s="306" t="e">
        <f>IF(Z62="-","-",VLOOKUP($A62,AMAPit!$A$10:$AY$122,BS$9,FALSE)-Z62)</f>
        <v>#N/A</v>
      </c>
      <c r="BT62" s="306" t="str">
        <f>IF(AA62="-","-",VLOOKUP($A62,AMAPit!$A$10:$AY$122,BT$9,FALSE)-AA62)</f>
        <v>-</v>
      </c>
      <c r="BU62" s="306" t="str">
        <f>IF(AB62="-","-",VLOOKUP($A62,AMAPit!$A$10:$AY$122,BU$9,FALSE)-AB62)</f>
        <v>-</v>
      </c>
      <c r="BV62" s="306" t="e">
        <f>IF(AC62="-","-",VLOOKUP($A62,AMAPit!$A$10:$AY$122,BV$9,FALSE)-AC62)</f>
        <v>#N/A</v>
      </c>
      <c r="BW62" s="306" t="e">
        <f>IF(AD62="-","-",VLOOKUP($A62,AMAPit!$A$10:$AY$122,BW$9,FALSE)-AD62)</f>
        <v>#N/A</v>
      </c>
      <c r="BX62" s="306" t="str">
        <f>IF(AE62="-","-",VLOOKUP($A62,AMAPit!$A$10:$AY$122,BX$9,FALSE)-AE62)</f>
        <v>-</v>
      </c>
      <c r="BY62" s="306" t="str">
        <f>IF(AF62="-","-",VLOOKUP($A62,AMAPit!$A$10:$AY$122,BY$9,FALSE)-AF62)</f>
        <v>-</v>
      </c>
      <c r="BZ62" s="306" t="str">
        <f>IF(AG62="-","-",VLOOKUP($A62,AMAPit!$A$10:$AY$122,BZ$9,FALSE)-AG62)</f>
        <v>-</v>
      </c>
      <c r="CA62" s="306" t="str">
        <f>IF(AH62="-","-",VLOOKUP($A62,AMAPit!$A$10:$AY$122,CA$9,FALSE)-AH62)</f>
        <v>-</v>
      </c>
      <c r="CB62" s="306" t="str">
        <f>IF(AI62="-","-",VLOOKUP($A62,AMAPit!$A$10:$AY$122,CB$9,FALSE)-AI62)</f>
        <v>-</v>
      </c>
      <c r="CC62" s="306" t="str">
        <f>IF(AJ62="-","-",VLOOKUP($A62,AMAPit!$A$10:$AY$122,CC$9,FALSE)-AJ62)</f>
        <v>-</v>
      </c>
      <c r="CD62" s="306" t="str">
        <f>IF(AK62="-","-",VLOOKUP($A62,AMAPit!$A$10:$AY$122,CD$9,FALSE)-AK62)</f>
        <v>-</v>
      </c>
      <c r="CE62" s="306" t="str">
        <f>IF(AL62="-","-",VLOOKUP($A62,AMAPit!$A$10:$AY$122,CE$9,FALSE)-AL62)</f>
        <v>-</v>
      </c>
      <c r="CF62" s="306" t="str">
        <f>IF(AM62="-","-",VLOOKUP($A62,AMAPit!$A$10:$AY$122,CF$9,FALSE)-AM62)</f>
        <v>-</v>
      </c>
      <c r="CG62" s="306" t="str">
        <f>IF(AN62="-","-",VLOOKUP($A62,AMAPit!$A$10:$AY$122,CG$9,FALSE)-AN62)</f>
        <v>-</v>
      </c>
      <c r="CH62" s="306" t="str">
        <f>IF(AO62="-","-",VLOOKUP($A62,AMAPit!$A$10:$AY$122,CH$9,FALSE)-AO62)</f>
        <v>-</v>
      </c>
      <c r="CI62" s="306" t="str">
        <f>IF(AP62="-","-",VLOOKUP($A62,AMAPit!$A$10:$AY$122,CI$9,FALSE)-AP62)</f>
        <v>-</v>
      </c>
      <c r="CJ62" s="306" t="str">
        <f>IF(AQ62="-","-",VLOOKUP($A62,AMAPit!$A$10:$AY$122,CJ$9,FALSE)-AQ62)</f>
        <v>-</v>
      </c>
      <c r="CK62" s="306" t="str">
        <f>IF(AR62="-","-",VLOOKUP($A62,AMAPit!$A$10:$AY$122,CK$9,FALSE)-AR62)</f>
        <v>-</v>
      </c>
      <c r="CL62" s="306" t="str">
        <f>IF(AS62="-","-",VLOOKUP($A62,AMAPit!$A$10:$AY$122,CL$9,FALSE)-AS62)</f>
        <v>-</v>
      </c>
      <c r="CM62" s="306" t="str">
        <f>IF(AT62="-","-",VLOOKUP($A62,AMAPit!$A$10:$AY$122,CM$9,FALSE)-AT62)</f>
        <v>-</v>
      </c>
      <c r="CN62" t="e">
        <f t="shared" si="21"/>
        <v>#N/A</v>
      </c>
    </row>
    <row r="63" spans="1:92" x14ac:dyDescent="0.25">
      <c r="A63" s="305" t="s">
        <v>575</v>
      </c>
      <c r="B63" s="305" t="s">
        <v>534</v>
      </c>
      <c r="C63" s="305"/>
      <c r="D63" s="305" t="s">
        <v>72</v>
      </c>
      <c r="E63" t="s">
        <v>11</v>
      </c>
      <c r="F63" t="s">
        <v>977</v>
      </c>
      <c r="G63" s="305" t="s">
        <v>978</v>
      </c>
      <c r="H63" t="s">
        <v>814</v>
      </c>
      <c r="I63" t="s">
        <v>187</v>
      </c>
      <c r="J63">
        <v>24</v>
      </c>
      <c r="K63" t="s">
        <v>83</v>
      </c>
      <c r="L63" s="212" t="s">
        <v>83</v>
      </c>
      <c r="M63" t="s">
        <v>816</v>
      </c>
      <c r="N63" t="s">
        <v>816</v>
      </c>
      <c r="O63" t="s">
        <v>201</v>
      </c>
      <c r="P63" s="212" t="s">
        <v>200</v>
      </c>
      <c r="Q63">
        <v>4</v>
      </c>
      <c r="R63">
        <v>1</v>
      </c>
      <c r="S63" s="212">
        <v>5</v>
      </c>
      <c r="T63">
        <v>4</v>
      </c>
      <c r="U63">
        <v>2</v>
      </c>
      <c r="V63" s="212">
        <v>5</v>
      </c>
      <c r="W63">
        <v>4</v>
      </c>
      <c r="X63">
        <v>5</v>
      </c>
      <c r="Y63">
        <v>5</v>
      </c>
      <c r="Z63">
        <v>6</v>
      </c>
      <c r="AA63" t="s">
        <v>32</v>
      </c>
      <c r="AB63" t="s">
        <v>32</v>
      </c>
      <c r="AC63" t="s">
        <v>32</v>
      </c>
      <c r="AD63" t="s">
        <v>32</v>
      </c>
      <c r="AE63" t="s">
        <v>32</v>
      </c>
      <c r="AF63" t="s">
        <v>32</v>
      </c>
      <c r="AG63">
        <v>4</v>
      </c>
      <c r="AH63">
        <v>4</v>
      </c>
      <c r="AI63" t="s">
        <v>32</v>
      </c>
      <c r="AJ63" t="s">
        <v>32</v>
      </c>
      <c r="AK63">
        <v>4</v>
      </c>
      <c r="AL63">
        <v>4</v>
      </c>
      <c r="AM63" t="s">
        <v>32</v>
      </c>
      <c r="AN63" t="s">
        <v>32</v>
      </c>
      <c r="AO63" t="s">
        <v>32</v>
      </c>
      <c r="AP63" t="s">
        <v>32</v>
      </c>
      <c r="AQ63" t="s">
        <v>32</v>
      </c>
      <c r="AR63" t="s">
        <v>32</v>
      </c>
      <c r="AS63" t="s">
        <v>32</v>
      </c>
      <c r="AT63" s="212" t="s">
        <v>32</v>
      </c>
      <c r="AU63" t="s">
        <v>396</v>
      </c>
      <c r="AV63">
        <v>8</v>
      </c>
      <c r="AW63" s="11" t="s">
        <v>393</v>
      </c>
      <c r="AX63" s="78" t="s">
        <v>32</v>
      </c>
      <c r="AY63" s="212" t="s">
        <v>33</v>
      </c>
      <c r="AZ63" s="372" t="s">
        <v>199</v>
      </c>
      <c r="BA63" s="6">
        <f t="shared" si="12"/>
        <v>3.8333333333333335</v>
      </c>
      <c r="BB63" s="9" t="str">
        <f t="shared" si="13"/>
        <v>Minors</v>
      </c>
      <c r="BC63" s="9">
        <f t="shared" si="14"/>
        <v>4.4166666666666661</v>
      </c>
      <c r="BD63" s="9" t="str">
        <f t="shared" si="15"/>
        <v>Bench</v>
      </c>
      <c r="BE63" s="9">
        <f t="shared" si="16"/>
        <v>4.4166666666666661</v>
      </c>
      <c r="BF63" s="9" t="str">
        <f t="shared" si="17"/>
        <v>Bench</v>
      </c>
      <c r="BG63" s="77">
        <f t="shared" si="18"/>
        <v>4</v>
      </c>
      <c r="BH63" s="76">
        <f t="shared" si="19"/>
        <v>0.5</v>
      </c>
      <c r="BI63" t="str">
        <f t="shared" si="20"/>
        <v/>
      </c>
      <c r="BJ63" s="306" t="e">
        <f>IF(Q63="-","-",VLOOKUP($A63,AMAPit!$A$10:$AY$122,BJ$9,FALSE)-Q63)</f>
        <v>#N/A</v>
      </c>
      <c r="BK63" s="306" t="e">
        <f>IF(R63="-","-",VLOOKUP($A63,AMAPit!$A$10:$AY$122,BK$9,FALSE)-R63)</f>
        <v>#N/A</v>
      </c>
      <c r="BL63" s="306" t="e">
        <f>IF(S63="-","-",VLOOKUP($A63,AMAPit!$A$10:$AY$122,BL$9,FALSE)-S63)</f>
        <v>#N/A</v>
      </c>
      <c r="BM63" s="306" t="e">
        <f>IF(T63="-","-",VLOOKUP($A63,AMAPit!$A$10:$AY$122,BM$9,FALSE)-T63)</f>
        <v>#N/A</v>
      </c>
      <c r="BN63" s="306" t="e">
        <f>IF(U63="-","-",VLOOKUP($A63,AMAPit!$A$10:$AY$122,BN$9,FALSE)-U63)</f>
        <v>#N/A</v>
      </c>
      <c r="BO63" s="306" t="e">
        <f>IF(V63="-","-",VLOOKUP($A63,AMAPit!$A$10:$AY$122,BO$9,FALSE)-V63)</f>
        <v>#N/A</v>
      </c>
      <c r="BP63" s="306" t="e">
        <f>IF(W63="-","-",VLOOKUP($A63,AMAPit!$A$10:$AY$122,BP$9,FALSE)-W63)</f>
        <v>#N/A</v>
      </c>
      <c r="BQ63" s="306" t="e">
        <f>IF(X63="-","-",VLOOKUP($A63,AMAPit!$A$10:$AY$122,BQ$9,FALSE)-X63)</f>
        <v>#N/A</v>
      </c>
      <c r="BR63" s="306" t="e">
        <f>IF(Y63="-","-",VLOOKUP($A63,AMAPit!$A$10:$AY$122,BR$9,FALSE)-Y63)</f>
        <v>#N/A</v>
      </c>
      <c r="BS63" s="306" t="e">
        <f>IF(Z63="-","-",VLOOKUP($A63,AMAPit!$A$10:$AY$122,BS$9,FALSE)-Z63)</f>
        <v>#N/A</v>
      </c>
      <c r="BT63" s="306" t="str">
        <f>IF(AA63="-","-",VLOOKUP($A63,AMAPit!$A$10:$AY$122,BT$9,FALSE)-AA63)</f>
        <v>-</v>
      </c>
      <c r="BU63" s="306" t="str">
        <f>IF(AB63="-","-",VLOOKUP($A63,AMAPit!$A$10:$AY$122,BU$9,FALSE)-AB63)</f>
        <v>-</v>
      </c>
      <c r="BV63" s="306" t="str">
        <f>IF(AC63="-","-",VLOOKUP($A63,AMAPit!$A$10:$AY$122,BV$9,FALSE)-AC63)</f>
        <v>-</v>
      </c>
      <c r="BW63" s="306" t="str">
        <f>IF(AD63="-","-",VLOOKUP($A63,AMAPit!$A$10:$AY$122,BW$9,FALSE)-AD63)</f>
        <v>-</v>
      </c>
      <c r="BX63" s="306" t="str">
        <f>IF(AE63="-","-",VLOOKUP($A63,AMAPit!$A$10:$AY$122,BX$9,FALSE)-AE63)</f>
        <v>-</v>
      </c>
      <c r="BY63" s="306" t="str">
        <f>IF(AF63="-","-",VLOOKUP($A63,AMAPit!$A$10:$AY$122,BY$9,FALSE)-AF63)</f>
        <v>-</v>
      </c>
      <c r="BZ63" s="306" t="e">
        <f>IF(AG63="-","-",VLOOKUP($A63,AMAPit!$A$10:$AY$122,BZ$9,FALSE)-AG63)</f>
        <v>#N/A</v>
      </c>
      <c r="CA63" s="306" t="e">
        <f>IF(AH63="-","-",VLOOKUP($A63,AMAPit!$A$10:$AY$122,CA$9,FALSE)-AH63)</f>
        <v>#N/A</v>
      </c>
      <c r="CB63" s="306" t="str">
        <f>IF(AI63="-","-",VLOOKUP($A63,AMAPit!$A$10:$AY$122,CB$9,FALSE)-AI63)</f>
        <v>-</v>
      </c>
      <c r="CC63" s="306" t="str">
        <f>IF(AJ63="-","-",VLOOKUP($A63,AMAPit!$A$10:$AY$122,CC$9,FALSE)-AJ63)</f>
        <v>-</v>
      </c>
      <c r="CD63" s="306" t="e">
        <f>IF(AK63="-","-",VLOOKUP($A63,AMAPit!$A$10:$AY$122,CD$9,FALSE)-AK63)</f>
        <v>#N/A</v>
      </c>
      <c r="CE63" s="306" t="e">
        <f>IF(AL63="-","-",VLOOKUP($A63,AMAPit!$A$10:$AY$122,CE$9,FALSE)-AL63)</f>
        <v>#N/A</v>
      </c>
      <c r="CF63" s="306" t="str">
        <f>IF(AM63="-","-",VLOOKUP($A63,AMAPit!$A$10:$AY$122,CF$9,FALSE)-AM63)</f>
        <v>-</v>
      </c>
      <c r="CG63" s="306" t="str">
        <f>IF(AN63="-","-",VLOOKUP($A63,AMAPit!$A$10:$AY$122,CG$9,FALSE)-AN63)</f>
        <v>-</v>
      </c>
      <c r="CH63" s="306" t="str">
        <f>IF(AO63="-","-",VLOOKUP($A63,AMAPit!$A$10:$AY$122,CH$9,FALSE)-AO63)</f>
        <v>-</v>
      </c>
      <c r="CI63" s="306" t="str">
        <f>IF(AP63="-","-",VLOOKUP($A63,AMAPit!$A$10:$AY$122,CI$9,FALSE)-AP63)</f>
        <v>-</v>
      </c>
      <c r="CJ63" s="306" t="str">
        <f>IF(AQ63="-","-",VLOOKUP($A63,AMAPit!$A$10:$AY$122,CJ$9,FALSE)-AQ63)</f>
        <v>-</v>
      </c>
      <c r="CK63" s="306" t="str">
        <f>IF(AR63="-","-",VLOOKUP($A63,AMAPit!$A$10:$AY$122,CK$9,FALSE)-AR63)</f>
        <v>-</v>
      </c>
      <c r="CL63" s="306" t="str">
        <f>IF(AS63="-","-",VLOOKUP($A63,AMAPit!$A$10:$AY$122,CL$9,FALSE)-AS63)</f>
        <v>-</v>
      </c>
      <c r="CM63" s="306" t="str">
        <f>IF(AT63="-","-",VLOOKUP($A63,AMAPit!$A$10:$AY$122,CM$9,FALSE)-AT63)</f>
        <v>-</v>
      </c>
      <c r="CN63" t="e">
        <f t="shared" si="21"/>
        <v>#N/A</v>
      </c>
    </row>
    <row r="64" spans="1:92" x14ac:dyDescent="0.25">
      <c r="A64" s="305" t="s">
        <v>576</v>
      </c>
      <c r="B64" s="305" t="s">
        <v>534</v>
      </c>
      <c r="C64" s="305"/>
      <c r="D64" s="305" t="s">
        <v>72</v>
      </c>
      <c r="E64" t="s">
        <v>11</v>
      </c>
      <c r="F64" t="s">
        <v>957</v>
      </c>
      <c r="G64" s="305" t="s">
        <v>958</v>
      </c>
      <c r="H64" t="s">
        <v>802</v>
      </c>
      <c r="I64" t="s">
        <v>277</v>
      </c>
      <c r="J64">
        <v>21</v>
      </c>
      <c r="K64" t="s">
        <v>83</v>
      </c>
      <c r="L64" s="212" t="s">
        <v>83</v>
      </c>
      <c r="M64" t="s">
        <v>816</v>
      </c>
      <c r="N64" t="s">
        <v>816</v>
      </c>
      <c r="O64" t="s">
        <v>200</v>
      </c>
      <c r="P64" s="212" t="s">
        <v>200</v>
      </c>
      <c r="Q64">
        <v>5</v>
      </c>
      <c r="R64">
        <v>3</v>
      </c>
      <c r="S64" s="212">
        <v>2</v>
      </c>
      <c r="T64">
        <v>5</v>
      </c>
      <c r="U64">
        <v>4</v>
      </c>
      <c r="V64" s="212">
        <v>2</v>
      </c>
      <c r="W64">
        <v>7</v>
      </c>
      <c r="X64">
        <v>8</v>
      </c>
      <c r="Y64">
        <v>5</v>
      </c>
      <c r="Z64">
        <v>6</v>
      </c>
      <c r="AA64">
        <v>3</v>
      </c>
      <c r="AB64">
        <v>6</v>
      </c>
      <c r="AC64" t="s">
        <v>32</v>
      </c>
      <c r="AD64" t="s">
        <v>32</v>
      </c>
      <c r="AE64" t="s">
        <v>32</v>
      </c>
      <c r="AF64" t="s">
        <v>32</v>
      </c>
      <c r="AG64" t="s">
        <v>32</v>
      </c>
      <c r="AH64" t="s">
        <v>32</v>
      </c>
      <c r="AI64" t="s">
        <v>32</v>
      </c>
      <c r="AJ64" t="s">
        <v>32</v>
      </c>
      <c r="AK64" t="s">
        <v>32</v>
      </c>
      <c r="AL64" t="s">
        <v>32</v>
      </c>
      <c r="AM64" t="s">
        <v>32</v>
      </c>
      <c r="AN64" t="s">
        <v>32</v>
      </c>
      <c r="AO64" t="s">
        <v>32</v>
      </c>
      <c r="AP64" t="s">
        <v>32</v>
      </c>
      <c r="AQ64" t="s">
        <v>32</v>
      </c>
      <c r="AR64" t="s">
        <v>32</v>
      </c>
      <c r="AS64" t="s">
        <v>32</v>
      </c>
      <c r="AT64" s="212" t="s">
        <v>32</v>
      </c>
      <c r="AU64" t="s">
        <v>8</v>
      </c>
      <c r="AV64">
        <v>9</v>
      </c>
      <c r="AW64" s="11" t="s">
        <v>393</v>
      </c>
      <c r="AX64" s="78" t="s">
        <v>32</v>
      </c>
      <c r="AY64" s="212" t="s">
        <v>33</v>
      </c>
      <c r="AZ64" s="372" t="s">
        <v>199</v>
      </c>
      <c r="BA64" s="6">
        <f t="shared" si="12"/>
        <v>3.8333333333333335</v>
      </c>
      <c r="BB64" s="9" t="str">
        <f t="shared" si="13"/>
        <v>Minors</v>
      </c>
      <c r="BC64" s="9">
        <f t="shared" si="14"/>
        <v>4.1666666666666661</v>
      </c>
      <c r="BD64" s="9" t="str">
        <f t="shared" si="15"/>
        <v>Bench</v>
      </c>
      <c r="BE64" s="9">
        <f t="shared" si="16"/>
        <v>4.1666666666666661</v>
      </c>
      <c r="BF64" s="9" t="str">
        <f t="shared" si="17"/>
        <v>Bench</v>
      </c>
      <c r="BG64" s="77">
        <f t="shared" si="18"/>
        <v>3</v>
      </c>
      <c r="BH64" s="76">
        <f t="shared" si="19"/>
        <v>2</v>
      </c>
      <c r="BI64" t="str">
        <f t="shared" si="20"/>
        <v/>
      </c>
      <c r="BJ64" s="306" t="e">
        <f>IF(Q64="-","-",VLOOKUP($A64,AMAPit!$A$10:$AY$122,BJ$9,FALSE)-Q64)</f>
        <v>#N/A</v>
      </c>
      <c r="BK64" s="306" t="e">
        <f>IF(R64="-","-",VLOOKUP($A64,AMAPit!$A$10:$AY$122,BK$9,FALSE)-R64)</f>
        <v>#N/A</v>
      </c>
      <c r="BL64" s="306" t="e">
        <f>IF(S64="-","-",VLOOKUP($A64,AMAPit!$A$10:$AY$122,BL$9,FALSE)-S64)</f>
        <v>#N/A</v>
      </c>
      <c r="BM64" s="306" t="e">
        <f>IF(T64="-","-",VLOOKUP($A64,AMAPit!$A$10:$AY$122,BM$9,FALSE)-T64)</f>
        <v>#N/A</v>
      </c>
      <c r="BN64" s="306" t="e">
        <f>IF(U64="-","-",VLOOKUP($A64,AMAPit!$A$10:$AY$122,BN$9,FALSE)-U64)</f>
        <v>#N/A</v>
      </c>
      <c r="BO64" s="306" t="e">
        <f>IF(V64="-","-",VLOOKUP($A64,AMAPit!$A$10:$AY$122,BO$9,FALSE)-V64)</f>
        <v>#N/A</v>
      </c>
      <c r="BP64" s="306" t="e">
        <f>IF(W64="-","-",VLOOKUP($A64,AMAPit!$A$10:$AY$122,BP$9,FALSE)-W64)</f>
        <v>#N/A</v>
      </c>
      <c r="BQ64" s="306" t="e">
        <f>IF(X64="-","-",VLOOKUP($A64,AMAPit!$A$10:$AY$122,BQ$9,FALSE)-X64)</f>
        <v>#N/A</v>
      </c>
      <c r="BR64" s="306" t="e">
        <f>IF(Y64="-","-",VLOOKUP($A64,AMAPit!$A$10:$AY$122,BR$9,FALSE)-Y64)</f>
        <v>#N/A</v>
      </c>
      <c r="BS64" s="306" t="e">
        <f>IF(Z64="-","-",VLOOKUP($A64,AMAPit!$A$10:$AY$122,BS$9,FALSE)-Z64)</f>
        <v>#N/A</v>
      </c>
      <c r="BT64" s="306" t="e">
        <f>IF(AA64="-","-",VLOOKUP($A64,AMAPit!$A$10:$AY$122,BT$9,FALSE)-AA64)</f>
        <v>#N/A</v>
      </c>
      <c r="BU64" s="306" t="e">
        <f>IF(AB64="-","-",VLOOKUP($A64,AMAPit!$A$10:$AY$122,BU$9,FALSE)-AB64)</f>
        <v>#N/A</v>
      </c>
      <c r="BV64" s="306" t="str">
        <f>IF(AC64="-","-",VLOOKUP($A64,AMAPit!$A$10:$AY$122,BV$9,FALSE)-AC64)</f>
        <v>-</v>
      </c>
      <c r="BW64" s="306" t="str">
        <f>IF(AD64="-","-",VLOOKUP($A64,AMAPit!$A$10:$AY$122,BW$9,FALSE)-AD64)</f>
        <v>-</v>
      </c>
      <c r="BX64" s="306" t="str">
        <f>IF(AE64="-","-",VLOOKUP($A64,AMAPit!$A$10:$AY$122,BX$9,FALSE)-AE64)</f>
        <v>-</v>
      </c>
      <c r="BY64" s="306" t="str">
        <f>IF(AF64="-","-",VLOOKUP($A64,AMAPit!$A$10:$AY$122,BY$9,FALSE)-AF64)</f>
        <v>-</v>
      </c>
      <c r="BZ64" s="306" t="str">
        <f>IF(AG64="-","-",VLOOKUP($A64,AMAPit!$A$10:$AY$122,BZ$9,FALSE)-AG64)</f>
        <v>-</v>
      </c>
      <c r="CA64" s="306" t="str">
        <f>IF(AH64="-","-",VLOOKUP($A64,AMAPit!$A$10:$AY$122,CA$9,FALSE)-AH64)</f>
        <v>-</v>
      </c>
      <c r="CB64" s="306" t="str">
        <f>IF(AI64="-","-",VLOOKUP($A64,AMAPit!$A$10:$AY$122,CB$9,FALSE)-AI64)</f>
        <v>-</v>
      </c>
      <c r="CC64" s="306" t="str">
        <f>IF(AJ64="-","-",VLOOKUP($A64,AMAPit!$A$10:$AY$122,CC$9,FALSE)-AJ64)</f>
        <v>-</v>
      </c>
      <c r="CD64" s="306" t="str">
        <f>IF(AK64="-","-",VLOOKUP($A64,AMAPit!$A$10:$AY$122,CD$9,FALSE)-AK64)</f>
        <v>-</v>
      </c>
      <c r="CE64" s="306" t="str">
        <f>IF(AL64="-","-",VLOOKUP($A64,AMAPit!$A$10:$AY$122,CE$9,FALSE)-AL64)</f>
        <v>-</v>
      </c>
      <c r="CF64" s="306" t="str">
        <f>IF(AM64="-","-",VLOOKUP($A64,AMAPit!$A$10:$AY$122,CF$9,FALSE)-AM64)</f>
        <v>-</v>
      </c>
      <c r="CG64" s="306" t="str">
        <f>IF(AN64="-","-",VLOOKUP($A64,AMAPit!$A$10:$AY$122,CG$9,FALSE)-AN64)</f>
        <v>-</v>
      </c>
      <c r="CH64" s="306" t="str">
        <f>IF(AO64="-","-",VLOOKUP($A64,AMAPit!$A$10:$AY$122,CH$9,FALSE)-AO64)</f>
        <v>-</v>
      </c>
      <c r="CI64" s="306" t="str">
        <f>IF(AP64="-","-",VLOOKUP($A64,AMAPit!$A$10:$AY$122,CI$9,FALSE)-AP64)</f>
        <v>-</v>
      </c>
      <c r="CJ64" s="306" t="str">
        <f>IF(AQ64="-","-",VLOOKUP($A64,AMAPit!$A$10:$AY$122,CJ$9,FALSE)-AQ64)</f>
        <v>-</v>
      </c>
      <c r="CK64" s="306" t="str">
        <f>IF(AR64="-","-",VLOOKUP($A64,AMAPit!$A$10:$AY$122,CK$9,FALSE)-AR64)</f>
        <v>-</v>
      </c>
      <c r="CL64" s="306" t="str">
        <f>IF(AS64="-","-",VLOOKUP($A64,AMAPit!$A$10:$AY$122,CL$9,FALSE)-AS64)</f>
        <v>-</v>
      </c>
      <c r="CM64" s="306" t="str">
        <f>IF(AT64="-","-",VLOOKUP($A64,AMAPit!$A$10:$AY$122,CM$9,FALSE)-AT64)</f>
        <v>-</v>
      </c>
      <c r="CN64" t="e">
        <f t="shared" si="21"/>
        <v>#N/A</v>
      </c>
    </row>
    <row r="65" spans="1:92" x14ac:dyDescent="0.25">
      <c r="A65" s="305" t="s">
        <v>577</v>
      </c>
      <c r="B65" s="305" t="s">
        <v>534</v>
      </c>
      <c r="C65" s="305"/>
      <c r="D65" s="305" t="s">
        <v>81</v>
      </c>
      <c r="E65" t="s">
        <v>11</v>
      </c>
      <c r="F65" t="s">
        <v>412</v>
      </c>
      <c r="G65" s="305" t="s">
        <v>968</v>
      </c>
      <c r="H65" t="s">
        <v>769</v>
      </c>
      <c r="I65" t="s">
        <v>186</v>
      </c>
      <c r="J65">
        <v>34</v>
      </c>
      <c r="K65" t="s">
        <v>82</v>
      </c>
      <c r="L65" s="212" t="s">
        <v>82</v>
      </c>
      <c r="M65" t="s">
        <v>816</v>
      </c>
      <c r="N65" t="s">
        <v>816</v>
      </c>
      <c r="O65" t="s">
        <v>201</v>
      </c>
      <c r="P65" s="212" t="s">
        <v>199</v>
      </c>
      <c r="Q65">
        <v>6</v>
      </c>
      <c r="R65">
        <v>2</v>
      </c>
      <c r="S65" s="212">
        <v>2</v>
      </c>
      <c r="T65">
        <v>6</v>
      </c>
      <c r="U65">
        <v>2</v>
      </c>
      <c r="V65" s="212">
        <v>2</v>
      </c>
      <c r="W65" t="s">
        <v>32</v>
      </c>
      <c r="X65" t="s">
        <v>32</v>
      </c>
      <c r="Y65" t="s">
        <v>32</v>
      </c>
      <c r="Z65" t="s">
        <v>32</v>
      </c>
      <c r="AA65">
        <v>5</v>
      </c>
      <c r="AB65">
        <v>5</v>
      </c>
      <c r="AC65" t="s">
        <v>32</v>
      </c>
      <c r="AD65" t="s">
        <v>32</v>
      </c>
      <c r="AE65" t="s">
        <v>32</v>
      </c>
      <c r="AF65" t="s">
        <v>32</v>
      </c>
      <c r="AG65" t="s">
        <v>32</v>
      </c>
      <c r="AH65" t="s">
        <v>32</v>
      </c>
      <c r="AI65">
        <v>7</v>
      </c>
      <c r="AJ65">
        <v>7</v>
      </c>
      <c r="AK65" t="s">
        <v>32</v>
      </c>
      <c r="AL65" t="s">
        <v>32</v>
      </c>
      <c r="AM65" t="s">
        <v>32</v>
      </c>
      <c r="AN65" t="s">
        <v>32</v>
      </c>
      <c r="AO65" t="s">
        <v>32</v>
      </c>
      <c r="AP65" t="s">
        <v>32</v>
      </c>
      <c r="AQ65" t="s">
        <v>32</v>
      </c>
      <c r="AR65" t="s">
        <v>32</v>
      </c>
      <c r="AS65" t="s">
        <v>32</v>
      </c>
      <c r="AT65" s="212" t="s">
        <v>32</v>
      </c>
      <c r="AU65" t="s">
        <v>7</v>
      </c>
      <c r="AV65">
        <v>6</v>
      </c>
      <c r="AW65" s="11" t="s">
        <v>395</v>
      </c>
      <c r="AX65" s="78" t="s">
        <v>32</v>
      </c>
      <c r="AY65" s="212">
        <v>1</v>
      </c>
      <c r="AZ65" s="372" t="s">
        <v>529</v>
      </c>
      <c r="BA65" s="6">
        <f t="shared" si="12"/>
        <v>3.8333333333333335</v>
      </c>
      <c r="BB65" s="9" t="str">
        <f t="shared" si="13"/>
        <v>Minors</v>
      </c>
      <c r="BC65" s="9">
        <f t="shared" si="14"/>
        <v>3.8333333333333335</v>
      </c>
      <c r="BD65" s="9" t="str">
        <f t="shared" si="15"/>
        <v>Minors</v>
      </c>
      <c r="BE65" s="9">
        <f t="shared" si="16"/>
        <v>3.8333333333333335</v>
      </c>
      <c r="BF65" s="9" t="str">
        <f t="shared" si="17"/>
        <v>Minors</v>
      </c>
      <c r="BG65" s="77">
        <f t="shared" si="18"/>
        <v>2</v>
      </c>
      <c r="BH65" s="76">
        <f t="shared" si="19"/>
        <v>1</v>
      </c>
      <c r="BI65" t="str">
        <f t="shared" si="20"/>
        <v>Yes</v>
      </c>
      <c r="BJ65" s="306" t="e">
        <f>IF(Q65="-","-",VLOOKUP($A65,AMAPit!$A$10:$AY$122,BJ$9,FALSE)-Q65)</f>
        <v>#N/A</v>
      </c>
      <c r="BK65" s="306" t="e">
        <f>IF(R65="-","-",VLOOKUP($A65,AMAPit!$A$10:$AY$122,BK$9,FALSE)-R65)</f>
        <v>#N/A</v>
      </c>
      <c r="BL65" s="306" t="e">
        <f>IF(S65="-","-",VLOOKUP($A65,AMAPit!$A$10:$AY$122,BL$9,FALSE)-S65)</f>
        <v>#N/A</v>
      </c>
      <c r="BM65" s="306" t="e">
        <f>IF(T65="-","-",VLOOKUP($A65,AMAPit!$A$10:$AY$122,BM$9,FALSE)-T65)</f>
        <v>#N/A</v>
      </c>
      <c r="BN65" s="306" t="e">
        <f>IF(U65="-","-",VLOOKUP($A65,AMAPit!$A$10:$AY$122,BN$9,FALSE)-U65)</f>
        <v>#N/A</v>
      </c>
      <c r="BO65" s="306" t="e">
        <f>IF(V65="-","-",VLOOKUP($A65,AMAPit!$A$10:$AY$122,BO$9,FALSE)-V65)</f>
        <v>#N/A</v>
      </c>
      <c r="BP65" s="306" t="str">
        <f>IF(W65="-","-",VLOOKUP($A65,AMAPit!$A$10:$AY$122,BP$9,FALSE)-W65)</f>
        <v>-</v>
      </c>
      <c r="BQ65" s="306" t="str">
        <f>IF(X65="-","-",VLOOKUP($A65,AMAPit!$A$10:$AY$122,BQ$9,FALSE)-X65)</f>
        <v>-</v>
      </c>
      <c r="BR65" s="306" t="str">
        <f>IF(Y65="-","-",VLOOKUP($A65,AMAPit!$A$10:$AY$122,BR$9,FALSE)-Y65)</f>
        <v>-</v>
      </c>
      <c r="BS65" s="306" t="str">
        <f>IF(Z65="-","-",VLOOKUP($A65,AMAPit!$A$10:$AY$122,BS$9,FALSE)-Z65)</f>
        <v>-</v>
      </c>
      <c r="BT65" s="306" t="e">
        <f>IF(AA65="-","-",VLOOKUP($A65,AMAPit!$A$10:$AY$122,BT$9,FALSE)-AA65)</f>
        <v>#N/A</v>
      </c>
      <c r="BU65" s="306" t="e">
        <f>IF(AB65="-","-",VLOOKUP($A65,AMAPit!$A$10:$AY$122,BU$9,FALSE)-AB65)</f>
        <v>#N/A</v>
      </c>
      <c r="BV65" s="306" t="str">
        <f>IF(AC65="-","-",VLOOKUP($A65,AMAPit!$A$10:$AY$122,BV$9,FALSE)-AC65)</f>
        <v>-</v>
      </c>
      <c r="BW65" s="306" t="str">
        <f>IF(AD65="-","-",VLOOKUP($A65,AMAPit!$A$10:$AY$122,BW$9,FALSE)-AD65)</f>
        <v>-</v>
      </c>
      <c r="BX65" s="306" t="str">
        <f>IF(AE65="-","-",VLOOKUP($A65,AMAPit!$A$10:$AY$122,BX$9,FALSE)-AE65)</f>
        <v>-</v>
      </c>
      <c r="BY65" s="306" t="str">
        <f>IF(AF65="-","-",VLOOKUP($A65,AMAPit!$A$10:$AY$122,BY$9,FALSE)-AF65)</f>
        <v>-</v>
      </c>
      <c r="BZ65" s="306" t="str">
        <f>IF(AG65="-","-",VLOOKUP($A65,AMAPit!$A$10:$AY$122,BZ$9,FALSE)-AG65)</f>
        <v>-</v>
      </c>
      <c r="CA65" s="306" t="str">
        <f>IF(AH65="-","-",VLOOKUP($A65,AMAPit!$A$10:$AY$122,CA$9,FALSE)-AH65)</f>
        <v>-</v>
      </c>
      <c r="CB65" s="306" t="e">
        <f>IF(AI65="-","-",VLOOKUP($A65,AMAPit!$A$10:$AY$122,CB$9,FALSE)-AI65)</f>
        <v>#N/A</v>
      </c>
      <c r="CC65" s="306" t="e">
        <f>IF(AJ65="-","-",VLOOKUP($A65,AMAPit!$A$10:$AY$122,CC$9,FALSE)-AJ65)</f>
        <v>#N/A</v>
      </c>
      <c r="CD65" s="306" t="str">
        <f>IF(AK65="-","-",VLOOKUP($A65,AMAPit!$A$10:$AY$122,CD$9,FALSE)-AK65)</f>
        <v>-</v>
      </c>
      <c r="CE65" s="306" t="str">
        <f>IF(AL65="-","-",VLOOKUP($A65,AMAPit!$A$10:$AY$122,CE$9,FALSE)-AL65)</f>
        <v>-</v>
      </c>
      <c r="CF65" s="306" t="str">
        <f>IF(AM65="-","-",VLOOKUP($A65,AMAPit!$A$10:$AY$122,CF$9,FALSE)-AM65)</f>
        <v>-</v>
      </c>
      <c r="CG65" s="306" t="str">
        <f>IF(AN65="-","-",VLOOKUP($A65,AMAPit!$A$10:$AY$122,CG$9,FALSE)-AN65)</f>
        <v>-</v>
      </c>
      <c r="CH65" s="306" t="str">
        <f>IF(AO65="-","-",VLOOKUP($A65,AMAPit!$A$10:$AY$122,CH$9,FALSE)-AO65)</f>
        <v>-</v>
      </c>
      <c r="CI65" s="306" t="str">
        <f>IF(AP65="-","-",VLOOKUP($A65,AMAPit!$A$10:$AY$122,CI$9,FALSE)-AP65)</f>
        <v>-</v>
      </c>
      <c r="CJ65" s="306" t="str">
        <f>IF(AQ65="-","-",VLOOKUP($A65,AMAPit!$A$10:$AY$122,CJ$9,FALSE)-AQ65)</f>
        <v>-</v>
      </c>
      <c r="CK65" s="306" t="str">
        <f>IF(AR65="-","-",VLOOKUP($A65,AMAPit!$A$10:$AY$122,CK$9,FALSE)-AR65)</f>
        <v>-</v>
      </c>
      <c r="CL65" s="306" t="str">
        <f>IF(AS65="-","-",VLOOKUP($A65,AMAPit!$A$10:$AY$122,CL$9,FALSE)-AS65)</f>
        <v>-</v>
      </c>
      <c r="CM65" s="306" t="str">
        <f>IF(AT65="-","-",VLOOKUP($A65,AMAPit!$A$10:$AY$122,CM$9,FALSE)-AT65)</f>
        <v>-</v>
      </c>
      <c r="CN65" t="e">
        <f t="shared" si="21"/>
        <v>#N/A</v>
      </c>
    </row>
    <row r="66" spans="1:92" x14ac:dyDescent="0.25">
      <c r="A66" s="305" t="s">
        <v>578</v>
      </c>
      <c r="B66" s="305" t="s">
        <v>534</v>
      </c>
      <c r="C66" s="305"/>
      <c r="D66" s="305" t="s">
        <v>81</v>
      </c>
      <c r="E66" t="s">
        <v>11</v>
      </c>
      <c r="F66" t="s">
        <v>1024</v>
      </c>
      <c r="G66" s="305" t="s">
        <v>1025</v>
      </c>
      <c r="H66" t="s">
        <v>769</v>
      </c>
      <c r="I66" t="s">
        <v>186</v>
      </c>
      <c r="J66">
        <v>26</v>
      </c>
      <c r="K66" t="s">
        <v>83</v>
      </c>
      <c r="L66" s="212" t="s">
        <v>83</v>
      </c>
      <c r="M66" t="s">
        <v>816</v>
      </c>
      <c r="N66" t="s">
        <v>816</v>
      </c>
      <c r="O66" t="s">
        <v>200</v>
      </c>
      <c r="P66" s="212" t="s">
        <v>200</v>
      </c>
      <c r="Q66">
        <v>5</v>
      </c>
      <c r="R66">
        <v>1</v>
      </c>
      <c r="S66" s="212">
        <v>4</v>
      </c>
      <c r="T66">
        <v>5</v>
      </c>
      <c r="U66">
        <v>1</v>
      </c>
      <c r="V66" s="212">
        <v>4</v>
      </c>
      <c r="W66">
        <v>7</v>
      </c>
      <c r="X66">
        <v>7</v>
      </c>
      <c r="Y66">
        <v>2</v>
      </c>
      <c r="Z66">
        <v>2</v>
      </c>
      <c r="AA66" t="s">
        <v>32</v>
      </c>
      <c r="AB66" t="s">
        <v>32</v>
      </c>
      <c r="AC66">
        <v>7</v>
      </c>
      <c r="AD66">
        <v>7</v>
      </c>
      <c r="AE66" t="s">
        <v>32</v>
      </c>
      <c r="AF66" t="s">
        <v>32</v>
      </c>
      <c r="AG66" t="s">
        <v>32</v>
      </c>
      <c r="AH66" t="s">
        <v>32</v>
      </c>
      <c r="AI66" t="s">
        <v>32</v>
      </c>
      <c r="AJ66" t="s">
        <v>32</v>
      </c>
      <c r="AK66" t="s">
        <v>32</v>
      </c>
      <c r="AL66" t="s">
        <v>32</v>
      </c>
      <c r="AM66" t="s">
        <v>32</v>
      </c>
      <c r="AN66" t="s">
        <v>32</v>
      </c>
      <c r="AO66" t="s">
        <v>32</v>
      </c>
      <c r="AP66" t="s">
        <v>32</v>
      </c>
      <c r="AQ66" t="s">
        <v>32</v>
      </c>
      <c r="AR66" t="s">
        <v>32</v>
      </c>
      <c r="AS66" t="s">
        <v>32</v>
      </c>
      <c r="AT66" s="212" t="s">
        <v>32</v>
      </c>
      <c r="AU66" t="s">
        <v>5</v>
      </c>
      <c r="AV66">
        <v>10</v>
      </c>
      <c r="AW66" s="11" t="s">
        <v>395</v>
      </c>
      <c r="AX66" s="78" t="s">
        <v>32</v>
      </c>
      <c r="AY66" s="212">
        <v>0</v>
      </c>
      <c r="AZ66" s="372" t="s">
        <v>199</v>
      </c>
      <c r="BA66" s="6">
        <f t="shared" si="12"/>
        <v>3.8333333333333335</v>
      </c>
      <c r="BB66" s="9" t="str">
        <f t="shared" si="13"/>
        <v>Minors</v>
      </c>
      <c r="BC66" s="9">
        <f t="shared" si="14"/>
        <v>3.8333333333333335</v>
      </c>
      <c r="BD66" s="9" t="str">
        <f t="shared" si="15"/>
        <v>Minors</v>
      </c>
      <c r="BE66" s="9">
        <f t="shared" si="16"/>
        <v>3.8333333333333335</v>
      </c>
      <c r="BF66" s="9" t="str">
        <f t="shared" si="17"/>
        <v>Minors</v>
      </c>
      <c r="BG66" s="77">
        <f t="shared" si="18"/>
        <v>3</v>
      </c>
      <c r="BH66" s="76">
        <f t="shared" si="19"/>
        <v>2</v>
      </c>
      <c r="BI66" t="str">
        <f t="shared" si="20"/>
        <v/>
      </c>
      <c r="BJ66" s="306" t="e">
        <f>IF(Q66="-","-",VLOOKUP($A66,AMAPit!$A$10:$AY$122,BJ$9,FALSE)-Q66)</f>
        <v>#N/A</v>
      </c>
      <c r="BK66" s="306" t="e">
        <f>IF(R66="-","-",VLOOKUP($A66,AMAPit!$A$10:$AY$122,BK$9,FALSE)-R66)</f>
        <v>#N/A</v>
      </c>
      <c r="BL66" s="306" t="e">
        <f>IF(S66="-","-",VLOOKUP($A66,AMAPit!$A$10:$AY$122,BL$9,FALSE)-S66)</f>
        <v>#N/A</v>
      </c>
      <c r="BM66" s="306" t="e">
        <f>IF(T66="-","-",VLOOKUP($A66,AMAPit!$A$10:$AY$122,BM$9,FALSE)-T66)</f>
        <v>#N/A</v>
      </c>
      <c r="BN66" s="306" t="e">
        <f>IF(U66="-","-",VLOOKUP($A66,AMAPit!$A$10:$AY$122,BN$9,FALSE)-U66)</f>
        <v>#N/A</v>
      </c>
      <c r="BO66" s="306" t="e">
        <f>IF(V66="-","-",VLOOKUP($A66,AMAPit!$A$10:$AY$122,BO$9,FALSE)-V66)</f>
        <v>#N/A</v>
      </c>
      <c r="BP66" s="306" t="e">
        <f>IF(W66="-","-",VLOOKUP($A66,AMAPit!$A$10:$AY$122,BP$9,FALSE)-W66)</f>
        <v>#N/A</v>
      </c>
      <c r="BQ66" s="306" t="e">
        <f>IF(X66="-","-",VLOOKUP($A66,AMAPit!$A$10:$AY$122,BQ$9,FALSE)-X66)</f>
        <v>#N/A</v>
      </c>
      <c r="BR66" s="306" t="e">
        <f>IF(Y66="-","-",VLOOKUP($A66,AMAPit!$A$10:$AY$122,BR$9,FALSE)-Y66)</f>
        <v>#N/A</v>
      </c>
      <c r="BS66" s="306" t="e">
        <f>IF(Z66="-","-",VLOOKUP($A66,AMAPit!$A$10:$AY$122,BS$9,FALSE)-Z66)</f>
        <v>#N/A</v>
      </c>
      <c r="BT66" s="306" t="str">
        <f>IF(AA66="-","-",VLOOKUP($A66,AMAPit!$A$10:$AY$122,BT$9,FALSE)-AA66)</f>
        <v>-</v>
      </c>
      <c r="BU66" s="306" t="str">
        <f>IF(AB66="-","-",VLOOKUP($A66,AMAPit!$A$10:$AY$122,BU$9,FALSE)-AB66)</f>
        <v>-</v>
      </c>
      <c r="BV66" s="306" t="e">
        <f>IF(AC66="-","-",VLOOKUP($A66,AMAPit!$A$10:$AY$122,BV$9,FALSE)-AC66)</f>
        <v>#N/A</v>
      </c>
      <c r="BW66" s="306" t="e">
        <f>IF(AD66="-","-",VLOOKUP($A66,AMAPit!$A$10:$AY$122,BW$9,FALSE)-AD66)</f>
        <v>#N/A</v>
      </c>
      <c r="BX66" s="306" t="str">
        <f>IF(AE66="-","-",VLOOKUP($A66,AMAPit!$A$10:$AY$122,BX$9,FALSE)-AE66)</f>
        <v>-</v>
      </c>
      <c r="BY66" s="306" t="str">
        <f>IF(AF66="-","-",VLOOKUP($A66,AMAPit!$A$10:$AY$122,BY$9,FALSE)-AF66)</f>
        <v>-</v>
      </c>
      <c r="BZ66" s="306" t="str">
        <f>IF(AG66="-","-",VLOOKUP($A66,AMAPit!$A$10:$AY$122,BZ$9,FALSE)-AG66)</f>
        <v>-</v>
      </c>
      <c r="CA66" s="306" t="str">
        <f>IF(AH66="-","-",VLOOKUP($A66,AMAPit!$A$10:$AY$122,CA$9,FALSE)-AH66)</f>
        <v>-</v>
      </c>
      <c r="CB66" s="306" t="str">
        <f>IF(AI66="-","-",VLOOKUP($A66,AMAPit!$A$10:$AY$122,CB$9,FALSE)-AI66)</f>
        <v>-</v>
      </c>
      <c r="CC66" s="306" t="str">
        <f>IF(AJ66="-","-",VLOOKUP($A66,AMAPit!$A$10:$AY$122,CC$9,FALSE)-AJ66)</f>
        <v>-</v>
      </c>
      <c r="CD66" s="306" t="str">
        <f>IF(AK66="-","-",VLOOKUP($A66,AMAPit!$A$10:$AY$122,CD$9,FALSE)-AK66)</f>
        <v>-</v>
      </c>
      <c r="CE66" s="306" t="str">
        <f>IF(AL66="-","-",VLOOKUP($A66,AMAPit!$A$10:$AY$122,CE$9,FALSE)-AL66)</f>
        <v>-</v>
      </c>
      <c r="CF66" s="306" t="str">
        <f>IF(AM66="-","-",VLOOKUP($A66,AMAPit!$A$10:$AY$122,CF$9,FALSE)-AM66)</f>
        <v>-</v>
      </c>
      <c r="CG66" s="306" t="str">
        <f>IF(AN66="-","-",VLOOKUP($A66,AMAPit!$A$10:$AY$122,CG$9,FALSE)-AN66)</f>
        <v>-</v>
      </c>
      <c r="CH66" s="306" t="str">
        <f>IF(AO66="-","-",VLOOKUP($A66,AMAPit!$A$10:$AY$122,CH$9,FALSE)-AO66)</f>
        <v>-</v>
      </c>
      <c r="CI66" s="306" t="str">
        <f>IF(AP66="-","-",VLOOKUP($A66,AMAPit!$A$10:$AY$122,CI$9,FALSE)-AP66)</f>
        <v>-</v>
      </c>
      <c r="CJ66" s="306" t="str">
        <f>IF(AQ66="-","-",VLOOKUP($A66,AMAPit!$A$10:$AY$122,CJ$9,FALSE)-AQ66)</f>
        <v>-</v>
      </c>
      <c r="CK66" s="306" t="str">
        <f>IF(AR66="-","-",VLOOKUP($A66,AMAPit!$A$10:$AY$122,CK$9,FALSE)-AR66)</f>
        <v>-</v>
      </c>
      <c r="CL66" s="306" t="str">
        <f>IF(AS66="-","-",VLOOKUP($A66,AMAPit!$A$10:$AY$122,CL$9,FALSE)-AS66)</f>
        <v>-</v>
      </c>
      <c r="CM66" s="306" t="str">
        <f>IF(AT66="-","-",VLOOKUP($A66,AMAPit!$A$10:$AY$122,CM$9,FALSE)-AT66)</f>
        <v>-</v>
      </c>
      <c r="CN66" t="e">
        <f t="shared" si="21"/>
        <v>#N/A</v>
      </c>
    </row>
    <row r="67" spans="1:92" x14ac:dyDescent="0.25">
      <c r="A67" s="305" t="s">
        <v>579</v>
      </c>
      <c r="B67" s="305" t="s">
        <v>534</v>
      </c>
      <c r="C67" s="305"/>
      <c r="D67" s="305" t="s">
        <v>81</v>
      </c>
      <c r="E67" t="s">
        <v>11</v>
      </c>
      <c r="F67" t="s">
        <v>417</v>
      </c>
      <c r="G67" s="305" t="s">
        <v>770</v>
      </c>
      <c r="H67" t="s">
        <v>810</v>
      </c>
      <c r="I67" t="s">
        <v>83</v>
      </c>
      <c r="J67">
        <v>18</v>
      </c>
      <c r="K67" t="s">
        <v>83</v>
      </c>
      <c r="L67" s="212" t="s">
        <v>83</v>
      </c>
      <c r="M67" t="s">
        <v>816</v>
      </c>
      <c r="N67" t="s">
        <v>816</v>
      </c>
      <c r="O67" t="s">
        <v>200</v>
      </c>
      <c r="P67" s="212" t="s">
        <v>200</v>
      </c>
      <c r="Q67">
        <v>5</v>
      </c>
      <c r="R67">
        <v>3</v>
      </c>
      <c r="S67" s="212">
        <v>1</v>
      </c>
      <c r="T67">
        <v>6</v>
      </c>
      <c r="U67">
        <v>3</v>
      </c>
      <c r="V67" s="212">
        <v>3</v>
      </c>
      <c r="W67">
        <v>6</v>
      </c>
      <c r="X67">
        <v>7</v>
      </c>
      <c r="Y67">
        <v>1</v>
      </c>
      <c r="Z67">
        <v>1</v>
      </c>
      <c r="AA67">
        <v>3</v>
      </c>
      <c r="AB67">
        <v>5</v>
      </c>
      <c r="AC67" t="s">
        <v>32</v>
      </c>
      <c r="AD67" t="s">
        <v>32</v>
      </c>
      <c r="AE67">
        <v>4</v>
      </c>
      <c r="AF67">
        <v>5</v>
      </c>
      <c r="AG67" t="s">
        <v>32</v>
      </c>
      <c r="AH67" t="s">
        <v>32</v>
      </c>
      <c r="AI67" t="s">
        <v>32</v>
      </c>
      <c r="AJ67" t="s">
        <v>32</v>
      </c>
      <c r="AK67" t="s">
        <v>32</v>
      </c>
      <c r="AL67" t="s">
        <v>32</v>
      </c>
      <c r="AM67" t="s">
        <v>32</v>
      </c>
      <c r="AN67" t="s">
        <v>32</v>
      </c>
      <c r="AO67" t="s">
        <v>32</v>
      </c>
      <c r="AP67" t="s">
        <v>32</v>
      </c>
      <c r="AQ67" t="s">
        <v>32</v>
      </c>
      <c r="AR67" t="s">
        <v>32</v>
      </c>
      <c r="AS67" t="s">
        <v>32</v>
      </c>
      <c r="AT67" s="212" t="s">
        <v>32</v>
      </c>
      <c r="AU67" t="s">
        <v>7</v>
      </c>
      <c r="AV67">
        <v>7</v>
      </c>
      <c r="AW67" s="11" t="s">
        <v>394</v>
      </c>
      <c r="AX67" s="78" t="s">
        <v>32</v>
      </c>
      <c r="AY67" s="212" t="s">
        <v>33</v>
      </c>
      <c r="AZ67" s="372" t="s">
        <v>529</v>
      </c>
      <c r="BA67" s="6">
        <f t="shared" si="12"/>
        <v>3.75</v>
      </c>
      <c r="BB67" s="9" t="str">
        <f t="shared" si="13"/>
        <v>Minors</v>
      </c>
      <c r="BC67" s="9">
        <f t="shared" si="14"/>
        <v>4.75</v>
      </c>
      <c r="BD67" s="9" t="str">
        <f t="shared" si="15"/>
        <v>Bench</v>
      </c>
      <c r="BE67" s="9">
        <f t="shared" si="16"/>
        <v>4.75</v>
      </c>
      <c r="BF67" s="9" t="str">
        <f t="shared" si="17"/>
        <v>Bench</v>
      </c>
      <c r="BG67" s="77">
        <f t="shared" si="18"/>
        <v>4</v>
      </c>
      <c r="BH67" s="76">
        <f t="shared" si="19"/>
        <v>1</v>
      </c>
      <c r="BI67" t="str">
        <f t="shared" si="20"/>
        <v/>
      </c>
      <c r="BJ67" s="306" t="e">
        <f>IF(Q67="-","-",VLOOKUP($A67,AMAPit!$A$10:$AY$122,BJ$9,FALSE)-Q67)</f>
        <v>#N/A</v>
      </c>
      <c r="BK67" s="306" t="e">
        <f>IF(R67="-","-",VLOOKUP($A67,AMAPit!$A$10:$AY$122,BK$9,FALSE)-R67)</f>
        <v>#N/A</v>
      </c>
      <c r="BL67" s="306" t="e">
        <f>IF(S67="-","-",VLOOKUP($A67,AMAPit!$A$10:$AY$122,BL$9,FALSE)-S67)</f>
        <v>#N/A</v>
      </c>
      <c r="BM67" s="306" t="e">
        <f>IF(T67="-","-",VLOOKUP($A67,AMAPit!$A$10:$AY$122,BM$9,FALSE)-T67)</f>
        <v>#N/A</v>
      </c>
      <c r="BN67" s="306" t="e">
        <f>IF(U67="-","-",VLOOKUP($A67,AMAPit!$A$10:$AY$122,BN$9,FALSE)-U67)</f>
        <v>#N/A</v>
      </c>
      <c r="BO67" s="306" t="e">
        <f>IF(V67="-","-",VLOOKUP($A67,AMAPit!$A$10:$AY$122,BO$9,FALSE)-V67)</f>
        <v>#N/A</v>
      </c>
      <c r="BP67" s="306" t="e">
        <f>IF(W67="-","-",VLOOKUP($A67,AMAPit!$A$10:$AY$122,BP$9,FALSE)-W67)</f>
        <v>#N/A</v>
      </c>
      <c r="BQ67" s="306" t="e">
        <f>IF(X67="-","-",VLOOKUP($A67,AMAPit!$A$10:$AY$122,BQ$9,FALSE)-X67)</f>
        <v>#N/A</v>
      </c>
      <c r="BR67" s="306" t="e">
        <f>IF(Y67="-","-",VLOOKUP($A67,AMAPit!$A$10:$AY$122,BR$9,FALSE)-Y67)</f>
        <v>#N/A</v>
      </c>
      <c r="BS67" s="306" t="e">
        <f>IF(Z67="-","-",VLOOKUP($A67,AMAPit!$A$10:$AY$122,BS$9,FALSE)-Z67)</f>
        <v>#N/A</v>
      </c>
      <c r="BT67" s="306" t="e">
        <f>IF(AA67="-","-",VLOOKUP($A67,AMAPit!$A$10:$AY$122,BT$9,FALSE)-AA67)</f>
        <v>#N/A</v>
      </c>
      <c r="BU67" s="306" t="e">
        <f>IF(AB67="-","-",VLOOKUP($A67,AMAPit!$A$10:$AY$122,BU$9,FALSE)-AB67)</f>
        <v>#N/A</v>
      </c>
      <c r="BV67" s="306" t="str">
        <f>IF(AC67="-","-",VLOOKUP($A67,AMAPit!$A$10:$AY$122,BV$9,FALSE)-AC67)</f>
        <v>-</v>
      </c>
      <c r="BW67" s="306" t="str">
        <f>IF(AD67="-","-",VLOOKUP($A67,AMAPit!$A$10:$AY$122,BW$9,FALSE)-AD67)</f>
        <v>-</v>
      </c>
      <c r="BX67" s="306" t="e">
        <f>IF(AE67="-","-",VLOOKUP($A67,AMAPit!$A$10:$AY$122,BX$9,FALSE)-AE67)</f>
        <v>#N/A</v>
      </c>
      <c r="BY67" s="306" t="e">
        <f>IF(AF67="-","-",VLOOKUP($A67,AMAPit!$A$10:$AY$122,BY$9,FALSE)-AF67)</f>
        <v>#N/A</v>
      </c>
      <c r="BZ67" s="306" t="str">
        <f>IF(AG67="-","-",VLOOKUP($A67,AMAPit!$A$10:$AY$122,BZ$9,FALSE)-AG67)</f>
        <v>-</v>
      </c>
      <c r="CA67" s="306" t="str">
        <f>IF(AH67="-","-",VLOOKUP($A67,AMAPit!$A$10:$AY$122,CA$9,FALSE)-AH67)</f>
        <v>-</v>
      </c>
      <c r="CB67" s="306" t="str">
        <f>IF(AI67="-","-",VLOOKUP($A67,AMAPit!$A$10:$AY$122,CB$9,FALSE)-AI67)</f>
        <v>-</v>
      </c>
      <c r="CC67" s="306" t="str">
        <f>IF(AJ67="-","-",VLOOKUP($A67,AMAPit!$A$10:$AY$122,CC$9,FALSE)-AJ67)</f>
        <v>-</v>
      </c>
      <c r="CD67" s="306" t="str">
        <f>IF(AK67="-","-",VLOOKUP($A67,AMAPit!$A$10:$AY$122,CD$9,FALSE)-AK67)</f>
        <v>-</v>
      </c>
      <c r="CE67" s="306" t="str">
        <f>IF(AL67="-","-",VLOOKUP($A67,AMAPit!$A$10:$AY$122,CE$9,FALSE)-AL67)</f>
        <v>-</v>
      </c>
      <c r="CF67" s="306" t="str">
        <f>IF(AM67="-","-",VLOOKUP($A67,AMAPit!$A$10:$AY$122,CF$9,FALSE)-AM67)</f>
        <v>-</v>
      </c>
      <c r="CG67" s="306" t="str">
        <f>IF(AN67="-","-",VLOOKUP($A67,AMAPit!$A$10:$AY$122,CG$9,FALSE)-AN67)</f>
        <v>-</v>
      </c>
      <c r="CH67" s="306" t="str">
        <f>IF(AO67="-","-",VLOOKUP($A67,AMAPit!$A$10:$AY$122,CH$9,FALSE)-AO67)</f>
        <v>-</v>
      </c>
      <c r="CI67" s="306" t="str">
        <f>IF(AP67="-","-",VLOOKUP($A67,AMAPit!$A$10:$AY$122,CI$9,FALSE)-AP67)</f>
        <v>-</v>
      </c>
      <c r="CJ67" s="306" t="str">
        <f>IF(AQ67="-","-",VLOOKUP($A67,AMAPit!$A$10:$AY$122,CJ$9,FALSE)-AQ67)</f>
        <v>-</v>
      </c>
      <c r="CK67" s="306" t="str">
        <f>IF(AR67="-","-",VLOOKUP($A67,AMAPit!$A$10:$AY$122,CK$9,FALSE)-AR67)</f>
        <v>-</v>
      </c>
      <c r="CL67" s="306" t="str">
        <f>IF(AS67="-","-",VLOOKUP($A67,AMAPit!$A$10:$AY$122,CL$9,FALSE)-AS67)</f>
        <v>-</v>
      </c>
      <c r="CM67" s="306" t="str">
        <f>IF(AT67="-","-",VLOOKUP($A67,AMAPit!$A$10:$AY$122,CM$9,FALSE)-AT67)</f>
        <v>-</v>
      </c>
      <c r="CN67" t="e">
        <f t="shared" si="21"/>
        <v>#N/A</v>
      </c>
    </row>
    <row r="68" spans="1:92" x14ac:dyDescent="0.25">
      <c r="A68" s="305" t="s">
        <v>580</v>
      </c>
      <c r="B68" s="305" t="s">
        <v>534</v>
      </c>
      <c r="C68" s="305"/>
      <c r="D68" s="305" t="s">
        <v>81</v>
      </c>
      <c r="E68" t="s">
        <v>87</v>
      </c>
      <c r="F68" t="s">
        <v>959</v>
      </c>
      <c r="G68" s="305" t="s">
        <v>960</v>
      </c>
      <c r="H68" t="s">
        <v>769</v>
      </c>
      <c r="I68" t="s">
        <v>186</v>
      </c>
      <c r="J68">
        <v>23</v>
      </c>
      <c r="K68" t="s">
        <v>82</v>
      </c>
      <c r="L68" s="212" t="s">
        <v>82</v>
      </c>
      <c r="M68" t="s">
        <v>816</v>
      </c>
      <c r="N68" t="s">
        <v>816</v>
      </c>
      <c r="O68" t="s">
        <v>199</v>
      </c>
      <c r="P68" s="212" t="s">
        <v>200</v>
      </c>
      <c r="Q68">
        <v>4</v>
      </c>
      <c r="R68">
        <v>1</v>
      </c>
      <c r="S68" s="212">
        <v>3</v>
      </c>
      <c r="T68">
        <v>5</v>
      </c>
      <c r="U68">
        <v>2</v>
      </c>
      <c r="V68" s="212">
        <v>3</v>
      </c>
      <c r="W68">
        <v>6</v>
      </c>
      <c r="X68">
        <v>6</v>
      </c>
      <c r="Y68">
        <v>2</v>
      </c>
      <c r="Z68">
        <v>5</v>
      </c>
      <c r="AA68">
        <v>4</v>
      </c>
      <c r="AB68">
        <v>5</v>
      </c>
      <c r="AC68" t="s">
        <v>32</v>
      </c>
      <c r="AD68" t="s">
        <v>32</v>
      </c>
      <c r="AE68" t="s">
        <v>32</v>
      </c>
      <c r="AF68" t="s">
        <v>32</v>
      </c>
      <c r="AG68">
        <v>4</v>
      </c>
      <c r="AH68">
        <v>5</v>
      </c>
      <c r="AI68" t="s">
        <v>32</v>
      </c>
      <c r="AJ68" t="s">
        <v>32</v>
      </c>
      <c r="AK68">
        <v>5</v>
      </c>
      <c r="AL68">
        <v>5</v>
      </c>
      <c r="AM68" t="s">
        <v>32</v>
      </c>
      <c r="AN68" t="s">
        <v>32</v>
      </c>
      <c r="AO68" t="s">
        <v>32</v>
      </c>
      <c r="AP68" t="s">
        <v>32</v>
      </c>
      <c r="AQ68" t="s">
        <v>32</v>
      </c>
      <c r="AR68" t="s">
        <v>32</v>
      </c>
      <c r="AS68" t="s">
        <v>32</v>
      </c>
      <c r="AT68" s="212" t="s">
        <v>32</v>
      </c>
      <c r="AU68" t="s">
        <v>5</v>
      </c>
      <c r="AV68">
        <v>8</v>
      </c>
      <c r="AW68" s="11" t="s">
        <v>40</v>
      </c>
      <c r="AX68" s="78" t="s">
        <v>32</v>
      </c>
      <c r="AY68" s="212">
        <v>0</v>
      </c>
      <c r="AZ68" s="372" t="s">
        <v>199</v>
      </c>
      <c r="BA68" s="6">
        <f t="shared" si="12"/>
        <v>3.6666666666666665</v>
      </c>
      <c r="BB68" s="9" t="str">
        <f t="shared" si="13"/>
        <v>Minors</v>
      </c>
      <c r="BC68" s="9">
        <f t="shared" si="14"/>
        <v>4.3333333333333339</v>
      </c>
      <c r="BD68" s="9" t="str">
        <f t="shared" si="15"/>
        <v>Bench</v>
      </c>
      <c r="BE68" s="9">
        <f t="shared" si="16"/>
        <v>4.3333333333333339</v>
      </c>
      <c r="BF68" s="9" t="str">
        <f t="shared" si="17"/>
        <v>Bench</v>
      </c>
      <c r="BG68" s="77">
        <f t="shared" si="18"/>
        <v>5</v>
      </c>
      <c r="BH68" s="76">
        <f t="shared" si="19"/>
        <v>1</v>
      </c>
      <c r="BI68" t="str">
        <f t="shared" si="20"/>
        <v/>
      </c>
      <c r="BJ68" s="306" t="e">
        <f>IF(Q68="-","-",VLOOKUP($A68,AMAPit!$A$10:$AY$122,BJ$9,FALSE)-Q68)</f>
        <v>#N/A</v>
      </c>
      <c r="BK68" s="306" t="e">
        <f>IF(R68="-","-",VLOOKUP($A68,AMAPit!$A$10:$AY$122,BK$9,FALSE)-R68)</f>
        <v>#N/A</v>
      </c>
      <c r="BL68" s="306" t="e">
        <f>IF(S68="-","-",VLOOKUP($A68,AMAPit!$A$10:$AY$122,BL$9,FALSE)-S68)</f>
        <v>#N/A</v>
      </c>
      <c r="BM68" s="306" t="e">
        <f>IF(T68="-","-",VLOOKUP($A68,AMAPit!$A$10:$AY$122,BM$9,FALSE)-T68)</f>
        <v>#N/A</v>
      </c>
      <c r="BN68" s="306" t="e">
        <f>IF(U68="-","-",VLOOKUP($A68,AMAPit!$A$10:$AY$122,BN$9,FALSE)-U68)</f>
        <v>#N/A</v>
      </c>
      <c r="BO68" s="306" t="e">
        <f>IF(V68="-","-",VLOOKUP($A68,AMAPit!$A$10:$AY$122,BO$9,FALSE)-V68)</f>
        <v>#N/A</v>
      </c>
      <c r="BP68" s="306" t="e">
        <f>IF(W68="-","-",VLOOKUP($A68,AMAPit!$A$10:$AY$122,BP$9,FALSE)-W68)</f>
        <v>#N/A</v>
      </c>
      <c r="BQ68" s="306" t="e">
        <f>IF(X68="-","-",VLOOKUP($A68,AMAPit!$A$10:$AY$122,BQ$9,FALSE)-X68)</f>
        <v>#N/A</v>
      </c>
      <c r="BR68" s="306" t="e">
        <f>IF(Y68="-","-",VLOOKUP($A68,AMAPit!$A$10:$AY$122,BR$9,FALSE)-Y68)</f>
        <v>#N/A</v>
      </c>
      <c r="BS68" s="306" t="e">
        <f>IF(Z68="-","-",VLOOKUP($A68,AMAPit!$A$10:$AY$122,BS$9,FALSE)-Z68)</f>
        <v>#N/A</v>
      </c>
      <c r="BT68" s="306" t="e">
        <f>IF(AA68="-","-",VLOOKUP($A68,AMAPit!$A$10:$AY$122,BT$9,FALSE)-AA68)</f>
        <v>#N/A</v>
      </c>
      <c r="BU68" s="306" t="e">
        <f>IF(AB68="-","-",VLOOKUP($A68,AMAPit!$A$10:$AY$122,BU$9,FALSE)-AB68)</f>
        <v>#N/A</v>
      </c>
      <c r="BV68" s="306" t="str">
        <f>IF(AC68="-","-",VLOOKUP($A68,AMAPit!$A$10:$AY$122,BV$9,FALSE)-AC68)</f>
        <v>-</v>
      </c>
      <c r="BW68" s="306" t="str">
        <f>IF(AD68="-","-",VLOOKUP($A68,AMAPit!$A$10:$AY$122,BW$9,FALSE)-AD68)</f>
        <v>-</v>
      </c>
      <c r="BX68" s="306" t="str">
        <f>IF(AE68="-","-",VLOOKUP($A68,AMAPit!$A$10:$AY$122,BX$9,FALSE)-AE68)</f>
        <v>-</v>
      </c>
      <c r="BY68" s="306" t="str">
        <f>IF(AF68="-","-",VLOOKUP($A68,AMAPit!$A$10:$AY$122,BY$9,FALSE)-AF68)</f>
        <v>-</v>
      </c>
      <c r="BZ68" s="306" t="e">
        <f>IF(AG68="-","-",VLOOKUP($A68,AMAPit!$A$10:$AY$122,BZ$9,FALSE)-AG68)</f>
        <v>#N/A</v>
      </c>
      <c r="CA68" s="306" t="e">
        <f>IF(AH68="-","-",VLOOKUP($A68,AMAPit!$A$10:$AY$122,CA$9,FALSE)-AH68)</f>
        <v>#N/A</v>
      </c>
      <c r="CB68" s="306" t="str">
        <f>IF(AI68="-","-",VLOOKUP($A68,AMAPit!$A$10:$AY$122,CB$9,FALSE)-AI68)</f>
        <v>-</v>
      </c>
      <c r="CC68" s="306" t="str">
        <f>IF(AJ68="-","-",VLOOKUP($A68,AMAPit!$A$10:$AY$122,CC$9,FALSE)-AJ68)</f>
        <v>-</v>
      </c>
      <c r="CD68" s="306" t="e">
        <f>IF(AK68="-","-",VLOOKUP($A68,AMAPit!$A$10:$AY$122,CD$9,FALSE)-AK68)</f>
        <v>#N/A</v>
      </c>
      <c r="CE68" s="306" t="e">
        <f>IF(AL68="-","-",VLOOKUP($A68,AMAPit!$A$10:$AY$122,CE$9,FALSE)-AL68)</f>
        <v>#N/A</v>
      </c>
      <c r="CF68" s="306" t="str">
        <f>IF(AM68="-","-",VLOOKUP($A68,AMAPit!$A$10:$AY$122,CF$9,FALSE)-AM68)</f>
        <v>-</v>
      </c>
      <c r="CG68" s="306" t="str">
        <f>IF(AN68="-","-",VLOOKUP($A68,AMAPit!$A$10:$AY$122,CG$9,FALSE)-AN68)</f>
        <v>-</v>
      </c>
      <c r="CH68" s="306" t="str">
        <f>IF(AO68="-","-",VLOOKUP($A68,AMAPit!$A$10:$AY$122,CH$9,FALSE)-AO68)</f>
        <v>-</v>
      </c>
      <c r="CI68" s="306" t="str">
        <f>IF(AP68="-","-",VLOOKUP($A68,AMAPit!$A$10:$AY$122,CI$9,FALSE)-AP68)</f>
        <v>-</v>
      </c>
      <c r="CJ68" s="306" t="str">
        <f>IF(AQ68="-","-",VLOOKUP($A68,AMAPit!$A$10:$AY$122,CJ$9,FALSE)-AQ68)</f>
        <v>-</v>
      </c>
      <c r="CK68" s="306" t="str">
        <f>IF(AR68="-","-",VLOOKUP($A68,AMAPit!$A$10:$AY$122,CK$9,FALSE)-AR68)</f>
        <v>-</v>
      </c>
      <c r="CL68" s="306" t="str">
        <f>IF(AS68="-","-",VLOOKUP($A68,AMAPit!$A$10:$AY$122,CL$9,FALSE)-AS68)</f>
        <v>-</v>
      </c>
      <c r="CM68" s="306" t="str">
        <f>IF(AT68="-","-",VLOOKUP($A68,AMAPit!$A$10:$AY$122,CM$9,FALSE)-AT68)</f>
        <v>-</v>
      </c>
      <c r="CN68" t="e">
        <f t="shared" si="21"/>
        <v>#N/A</v>
      </c>
    </row>
    <row r="69" spans="1:92" x14ac:dyDescent="0.25">
      <c r="A69" s="305" t="s">
        <v>581</v>
      </c>
      <c r="B69" s="305" t="s">
        <v>534</v>
      </c>
      <c r="C69" s="305"/>
      <c r="D69" s="305" t="s">
        <v>81</v>
      </c>
      <c r="E69" t="s">
        <v>87</v>
      </c>
      <c r="F69" t="s">
        <v>417</v>
      </c>
      <c r="G69" s="305" t="s">
        <v>401</v>
      </c>
      <c r="H69" t="s">
        <v>802</v>
      </c>
      <c r="I69" t="s">
        <v>277</v>
      </c>
      <c r="J69">
        <v>21</v>
      </c>
      <c r="K69" t="s">
        <v>83</v>
      </c>
      <c r="L69" s="212" t="s">
        <v>83</v>
      </c>
      <c r="M69" t="s">
        <v>816</v>
      </c>
      <c r="N69" t="s">
        <v>816</v>
      </c>
      <c r="O69" t="s">
        <v>200</v>
      </c>
      <c r="P69" s="212" t="s">
        <v>199</v>
      </c>
      <c r="Q69">
        <v>5</v>
      </c>
      <c r="R69">
        <v>1</v>
      </c>
      <c r="S69" s="212">
        <v>2</v>
      </c>
      <c r="T69">
        <v>5</v>
      </c>
      <c r="U69">
        <v>2</v>
      </c>
      <c r="V69" s="212">
        <v>2</v>
      </c>
      <c r="W69">
        <v>6</v>
      </c>
      <c r="X69">
        <v>6</v>
      </c>
      <c r="Y69">
        <v>1</v>
      </c>
      <c r="Z69">
        <v>4</v>
      </c>
      <c r="AA69">
        <v>4</v>
      </c>
      <c r="AB69">
        <v>5</v>
      </c>
      <c r="AC69" t="s">
        <v>32</v>
      </c>
      <c r="AD69" t="s">
        <v>32</v>
      </c>
      <c r="AE69" t="s">
        <v>32</v>
      </c>
      <c r="AF69" t="s">
        <v>32</v>
      </c>
      <c r="AG69" t="s">
        <v>32</v>
      </c>
      <c r="AH69" t="s">
        <v>32</v>
      </c>
      <c r="AI69">
        <v>5</v>
      </c>
      <c r="AJ69">
        <v>5</v>
      </c>
      <c r="AK69">
        <v>5</v>
      </c>
      <c r="AL69">
        <v>5</v>
      </c>
      <c r="AM69" t="s">
        <v>32</v>
      </c>
      <c r="AN69" t="s">
        <v>32</v>
      </c>
      <c r="AO69" t="s">
        <v>32</v>
      </c>
      <c r="AP69" t="s">
        <v>32</v>
      </c>
      <c r="AQ69" t="s">
        <v>32</v>
      </c>
      <c r="AR69" t="s">
        <v>32</v>
      </c>
      <c r="AS69" t="s">
        <v>32</v>
      </c>
      <c r="AT69" s="212" t="s">
        <v>32</v>
      </c>
      <c r="AU69" t="s">
        <v>333</v>
      </c>
      <c r="AV69">
        <v>8</v>
      </c>
      <c r="AW69" s="11" t="s">
        <v>40</v>
      </c>
      <c r="AX69" s="78" t="s">
        <v>32</v>
      </c>
      <c r="AY69" s="212">
        <v>0</v>
      </c>
      <c r="AZ69" s="372" t="s">
        <v>529</v>
      </c>
      <c r="BA69" s="6">
        <f t="shared" si="12"/>
        <v>3.6666666666666665</v>
      </c>
      <c r="BB69" s="9" t="str">
        <f t="shared" si="13"/>
        <v>Minors</v>
      </c>
      <c r="BC69" s="9">
        <f t="shared" si="14"/>
        <v>4</v>
      </c>
      <c r="BD69" s="9" t="str">
        <f t="shared" si="15"/>
        <v>Minors</v>
      </c>
      <c r="BE69" s="9">
        <f t="shared" si="16"/>
        <v>4</v>
      </c>
      <c r="BF69" s="9" t="str">
        <f t="shared" si="17"/>
        <v>Minors</v>
      </c>
      <c r="BG69" s="77">
        <f t="shared" si="18"/>
        <v>5</v>
      </c>
      <c r="BH69" s="76">
        <f t="shared" si="19"/>
        <v>1</v>
      </c>
      <c r="BI69" t="str">
        <f t="shared" si="20"/>
        <v/>
      </c>
      <c r="BJ69" s="306" t="e">
        <f>IF(Q69="-","-",VLOOKUP($A69,AMAPit!$A$10:$AY$122,BJ$9,FALSE)-Q69)</f>
        <v>#N/A</v>
      </c>
      <c r="BK69" s="306" t="e">
        <f>IF(R69="-","-",VLOOKUP($A69,AMAPit!$A$10:$AY$122,BK$9,FALSE)-R69)</f>
        <v>#N/A</v>
      </c>
      <c r="BL69" s="306" t="e">
        <f>IF(S69="-","-",VLOOKUP($A69,AMAPit!$A$10:$AY$122,BL$9,FALSE)-S69)</f>
        <v>#N/A</v>
      </c>
      <c r="BM69" s="306" t="e">
        <f>IF(T69="-","-",VLOOKUP($A69,AMAPit!$A$10:$AY$122,BM$9,FALSE)-T69)</f>
        <v>#N/A</v>
      </c>
      <c r="BN69" s="306" t="e">
        <f>IF(U69="-","-",VLOOKUP($A69,AMAPit!$A$10:$AY$122,BN$9,FALSE)-U69)</f>
        <v>#N/A</v>
      </c>
      <c r="BO69" s="306" t="e">
        <f>IF(V69="-","-",VLOOKUP($A69,AMAPit!$A$10:$AY$122,BO$9,FALSE)-V69)</f>
        <v>#N/A</v>
      </c>
      <c r="BP69" s="306" t="e">
        <f>IF(W69="-","-",VLOOKUP($A69,AMAPit!$A$10:$AY$122,BP$9,FALSE)-W69)</f>
        <v>#N/A</v>
      </c>
      <c r="BQ69" s="306" t="e">
        <f>IF(X69="-","-",VLOOKUP($A69,AMAPit!$A$10:$AY$122,BQ$9,FALSE)-X69)</f>
        <v>#N/A</v>
      </c>
      <c r="BR69" s="306" t="e">
        <f>IF(Y69="-","-",VLOOKUP($A69,AMAPit!$A$10:$AY$122,BR$9,FALSE)-Y69)</f>
        <v>#N/A</v>
      </c>
      <c r="BS69" s="306" t="e">
        <f>IF(Z69="-","-",VLOOKUP($A69,AMAPit!$A$10:$AY$122,BS$9,FALSE)-Z69)</f>
        <v>#N/A</v>
      </c>
      <c r="BT69" s="306" t="e">
        <f>IF(AA69="-","-",VLOOKUP($A69,AMAPit!$A$10:$AY$122,BT$9,FALSE)-AA69)</f>
        <v>#N/A</v>
      </c>
      <c r="BU69" s="306" t="e">
        <f>IF(AB69="-","-",VLOOKUP($A69,AMAPit!$A$10:$AY$122,BU$9,FALSE)-AB69)</f>
        <v>#N/A</v>
      </c>
      <c r="BV69" s="306" t="str">
        <f>IF(AC69="-","-",VLOOKUP($A69,AMAPit!$A$10:$AY$122,BV$9,FALSE)-AC69)</f>
        <v>-</v>
      </c>
      <c r="BW69" s="306" t="str">
        <f>IF(AD69="-","-",VLOOKUP($A69,AMAPit!$A$10:$AY$122,BW$9,FALSE)-AD69)</f>
        <v>-</v>
      </c>
      <c r="BX69" s="306" t="str">
        <f>IF(AE69="-","-",VLOOKUP($A69,AMAPit!$A$10:$AY$122,BX$9,FALSE)-AE69)</f>
        <v>-</v>
      </c>
      <c r="BY69" s="306" t="str">
        <f>IF(AF69="-","-",VLOOKUP($A69,AMAPit!$A$10:$AY$122,BY$9,FALSE)-AF69)</f>
        <v>-</v>
      </c>
      <c r="BZ69" s="306" t="str">
        <f>IF(AG69="-","-",VLOOKUP($A69,AMAPit!$A$10:$AY$122,BZ$9,FALSE)-AG69)</f>
        <v>-</v>
      </c>
      <c r="CA69" s="306" t="str">
        <f>IF(AH69="-","-",VLOOKUP($A69,AMAPit!$A$10:$AY$122,CA$9,FALSE)-AH69)</f>
        <v>-</v>
      </c>
      <c r="CB69" s="306" t="e">
        <f>IF(AI69="-","-",VLOOKUP($A69,AMAPit!$A$10:$AY$122,CB$9,FALSE)-AI69)</f>
        <v>#N/A</v>
      </c>
      <c r="CC69" s="306" t="e">
        <f>IF(AJ69="-","-",VLOOKUP($A69,AMAPit!$A$10:$AY$122,CC$9,FALSE)-AJ69)</f>
        <v>#N/A</v>
      </c>
      <c r="CD69" s="306" t="e">
        <f>IF(AK69="-","-",VLOOKUP($A69,AMAPit!$A$10:$AY$122,CD$9,FALSE)-AK69)</f>
        <v>#N/A</v>
      </c>
      <c r="CE69" s="306" t="e">
        <f>IF(AL69="-","-",VLOOKUP($A69,AMAPit!$A$10:$AY$122,CE$9,FALSE)-AL69)</f>
        <v>#N/A</v>
      </c>
      <c r="CF69" s="306" t="str">
        <f>IF(AM69="-","-",VLOOKUP($A69,AMAPit!$A$10:$AY$122,CF$9,FALSE)-AM69)</f>
        <v>-</v>
      </c>
      <c r="CG69" s="306" t="str">
        <f>IF(AN69="-","-",VLOOKUP($A69,AMAPit!$A$10:$AY$122,CG$9,FALSE)-AN69)</f>
        <v>-</v>
      </c>
      <c r="CH69" s="306" t="str">
        <f>IF(AO69="-","-",VLOOKUP($A69,AMAPit!$A$10:$AY$122,CH$9,FALSE)-AO69)</f>
        <v>-</v>
      </c>
      <c r="CI69" s="306" t="str">
        <f>IF(AP69="-","-",VLOOKUP($A69,AMAPit!$A$10:$AY$122,CI$9,FALSE)-AP69)</f>
        <v>-</v>
      </c>
      <c r="CJ69" s="306" t="str">
        <f>IF(AQ69="-","-",VLOOKUP($A69,AMAPit!$A$10:$AY$122,CJ$9,FALSE)-AQ69)</f>
        <v>-</v>
      </c>
      <c r="CK69" s="306" t="str">
        <f>IF(AR69="-","-",VLOOKUP($A69,AMAPit!$A$10:$AY$122,CK$9,FALSE)-AR69)</f>
        <v>-</v>
      </c>
      <c r="CL69" s="306" t="str">
        <f>IF(AS69="-","-",VLOOKUP($A69,AMAPit!$A$10:$AY$122,CL$9,FALSE)-AS69)</f>
        <v>-</v>
      </c>
      <c r="CM69" s="306" t="str">
        <f>IF(AT69="-","-",VLOOKUP($A69,AMAPit!$A$10:$AY$122,CM$9,FALSE)-AT69)</f>
        <v>-</v>
      </c>
      <c r="CN69" t="e">
        <f t="shared" si="21"/>
        <v>#N/A</v>
      </c>
    </row>
    <row r="70" spans="1:92" x14ac:dyDescent="0.25">
      <c r="A70" s="305" t="s">
        <v>582</v>
      </c>
      <c r="B70" s="305" t="s">
        <v>534</v>
      </c>
      <c r="C70" s="305"/>
      <c r="D70" s="305" t="s">
        <v>72</v>
      </c>
      <c r="E70" t="s">
        <v>87</v>
      </c>
      <c r="F70" t="s">
        <v>1007</v>
      </c>
      <c r="G70" s="305" t="s">
        <v>1008</v>
      </c>
      <c r="H70" t="s">
        <v>802</v>
      </c>
      <c r="I70" t="s">
        <v>277</v>
      </c>
      <c r="J70">
        <v>22</v>
      </c>
      <c r="K70" t="s">
        <v>83</v>
      </c>
      <c r="L70" s="212" t="s">
        <v>83</v>
      </c>
      <c r="M70" t="s">
        <v>816</v>
      </c>
      <c r="N70" t="s">
        <v>764</v>
      </c>
      <c r="O70" t="s">
        <v>200</v>
      </c>
      <c r="P70" s="212" t="s">
        <v>199</v>
      </c>
      <c r="Q70">
        <v>4</v>
      </c>
      <c r="R70">
        <v>3</v>
      </c>
      <c r="S70" s="212">
        <v>2</v>
      </c>
      <c r="T70">
        <v>6</v>
      </c>
      <c r="U70">
        <v>5</v>
      </c>
      <c r="V70" s="212">
        <v>5</v>
      </c>
      <c r="W70">
        <v>7</v>
      </c>
      <c r="X70">
        <v>8</v>
      </c>
      <c r="Y70">
        <v>6</v>
      </c>
      <c r="Z70">
        <v>7</v>
      </c>
      <c r="AA70" t="s">
        <v>32</v>
      </c>
      <c r="AB70" t="s">
        <v>32</v>
      </c>
      <c r="AC70">
        <v>4</v>
      </c>
      <c r="AD70">
        <v>7</v>
      </c>
      <c r="AE70" t="s">
        <v>32</v>
      </c>
      <c r="AF70" t="s">
        <v>32</v>
      </c>
      <c r="AG70" t="s">
        <v>32</v>
      </c>
      <c r="AH70" t="s">
        <v>32</v>
      </c>
      <c r="AI70" t="s">
        <v>32</v>
      </c>
      <c r="AJ70" t="s">
        <v>32</v>
      </c>
      <c r="AK70" t="s">
        <v>32</v>
      </c>
      <c r="AL70" t="s">
        <v>32</v>
      </c>
      <c r="AM70" t="s">
        <v>32</v>
      </c>
      <c r="AN70" t="s">
        <v>32</v>
      </c>
      <c r="AO70" t="s">
        <v>32</v>
      </c>
      <c r="AP70" t="s">
        <v>32</v>
      </c>
      <c r="AQ70" t="s">
        <v>32</v>
      </c>
      <c r="AR70" t="s">
        <v>32</v>
      </c>
      <c r="AS70" t="s">
        <v>32</v>
      </c>
      <c r="AT70" s="212" t="s">
        <v>32</v>
      </c>
      <c r="AU70" t="s">
        <v>7</v>
      </c>
      <c r="AV70">
        <v>6</v>
      </c>
      <c r="AW70" s="11" t="s">
        <v>393</v>
      </c>
      <c r="AX70" s="78" t="s">
        <v>32</v>
      </c>
      <c r="AY70" s="212" t="s">
        <v>33</v>
      </c>
      <c r="AZ70" s="372" t="s">
        <v>199</v>
      </c>
      <c r="BA70" s="6">
        <f t="shared" si="12"/>
        <v>3.5</v>
      </c>
      <c r="BB70" s="9" t="str">
        <f t="shared" si="13"/>
        <v>Minors</v>
      </c>
      <c r="BC70" s="9">
        <f t="shared" si="14"/>
        <v>5.833333333333333</v>
      </c>
      <c r="BD70" s="9" t="str">
        <f t="shared" si="15"/>
        <v>Reg</v>
      </c>
      <c r="BE70" s="9">
        <f t="shared" si="16"/>
        <v>5.833333333333333</v>
      </c>
      <c r="BF70" s="9" t="str">
        <f t="shared" si="17"/>
        <v>Reg</v>
      </c>
      <c r="BG70" s="77">
        <f t="shared" si="18"/>
        <v>3</v>
      </c>
      <c r="BH70" s="76">
        <f t="shared" si="19"/>
        <v>2.5</v>
      </c>
      <c r="BI70" t="str">
        <f t="shared" si="20"/>
        <v/>
      </c>
      <c r="BJ70" s="306" t="e">
        <f>IF(Q70="-","-",VLOOKUP($A70,AMAPit!$A$10:$AY$122,BJ$9,FALSE)-Q70)</f>
        <v>#N/A</v>
      </c>
      <c r="BK70" s="306" t="e">
        <f>IF(R70="-","-",VLOOKUP($A70,AMAPit!$A$10:$AY$122,BK$9,FALSE)-R70)</f>
        <v>#N/A</v>
      </c>
      <c r="BL70" s="306" t="e">
        <f>IF(S70="-","-",VLOOKUP($A70,AMAPit!$A$10:$AY$122,BL$9,FALSE)-S70)</f>
        <v>#N/A</v>
      </c>
      <c r="BM70" s="306" t="e">
        <f>IF(T70="-","-",VLOOKUP($A70,AMAPit!$A$10:$AY$122,BM$9,FALSE)-T70)</f>
        <v>#N/A</v>
      </c>
      <c r="BN70" s="306" t="e">
        <f>IF(U70="-","-",VLOOKUP($A70,AMAPit!$A$10:$AY$122,BN$9,FALSE)-U70)</f>
        <v>#N/A</v>
      </c>
      <c r="BO70" s="306" t="e">
        <f>IF(V70="-","-",VLOOKUP($A70,AMAPit!$A$10:$AY$122,BO$9,FALSE)-V70)</f>
        <v>#N/A</v>
      </c>
      <c r="BP70" s="306" t="e">
        <f>IF(W70="-","-",VLOOKUP($A70,AMAPit!$A$10:$AY$122,BP$9,FALSE)-W70)</f>
        <v>#N/A</v>
      </c>
      <c r="BQ70" s="306" t="e">
        <f>IF(X70="-","-",VLOOKUP($A70,AMAPit!$A$10:$AY$122,BQ$9,FALSE)-X70)</f>
        <v>#N/A</v>
      </c>
      <c r="BR70" s="306" t="e">
        <f>IF(Y70="-","-",VLOOKUP($A70,AMAPit!$A$10:$AY$122,BR$9,FALSE)-Y70)</f>
        <v>#N/A</v>
      </c>
      <c r="BS70" s="306" t="e">
        <f>IF(Z70="-","-",VLOOKUP($A70,AMAPit!$A$10:$AY$122,BS$9,FALSE)-Z70)</f>
        <v>#N/A</v>
      </c>
      <c r="BT70" s="306" t="str">
        <f>IF(AA70="-","-",VLOOKUP($A70,AMAPit!$A$10:$AY$122,BT$9,FALSE)-AA70)</f>
        <v>-</v>
      </c>
      <c r="BU70" s="306" t="str">
        <f>IF(AB70="-","-",VLOOKUP($A70,AMAPit!$A$10:$AY$122,BU$9,FALSE)-AB70)</f>
        <v>-</v>
      </c>
      <c r="BV70" s="306" t="e">
        <f>IF(AC70="-","-",VLOOKUP($A70,AMAPit!$A$10:$AY$122,BV$9,FALSE)-AC70)</f>
        <v>#N/A</v>
      </c>
      <c r="BW70" s="306" t="e">
        <f>IF(AD70="-","-",VLOOKUP($A70,AMAPit!$A$10:$AY$122,BW$9,FALSE)-AD70)</f>
        <v>#N/A</v>
      </c>
      <c r="BX70" s="306" t="str">
        <f>IF(AE70="-","-",VLOOKUP($A70,AMAPit!$A$10:$AY$122,BX$9,FALSE)-AE70)</f>
        <v>-</v>
      </c>
      <c r="BY70" s="306" t="str">
        <f>IF(AF70="-","-",VLOOKUP($A70,AMAPit!$A$10:$AY$122,BY$9,FALSE)-AF70)</f>
        <v>-</v>
      </c>
      <c r="BZ70" s="306" t="str">
        <f>IF(AG70="-","-",VLOOKUP($A70,AMAPit!$A$10:$AY$122,BZ$9,FALSE)-AG70)</f>
        <v>-</v>
      </c>
      <c r="CA70" s="306" t="str">
        <f>IF(AH70="-","-",VLOOKUP($A70,AMAPit!$A$10:$AY$122,CA$9,FALSE)-AH70)</f>
        <v>-</v>
      </c>
      <c r="CB70" s="306" t="str">
        <f>IF(AI70="-","-",VLOOKUP($A70,AMAPit!$A$10:$AY$122,CB$9,FALSE)-AI70)</f>
        <v>-</v>
      </c>
      <c r="CC70" s="306" t="str">
        <f>IF(AJ70="-","-",VLOOKUP($A70,AMAPit!$A$10:$AY$122,CC$9,FALSE)-AJ70)</f>
        <v>-</v>
      </c>
      <c r="CD70" s="306" t="str">
        <f>IF(AK70="-","-",VLOOKUP($A70,AMAPit!$A$10:$AY$122,CD$9,FALSE)-AK70)</f>
        <v>-</v>
      </c>
      <c r="CE70" s="306" t="str">
        <f>IF(AL70="-","-",VLOOKUP($A70,AMAPit!$A$10:$AY$122,CE$9,FALSE)-AL70)</f>
        <v>-</v>
      </c>
      <c r="CF70" s="306" t="str">
        <f>IF(AM70="-","-",VLOOKUP($A70,AMAPit!$A$10:$AY$122,CF$9,FALSE)-AM70)</f>
        <v>-</v>
      </c>
      <c r="CG70" s="306" t="str">
        <f>IF(AN70="-","-",VLOOKUP($A70,AMAPit!$A$10:$AY$122,CG$9,FALSE)-AN70)</f>
        <v>-</v>
      </c>
      <c r="CH70" s="306" t="str">
        <f>IF(AO70="-","-",VLOOKUP($A70,AMAPit!$A$10:$AY$122,CH$9,FALSE)-AO70)</f>
        <v>-</v>
      </c>
      <c r="CI70" s="306" t="str">
        <f>IF(AP70="-","-",VLOOKUP($A70,AMAPit!$A$10:$AY$122,CI$9,FALSE)-AP70)</f>
        <v>-</v>
      </c>
      <c r="CJ70" s="306" t="str">
        <f>IF(AQ70="-","-",VLOOKUP($A70,AMAPit!$A$10:$AY$122,CJ$9,FALSE)-AQ70)</f>
        <v>-</v>
      </c>
      <c r="CK70" s="306" t="str">
        <f>IF(AR70="-","-",VLOOKUP($A70,AMAPit!$A$10:$AY$122,CK$9,FALSE)-AR70)</f>
        <v>-</v>
      </c>
      <c r="CL70" s="306" t="str">
        <f>IF(AS70="-","-",VLOOKUP($A70,AMAPit!$A$10:$AY$122,CL$9,FALSE)-AS70)</f>
        <v>-</v>
      </c>
      <c r="CM70" s="306" t="str">
        <f>IF(AT70="-","-",VLOOKUP($A70,AMAPit!$A$10:$AY$122,CM$9,FALSE)-AT70)</f>
        <v>-</v>
      </c>
      <c r="CN70" t="e">
        <f t="shared" si="21"/>
        <v>#N/A</v>
      </c>
    </row>
    <row r="71" spans="1:92" x14ac:dyDescent="0.25">
      <c r="A71" s="305" t="s">
        <v>583</v>
      </c>
      <c r="B71" s="305" t="s">
        <v>534</v>
      </c>
      <c r="C71" s="305"/>
      <c r="D71" s="305" t="s">
        <v>81</v>
      </c>
      <c r="E71" t="s">
        <v>87</v>
      </c>
      <c r="F71" t="s">
        <v>403</v>
      </c>
      <c r="G71" s="305" t="s">
        <v>871</v>
      </c>
      <c r="H71" t="s">
        <v>810</v>
      </c>
      <c r="I71" t="s">
        <v>83</v>
      </c>
      <c r="J71" s="3">
        <v>20</v>
      </c>
      <c r="K71" t="s">
        <v>83</v>
      </c>
      <c r="L71" t="s">
        <v>83</v>
      </c>
      <c r="M71" t="s">
        <v>816</v>
      </c>
      <c r="N71" s="3" t="s">
        <v>808</v>
      </c>
      <c r="O71" t="s">
        <v>200</v>
      </c>
      <c r="P71" t="s">
        <v>200</v>
      </c>
      <c r="Q71" s="3">
        <v>3</v>
      </c>
      <c r="R71">
        <v>4</v>
      </c>
      <c r="S71">
        <v>2</v>
      </c>
      <c r="T71" s="3">
        <v>4</v>
      </c>
      <c r="U71">
        <v>5</v>
      </c>
      <c r="V71">
        <v>2</v>
      </c>
      <c r="W71">
        <v>6</v>
      </c>
      <c r="X71">
        <v>7</v>
      </c>
      <c r="Y71" t="s">
        <v>32</v>
      </c>
      <c r="Z71" t="s">
        <v>32</v>
      </c>
      <c r="AA71">
        <v>3</v>
      </c>
      <c r="AB71">
        <v>6</v>
      </c>
      <c r="AC71" t="s">
        <v>32</v>
      </c>
      <c r="AD71" t="s">
        <v>32</v>
      </c>
      <c r="AE71" t="s">
        <v>32</v>
      </c>
      <c r="AF71" t="s">
        <v>32</v>
      </c>
      <c r="AG71">
        <v>5</v>
      </c>
      <c r="AH71">
        <v>6</v>
      </c>
      <c r="AI71" t="s">
        <v>32</v>
      </c>
      <c r="AJ71" t="s">
        <v>32</v>
      </c>
      <c r="AK71" t="s">
        <v>32</v>
      </c>
      <c r="AL71" t="s">
        <v>32</v>
      </c>
      <c r="AM71" t="s">
        <v>32</v>
      </c>
      <c r="AN71" t="s">
        <v>32</v>
      </c>
      <c r="AO71" t="s">
        <v>32</v>
      </c>
      <c r="AP71" t="s">
        <v>32</v>
      </c>
      <c r="AQ71" t="s">
        <v>32</v>
      </c>
      <c r="AR71" s="3" t="s">
        <v>32</v>
      </c>
      <c r="AS71" t="s">
        <v>32</v>
      </c>
      <c r="AT71" t="s">
        <v>32</v>
      </c>
      <c r="AU71" s="3" t="s">
        <v>8</v>
      </c>
      <c r="AV71">
        <v>8</v>
      </c>
      <c r="AW71" s="3" t="s">
        <v>394</v>
      </c>
      <c r="AX71" t="s">
        <v>32</v>
      </c>
      <c r="AY71" s="5" t="s">
        <v>33</v>
      </c>
      <c r="AZ71" s="372" t="s">
        <v>199</v>
      </c>
      <c r="BA71" s="6">
        <f t="shared" ref="BA71:BA72" si="22">AVERAGE(Q71:S71)+0.25*MAX(0,(COUNT(W71,Y71,AA71,AC71,AE71,AG71,AI71,AK71,AM71,AO71,AQ71,AS71)-3))+IF(AW71&gt;0.55,0.25,0)+IF(MAX(W71,Y71,AA71,AC71,AE71,AG71,AI71,AK71,AM71,AO71,AQ71,AS71)&gt;5,0.25,0)</f>
        <v>3.5</v>
      </c>
      <c r="BB71" s="9" t="str">
        <f t="shared" ref="BB71:BB72" si="23">IF(BA71&gt;9,"SuperStar",IF(BA71&gt;8,"Star",IF(BA71&gt;6.5,"GoodReg",IF(BA71&gt;5,"Reg",IF(BA71&gt;4,"Bench","Minors")))))</f>
        <v>Minors</v>
      </c>
      <c r="BC71" s="9">
        <f t="shared" ref="BC71:BC72" si="24">AVERAGE(T71:V71)+0.25*MAX(0,(COUNT(X71,Z71,AB71,AD71,AF71,AH71,AJ71,AL71,AN71,AP71,AR71,AT71)-3))+IF(AW71&gt;0.55,0.25,0)+IF(MAX(X71,Z71,AB71,AD71,AF71,AH71,AJ71,AL71,AN71,AP71,AR71,AT71)&gt;5,0.25,0)</f>
        <v>4.1666666666666661</v>
      </c>
      <c r="BD71" s="9" t="str">
        <f t="shared" ref="BD71:BD72" si="25">IF(BC71&gt;9,"SuperStar",IF(BC71&gt;8,"Star",IF(BC71&gt;6.5,"GoodReg",IF(BC71&gt;5,"Reg",IF(BC71&gt;4,"Bench","Minors")))))</f>
        <v>Bench</v>
      </c>
      <c r="BE71" s="9">
        <f t="shared" ref="BE71:BE72" si="26">MIN(BA71+(MAX(0,25-U71))^1.5,BC71)</f>
        <v>4.1666666666666661</v>
      </c>
      <c r="BF71" s="9" t="str">
        <f t="shared" ref="BF71:BF72" si="27">IF(BE71&gt;9,"SuperStar",IF(BE71&gt;8,"Star",IF(BE71&gt;6.5,"GoodReg",IF(BE71&gt;5,"Reg",IF(BE71&gt;4,"Bench","Minors")))))</f>
        <v>Bench</v>
      </c>
      <c r="BG71" s="77">
        <f t="shared" ref="BG71:BG72" si="28">COUNT(W71:AT71)/2</f>
        <v>3</v>
      </c>
      <c r="BH71" s="76">
        <f t="shared" ref="BH71:BH72" si="29">COUNTIF(W71:AT71,"&gt;5")/2</f>
        <v>2</v>
      </c>
      <c r="BI71" t="str">
        <f t="shared" ref="BI71:BI72" si="30">IF(AY71=1,"Yes","")</f>
        <v/>
      </c>
      <c r="BJ71" s="306" t="e">
        <f>IF(Q71="-","-",VLOOKUP($A71,AMAPit!$A$10:$AY$122,BJ$9,FALSE)-Q71)</f>
        <v>#N/A</v>
      </c>
      <c r="BK71" s="306" t="e">
        <f>IF(R71="-","-",VLOOKUP($A71,AMAPit!$A$10:$AY$122,BK$9,FALSE)-R71)</f>
        <v>#N/A</v>
      </c>
      <c r="BL71" s="306" t="e">
        <f>IF(S71="-","-",VLOOKUP($A71,AMAPit!$A$10:$AY$122,BL$9,FALSE)-S71)</f>
        <v>#N/A</v>
      </c>
      <c r="BM71" s="306" t="e">
        <f>IF(T71="-","-",VLOOKUP($A71,AMAPit!$A$10:$AY$122,BM$9,FALSE)-T71)</f>
        <v>#N/A</v>
      </c>
      <c r="BN71" s="306" t="e">
        <f>IF(U71="-","-",VLOOKUP($A71,AMAPit!$A$10:$AY$122,BN$9,FALSE)-U71)</f>
        <v>#N/A</v>
      </c>
      <c r="BO71" s="306" t="e">
        <f>IF(V71="-","-",VLOOKUP($A71,AMAPit!$A$10:$AY$122,BO$9,FALSE)-V71)</f>
        <v>#N/A</v>
      </c>
      <c r="BP71" s="306" t="e">
        <f>IF(W71="-","-",VLOOKUP($A71,AMAPit!$A$10:$AY$122,BP$9,FALSE)-W71)</f>
        <v>#N/A</v>
      </c>
      <c r="BQ71" s="306" t="e">
        <f>IF(X71="-","-",VLOOKUP($A71,AMAPit!$A$10:$AY$122,BQ$9,FALSE)-X71)</f>
        <v>#N/A</v>
      </c>
      <c r="BR71" s="306" t="str">
        <f>IF(Y71="-","-",VLOOKUP($A71,AMAPit!$A$10:$AY$122,BR$9,FALSE)-Y71)</f>
        <v>-</v>
      </c>
      <c r="BS71" s="306" t="str">
        <f>IF(Z71="-","-",VLOOKUP($A71,AMAPit!$A$10:$AY$122,BS$9,FALSE)-Z71)</f>
        <v>-</v>
      </c>
      <c r="BT71" s="306" t="e">
        <f>IF(AA71="-","-",VLOOKUP($A71,AMAPit!$A$10:$AY$122,BT$9,FALSE)-AA71)</f>
        <v>#N/A</v>
      </c>
      <c r="BU71" s="306" t="e">
        <f>IF(AB71="-","-",VLOOKUP($A71,AMAPit!$A$10:$AY$122,BU$9,FALSE)-AB71)</f>
        <v>#N/A</v>
      </c>
      <c r="BV71" s="306" t="str">
        <f>IF(AC71="-","-",VLOOKUP($A71,AMAPit!$A$10:$AY$122,BV$9,FALSE)-AC71)</f>
        <v>-</v>
      </c>
      <c r="BW71" s="306" t="str">
        <f>IF(AD71="-","-",VLOOKUP($A71,AMAPit!$A$10:$AY$122,BW$9,FALSE)-AD71)</f>
        <v>-</v>
      </c>
      <c r="BX71" s="306" t="str">
        <f>IF(AE71="-","-",VLOOKUP($A71,AMAPit!$A$10:$AY$122,BX$9,FALSE)-AE71)</f>
        <v>-</v>
      </c>
      <c r="BY71" s="306" t="str">
        <f>IF(AF71="-","-",VLOOKUP($A71,AMAPit!$A$10:$AY$122,BY$9,FALSE)-AF71)</f>
        <v>-</v>
      </c>
      <c r="BZ71" s="306" t="e">
        <f>IF(AG71="-","-",VLOOKUP($A71,AMAPit!$A$10:$AY$122,BZ$9,FALSE)-AG71)</f>
        <v>#N/A</v>
      </c>
      <c r="CA71" s="306" t="e">
        <f>IF(AH71="-","-",VLOOKUP($A71,AMAPit!$A$10:$AY$122,CA$9,FALSE)-AH71)</f>
        <v>#N/A</v>
      </c>
      <c r="CB71" s="306" t="str">
        <f>IF(AI71="-","-",VLOOKUP($A71,AMAPit!$A$10:$AY$122,CB$9,FALSE)-AI71)</f>
        <v>-</v>
      </c>
      <c r="CC71" s="306" t="str">
        <f>IF(AJ71="-","-",VLOOKUP($A71,AMAPit!$A$10:$AY$122,CC$9,FALSE)-AJ71)</f>
        <v>-</v>
      </c>
      <c r="CD71" s="306" t="str">
        <f>IF(AK71="-","-",VLOOKUP($A71,AMAPit!$A$10:$AY$122,CD$9,FALSE)-AK71)</f>
        <v>-</v>
      </c>
      <c r="CE71" s="306" t="str">
        <f>IF(AL71="-","-",VLOOKUP($A71,AMAPit!$A$10:$AY$122,CE$9,FALSE)-AL71)</f>
        <v>-</v>
      </c>
      <c r="CF71" s="306" t="str">
        <f>IF(AM71="-","-",VLOOKUP($A71,AMAPit!$A$10:$AY$122,CF$9,FALSE)-AM71)</f>
        <v>-</v>
      </c>
      <c r="CG71" s="306" t="str">
        <f>IF(AN71="-","-",VLOOKUP($A71,AMAPit!$A$10:$AY$122,CG$9,FALSE)-AN71)</f>
        <v>-</v>
      </c>
      <c r="CH71" s="306" t="str">
        <f>IF(AO71="-","-",VLOOKUP($A71,AMAPit!$A$10:$AY$122,CH$9,FALSE)-AO71)</f>
        <v>-</v>
      </c>
      <c r="CI71" s="306" t="str">
        <f>IF(AP71="-","-",VLOOKUP($A71,AMAPit!$A$10:$AY$122,CI$9,FALSE)-AP71)</f>
        <v>-</v>
      </c>
      <c r="CJ71" s="306" t="str">
        <f>IF(AQ71="-","-",VLOOKUP($A71,AMAPit!$A$10:$AY$122,CJ$9,FALSE)-AQ71)</f>
        <v>-</v>
      </c>
      <c r="CK71" s="306" t="str">
        <f>IF(AR71="-","-",VLOOKUP($A71,AMAPit!$A$10:$AY$122,CK$9,FALSE)-AR71)</f>
        <v>-</v>
      </c>
      <c r="CL71" s="306" t="str">
        <f>IF(AS71="-","-",VLOOKUP($A71,AMAPit!$A$10:$AY$122,CL$9,FALSE)-AS71)</f>
        <v>-</v>
      </c>
      <c r="CM71" s="306" t="str">
        <f>IF(AT71="-","-",VLOOKUP($A71,AMAPit!$A$10:$AY$122,CM$9,FALSE)-AT71)</f>
        <v>-</v>
      </c>
      <c r="CN71" t="e">
        <f t="shared" ref="CN71:CN72" si="31">SUM(BJ71:CM71)</f>
        <v>#N/A</v>
      </c>
    </row>
    <row r="72" spans="1:92" x14ac:dyDescent="0.25">
      <c r="A72" s="305" t="s">
        <v>584</v>
      </c>
      <c r="B72" s="305" t="s">
        <v>534</v>
      </c>
      <c r="C72" s="305"/>
      <c r="D72" s="305" t="s">
        <v>81</v>
      </c>
      <c r="E72" t="s">
        <v>87</v>
      </c>
      <c r="F72" t="s">
        <v>723</v>
      </c>
      <c r="G72" s="305" t="s">
        <v>467</v>
      </c>
      <c r="H72" t="s">
        <v>769</v>
      </c>
      <c r="I72" t="s">
        <v>186</v>
      </c>
      <c r="J72" s="3">
        <v>24</v>
      </c>
      <c r="K72" t="s">
        <v>83</v>
      </c>
      <c r="L72" t="s">
        <v>82</v>
      </c>
      <c r="M72" t="s">
        <v>816</v>
      </c>
      <c r="N72" s="3" t="s">
        <v>816</v>
      </c>
      <c r="O72" t="s">
        <v>200</v>
      </c>
      <c r="P72" t="s">
        <v>200</v>
      </c>
      <c r="Q72" s="3">
        <v>4</v>
      </c>
      <c r="R72">
        <v>2</v>
      </c>
      <c r="S72">
        <v>3</v>
      </c>
      <c r="T72" s="3">
        <v>4</v>
      </c>
      <c r="U72">
        <v>3</v>
      </c>
      <c r="V72">
        <v>3</v>
      </c>
      <c r="W72">
        <v>7</v>
      </c>
      <c r="X72">
        <v>8</v>
      </c>
      <c r="Y72">
        <v>1</v>
      </c>
      <c r="Z72">
        <v>1</v>
      </c>
      <c r="AA72" t="s">
        <v>32</v>
      </c>
      <c r="AB72" t="s">
        <v>32</v>
      </c>
      <c r="AC72">
        <v>6</v>
      </c>
      <c r="AD72">
        <v>7</v>
      </c>
      <c r="AE72" t="s">
        <v>32</v>
      </c>
      <c r="AF72" t="s">
        <v>32</v>
      </c>
      <c r="AG72" t="s">
        <v>32</v>
      </c>
      <c r="AH72" t="s">
        <v>32</v>
      </c>
      <c r="AI72" t="s">
        <v>32</v>
      </c>
      <c r="AJ72" t="s">
        <v>32</v>
      </c>
      <c r="AK72" t="s">
        <v>32</v>
      </c>
      <c r="AL72" t="s">
        <v>32</v>
      </c>
      <c r="AM72" t="s">
        <v>32</v>
      </c>
      <c r="AN72" t="s">
        <v>32</v>
      </c>
      <c r="AO72" t="s">
        <v>32</v>
      </c>
      <c r="AP72" t="s">
        <v>32</v>
      </c>
      <c r="AQ72" t="s">
        <v>32</v>
      </c>
      <c r="AR72" s="3" t="s">
        <v>32</v>
      </c>
      <c r="AS72" t="s">
        <v>32</v>
      </c>
      <c r="AT72" t="s">
        <v>32</v>
      </c>
      <c r="AU72" s="3" t="s">
        <v>2</v>
      </c>
      <c r="AV72">
        <v>7</v>
      </c>
      <c r="AW72" s="3" t="s">
        <v>393</v>
      </c>
      <c r="AX72" t="s">
        <v>32</v>
      </c>
      <c r="AY72" s="5" t="s">
        <v>33</v>
      </c>
      <c r="AZ72" s="372" t="s">
        <v>529</v>
      </c>
      <c r="BA72" s="6">
        <f t="shared" si="22"/>
        <v>3.5</v>
      </c>
      <c r="BB72" s="9" t="str">
        <f t="shared" si="23"/>
        <v>Minors</v>
      </c>
      <c r="BC72" s="9">
        <f t="shared" si="24"/>
        <v>3.8333333333333335</v>
      </c>
      <c r="BD72" s="9" t="str">
        <f t="shared" si="25"/>
        <v>Minors</v>
      </c>
      <c r="BE72" s="9">
        <f t="shared" si="26"/>
        <v>3.8333333333333335</v>
      </c>
      <c r="BF72" s="9" t="str">
        <f t="shared" si="27"/>
        <v>Minors</v>
      </c>
      <c r="BG72" s="77">
        <f t="shared" si="28"/>
        <v>3</v>
      </c>
      <c r="BH72" s="76">
        <f t="shared" si="29"/>
        <v>2</v>
      </c>
      <c r="BI72" s="305" t="str">
        <f t="shared" si="30"/>
        <v/>
      </c>
      <c r="BJ72" s="306" t="e">
        <f>IF(Q72="-","-",VLOOKUP($A72,AMAPit!$A$10:$AY$122,BJ$9,FALSE)-Q72)</f>
        <v>#N/A</v>
      </c>
      <c r="BK72" s="306" t="e">
        <f>IF(R72="-","-",VLOOKUP($A72,AMAPit!$A$10:$AY$122,BK$9,FALSE)-R72)</f>
        <v>#N/A</v>
      </c>
      <c r="BL72" s="306" t="e">
        <f>IF(S72="-","-",VLOOKUP($A72,AMAPit!$A$10:$AY$122,BL$9,FALSE)-S72)</f>
        <v>#N/A</v>
      </c>
      <c r="BM72" s="306" t="e">
        <f>IF(T72="-","-",VLOOKUP($A72,AMAPit!$A$10:$AY$122,BM$9,FALSE)-T72)</f>
        <v>#N/A</v>
      </c>
      <c r="BN72" s="306" t="e">
        <f>IF(U72="-","-",VLOOKUP($A72,AMAPit!$A$10:$AY$122,BN$9,FALSE)-U72)</f>
        <v>#N/A</v>
      </c>
      <c r="BO72" s="306" t="e">
        <f>IF(V72="-","-",VLOOKUP($A72,AMAPit!$A$10:$AY$122,BO$9,FALSE)-V72)</f>
        <v>#N/A</v>
      </c>
      <c r="BP72" s="306" t="e">
        <f>IF(W72="-","-",VLOOKUP($A72,AMAPit!$A$10:$AY$122,BP$9,FALSE)-W72)</f>
        <v>#N/A</v>
      </c>
      <c r="BQ72" s="306" t="e">
        <f>IF(X72="-","-",VLOOKUP($A72,AMAPit!$A$10:$AY$122,BQ$9,FALSE)-X72)</f>
        <v>#N/A</v>
      </c>
      <c r="BR72" s="306" t="e">
        <f>IF(Y72="-","-",VLOOKUP($A72,AMAPit!$A$10:$AY$122,BR$9,FALSE)-Y72)</f>
        <v>#N/A</v>
      </c>
      <c r="BS72" s="306" t="e">
        <f>IF(Z72="-","-",VLOOKUP($A72,AMAPit!$A$10:$AY$122,BS$9,FALSE)-Z72)</f>
        <v>#N/A</v>
      </c>
      <c r="BT72" s="306" t="str">
        <f>IF(AA72="-","-",VLOOKUP($A72,AMAPit!$A$10:$AY$122,BT$9,FALSE)-AA72)</f>
        <v>-</v>
      </c>
      <c r="BU72" s="306" t="str">
        <f>IF(AB72="-","-",VLOOKUP($A72,AMAPit!$A$10:$AY$122,BU$9,FALSE)-AB72)</f>
        <v>-</v>
      </c>
      <c r="BV72" s="306" t="e">
        <f>IF(AC72="-","-",VLOOKUP($A72,AMAPit!$A$10:$AY$122,BV$9,FALSE)-AC72)</f>
        <v>#N/A</v>
      </c>
      <c r="BW72" s="306" t="e">
        <f>IF(AD72="-","-",VLOOKUP($A72,AMAPit!$A$10:$AY$122,BW$9,FALSE)-AD72)</f>
        <v>#N/A</v>
      </c>
      <c r="BX72" s="306" t="str">
        <f>IF(AE72="-","-",VLOOKUP($A72,AMAPit!$A$10:$AY$122,BX$9,FALSE)-AE72)</f>
        <v>-</v>
      </c>
      <c r="BY72" s="306" t="str">
        <f>IF(AF72="-","-",VLOOKUP($A72,AMAPit!$A$10:$AY$122,BY$9,FALSE)-AF72)</f>
        <v>-</v>
      </c>
      <c r="BZ72" s="306" t="str">
        <f>IF(AG72="-","-",VLOOKUP($A72,AMAPit!$A$10:$AY$122,BZ$9,FALSE)-AG72)</f>
        <v>-</v>
      </c>
      <c r="CA72" s="306" t="str">
        <f>IF(AH72="-","-",VLOOKUP($A72,AMAPit!$A$10:$AY$122,CA$9,FALSE)-AH72)</f>
        <v>-</v>
      </c>
      <c r="CB72" s="306" t="str">
        <f>IF(AI72="-","-",VLOOKUP($A72,AMAPit!$A$10:$AY$122,CB$9,FALSE)-AI72)</f>
        <v>-</v>
      </c>
      <c r="CC72" s="306" t="str">
        <f>IF(AJ72="-","-",VLOOKUP($A72,AMAPit!$A$10:$AY$122,CC$9,FALSE)-AJ72)</f>
        <v>-</v>
      </c>
      <c r="CD72" s="306" t="str">
        <f>IF(AK72="-","-",VLOOKUP($A72,AMAPit!$A$10:$AY$122,CD$9,FALSE)-AK72)</f>
        <v>-</v>
      </c>
      <c r="CE72" s="306" t="str">
        <f>IF(AL72="-","-",VLOOKUP($A72,AMAPit!$A$10:$AY$122,CE$9,FALSE)-AL72)</f>
        <v>-</v>
      </c>
      <c r="CF72" s="306" t="str">
        <f>IF(AM72="-","-",VLOOKUP($A72,AMAPit!$A$10:$AY$122,CF$9,FALSE)-AM72)</f>
        <v>-</v>
      </c>
      <c r="CG72" s="306" t="str">
        <f>IF(AN72="-","-",VLOOKUP($A72,AMAPit!$A$10:$AY$122,CG$9,FALSE)-AN72)</f>
        <v>-</v>
      </c>
      <c r="CH72" s="306" t="str">
        <f>IF(AO72="-","-",VLOOKUP($A72,AMAPit!$A$10:$AY$122,CH$9,FALSE)-AO72)</f>
        <v>-</v>
      </c>
      <c r="CI72" s="306" t="str">
        <f>IF(AP72="-","-",VLOOKUP($A72,AMAPit!$A$10:$AY$122,CI$9,FALSE)-AP72)</f>
        <v>-</v>
      </c>
      <c r="CJ72" s="306" t="str">
        <f>IF(AQ72="-","-",VLOOKUP($A72,AMAPit!$A$10:$AY$122,CJ$9,FALSE)-AQ72)</f>
        <v>-</v>
      </c>
      <c r="CK72" s="306" t="str">
        <f>IF(AR72="-","-",VLOOKUP($A72,AMAPit!$A$10:$AY$122,CK$9,FALSE)-AR72)</f>
        <v>-</v>
      </c>
      <c r="CL72" s="306" t="str">
        <f>IF(AS72="-","-",VLOOKUP($A72,AMAPit!$A$10:$AY$122,CL$9,FALSE)-AS72)</f>
        <v>-</v>
      </c>
      <c r="CM72" s="306" t="str">
        <f>IF(AT72="-","-",VLOOKUP($A72,AMAPit!$A$10:$AY$122,CM$9,FALSE)-AT72)</f>
        <v>-</v>
      </c>
      <c r="CN72" s="305" t="e">
        <f t="shared" si="31"/>
        <v>#N/A</v>
      </c>
    </row>
    <row r="73" spans="1:92" x14ac:dyDescent="0.25">
      <c r="A73" s="305" t="s">
        <v>585</v>
      </c>
      <c r="B73" s="305" t="s">
        <v>534</v>
      </c>
      <c r="C73" s="305"/>
      <c r="D73" s="305" t="s">
        <v>81</v>
      </c>
      <c r="E73" t="s">
        <v>11</v>
      </c>
      <c r="F73" t="s">
        <v>1014</v>
      </c>
      <c r="G73" s="305" t="s">
        <v>1015</v>
      </c>
      <c r="H73" t="s">
        <v>802</v>
      </c>
      <c r="I73" t="s">
        <v>277</v>
      </c>
      <c r="J73" s="3">
        <v>23</v>
      </c>
      <c r="K73" t="s">
        <v>83</v>
      </c>
      <c r="L73" t="s">
        <v>83</v>
      </c>
      <c r="M73" t="s">
        <v>816</v>
      </c>
      <c r="N73" s="3" t="s">
        <v>816</v>
      </c>
      <c r="O73" t="s">
        <v>200</v>
      </c>
      <c r="P73" t="s">
        <v>200</v>
      </c>
      <c r="Q73" s="3">
        <v>4</v>
      </c>
      <c r="R73">
        <v>2</v>
      </c>
      <c r="S73">
        <v>3</v>
      </c>
      <c r="T73" s="3">
        <v>5</v>
      </c>
      <c r="U73">
        <v>2</v>
      </c>
      <c r="V73">
        <v>3</v>
      </c>
      <c r="W73">
        <v>6</v>
      </c>
      <c r="X73">
        <v>7</v>
      </c>
      <c r="Y73">
        <v>3</v>
      </c>
      <c r="Z73">
        <v>5</v>
      </c>
      <c r="AA73" t="s">
        <v>32</v>
      </c>
      <c r="AB73" t="s">
        <v>32</v>
      </c>
      <c r="AC73">
        <v>5</v>
      </c>
      <c r="AD73">
        <v>6</v>
      </c>
      <c r="AE73" t="s">
        <v>32</v>
      </c>
      <c r="AF73" t="s">
        <v>32</v>
      </c>
      <c r="AG73" t="s">
        <v>32</v>
      </c>
      <c r="AH73" t="s">
        <v>32</v>
      </c>
      <c r="AI73" t="s">
        <v>32</v>
      </c>
      <c r="AJ73" t="s">
        <v>32</v>
      </c>
      <c r="AK73" t="s">
        <v>32</v>
      </c>
      <c r="AL73" t="s">
        <v>32</v>
      </c>
      <c r="AM73" t="s">
        <v>32</v>
      </c>
      <c r="AN73" t="s">
        <v>32</v>
      </c>
      <c r="AO73" t="s">
        <v>32</v>
      </c>
      <c r="AP73" t="s">
        <v>32</v>
      </c>
      <c r="AQ73" t="s">
        <v>32</v>
      </c>
      <c r="AR73" s="3" t="s">
        <v>32</v>
      </c>
      <c r="AS73" t="s">
        <v>32</v>
      </c>
      <c r="AT73" t="s">
        <v>32</v>
      </c>
      <c r="AU73" s="3" t="s">
        <v>6</v>
      </c>
      <c r="AV73">
        <v>5</v>
      </c>
      <c r="AW73" s="3" t="s">
        <v>393</v>
      </c>
      <c r="AX73" t="s">
        <v>32</v>
      </c>
      <c r="AY73" s="5" t="s">
        <v>33</v>
      </c>
      <c r="AZ73" s="372" t="s">
        <v>199</v>
      </c>
      <c r="BA73" s="6">
        <f t="shared" ref="BA73:BA85" si="32">AVERAGE(Q73:S73)+0.25*MAX(0,(COUNT(W73,Y73,AA73,AC73,AE73,AG73,AI73,AK73,AM73,AO73,AQ73,AS73)-3))+IF(AW73&gt;0.55,0.25,0)+IF(MAX(W73,Y73,AA73,AC73,AE73,AG73,AI73,AK73,AM73,AO73,AQ73,AS73)&gt;5,0.25,0)</f>
        <v>3.5</v>
      </c>
      <c r="BB73" s="9" t="str">
        <f t="shared" ref="BB73:BB85" si="33">IF(BA73&gt;9,"SuperStar",IF(BA73&gt;8,"Star",IF(BA73&gt;6.5,"GoodReg",IF(BA73&gt;5,"Reg",IF(BA73&gt;4,"Bench","Minors")))))</f>
        <v>Minors</v>
      </c>
      <c r="BC73" s="9">
        <f t="shared" ref="BC73:BC85" si="34">AVERAGE(T73:V73)+0.25*MAX(0,(COUNT(X73,Z73,AB73,AD73,AF73,AH73,AJ73,AL73,AN73,AP73,AR73,AT73)-3))+IF(AW73&gt;0.55,0.25,0)+IF(MAX(X73,Z73,AB73,AD73,AF73,AH73,AJ73,AL73,AN73,AP73,AR73,AT73)&gt;5,0.25,0)</f>
        <v>3.8333333333333335</v>
      </c>
      <c r="BD73" s="9" t="str">
        <f t="shared" ref="BD73:BD85" si="35">IF(BC73&gt;9,"SuperStar",IF(BC73&gt;8,"Star",IF(BC73&gt;6.5,"GoodReg",IF(BC73&gt;5,"Reg",IF(BC73&gt;4,"Bench","Minors")))))</f>
        <v>Minors</v>
      </c>
      <c r="BE73" s="9">
        <f t="shared" ref="BE73:BE85" si="36">MIN(BA73+(MAX(0,25-U73))^1.5,BC73)</f>
        <v>3.8333333333333335</v>
      </c>
      <c r="BF73" s="9" t="str">
        <f t="shared" ref="BF73:BF85" si="37">IF(BE73&gt;9,"SuperStar",IF(BE73&gt;8,"Star",IF(BE73&gt;6.5,"GoodReg",IF(BE73&gt;5,"Reg",IF(BE73&gt;4,"Bench","Minors")))))</f>
        <v>Minors</v>
      </c>
      <c r="BG73" s="77">
        <f t="shared" ref="BG73:BG85" si="38">COUNT(W73:AT73)/2</f>
        <v>3</v>
      </c>
      <c r="BH73" s="76">
        <f t="shared" ref="BH73:BH85" si="39">COUNTIF(W73:AT73,"&gt;5")/2</f>
        <v>1.5</v>
      </c>
      <c r="BI73" s="305" t="str">
        <f t="shared" ref="BI73:BI85" si="40">IF(AY73=1,"Yes","")</f>
        <v/>
      </c>
      <c r="BJ73" s="306" t="e">
        <f>IF(Q73="-","-",VLOOKUP($A73,AMAPit!$A$10:$AY$122,BJ$9,FALSE)-Q73)</f>
        <v>#N/A</v>
      </c>
      <c r="BK73" s="306" t="e">
        <f>IF(R73="-","-",VLOOKUP($A73,AMAPit!$A$10:$AY$122,BK$9,FALSE)-R73)</f>
        <v>#N/A</v>
      </c>
      <c r="BL73" s="306" t="e">
        <f>IF(S73="-","-",VLOOKUP($A73,AMAPit!$A$10:$AY$122,BL$9,FALSE)-S73)</f>
        <v>#N/A</v>
      </c>
      <c r="BM73" s="306" t="e">
        <f>IF(T73="-","-",VLOOKUP($A73,AMAPit!$A$10:$AY$122,BM$9,FALSE)-T73)</f>
        <v>#N/A</v>
      </c>
      <c r="BN73" s="306" t="e">
        <f>IF(U73="-","-",VLOOKUP($A73,AMAPit!$A$10:$AY$122,BN$9,FALSE)-U73)</f>
        <v>#N/A</v>
      </c>
      <c r="BO73" s="306" t="e">
        <f>IF(V73="-","-",VLOOKUP($A73,AMAPit!$A$10:$AY$122,BO$9,FALSE)-V73)</f>
        <v>#N/A</v>
      </c>
      <c r="BP73" s="306" t="e">
        <f>IF(W73="-","-",VLOOKUP($A73,AMAPit!$A$10:$AY$122,BP$9,FALSE)-W73)</f>
        <v>#N/A</v>
      </c>
      <c r="BQ73" s="306" t="e">
        <f>IF(X73="-","-",VLOOKUP($A73,AMAPit!$A$10:$AY$122,BQ$9,FALSE)-X73)</f>
        <v>#N/A</v>
      </c>
      <c r="BR73" s="306" t="e">
        <f>IF(Y73="-","-",VLOOKUP($A73,AMAPit!$A$10:$AY$122,BR$9,FALSE)-Y73)</f>
        <v>#N/A</v>
      </c>
      <c r="BS73" s="306" t="e">
        <f>IF(Z73="-","-",VLOOKUP($A73,AMAPit!$A$10:$AY$122,BS$9,FALSE)-Z73)</f>
        <v>#N/A</v>
      </c>
      <c r="BT73" s="306" t="str">
        <f>IF(AA73="-","-",VLOOKUP($A73,AMAPit!$A$10:$AY$122,BT$9,FALSE)-AA73)</f>
        <v>-</v>
      </c>
      <c r="BU73" s="306" t="str">
        <f>IF(AB73="-","-",VLOOKUP($A73,AMAPit!$A$10:$AY$122,BU$9,FALSE)-AB73)</f>
        <v>-</v>
      </c>
      <c r="BV73" s="306" t="e">
        <f>IF(AC73="-","-",VLOOKUP($A73,AMAPit!$A$10:$AY$122,BV$9,FALSE)-AC73)</f>
        <v>#N/A</v>
      </c>
      <c r="BW73" s="306" t="e">
        <f>IF(AD73="-","-",VLOOKUP($A73,AMAPit!$A$10:$AY$122,BW$9,FALSE)-AD73)</f>
        <v>#N/A</v>
      </c>
      <c r="BX73" s="306" t="str">
        <f>IF(AE73="-","-",VLOOKUP($A73,AMAPit!$A$10:$AY$122,BX$9,FALSE)-AE73)</f>
        <v>-</v>
      </c>
      <c r="BY73" s="306" t="str">
        <f>IF(AF73="-","-",VLOOKUP($A73,AMAPit!$A$10:$AY$122,BY$9,FALSE)-AF73)</f>
        <v>-</v>
      </c>
      <c r="BZ73" s="306" t="str">
        <f>IF(AG73="-","-",VLOOKUP($A73,AMAPit!$A$10:$AY$122,BZ$9,FALSE)-AG73)</f>
        <v>-</v>
      </c>
      <c r="CA73" s="306" t="str">
        <f>IF(AH73="-","-",VLOOKUP($A73,AMAPit!$A$10:$AY$122,CA$9,FALSE)-AH73)</f>
        <v>-</v>
      </c>
      <c r="CB73" s="306" t="str">
        <f>IF(AI73="-","-",VLOOKUP($A73,AMAPit!$A$10:$AY$122,CB$9,FALSE)-AI73)</f>
        <v>-</v>
      </c>
      <c r="CC73" s="306" t="str">
        <f>IF(AJ73="-","-",VLOOKUP($A73,AMAPit!$A$10:$AY$122,CC$9,FALSE)-AJ73)</f>
        <v>-</v>
      </c>
      <c r="CD73" s="306" t="str">
        <f>IF(AK73="-","-",VLOOKUP($A73,AMAPit!$A$10:$AY$122,CD$9,FALSE)-AK73)</f>
        <v>-</v>
      </c>
      <c r="CE73" s="306" t="str">
        <f>IF(AL73="-","-",VLOOKUP($A73,AMAPit!$A$10:$AY$122,CE$9,FALSE)-AL73)</f>
        <v>-</v>
      </c>
      <c r="CF73" s="306" t="str">
        <f>IF(AM73="-","-",VLOOKUP($A73,AMAPit!$A$10:$AY$122,CF$9,FALSE)-AM73)</f>
        <v>-</v>
      </c>
      <c r="CG73" s="306" t="str">
        <f>IF(AN73="-","-",VLOOKUP($A73,AMAPit!$A$10:$AY$122,CG$9,FALSE)-AN73)</f>
        <v>-</v>
      </c>
      <c r="CH73" s="306" t="str">
        <f>IF(AO73="-","-",VLOOKUP($A73,AMAPit!$A$10:$AY$122,CH$9,FALSE)-AO73)</f>
        <v>-</v>
      </c>
      <c r="CI73" s="306" t="str">
        <f>IF(AP73="-","-",VLOOKUP($A73,AMAPit!$A$10:$AY$122,CI$9,FALSE)-AP73)</f>
        <v>-</v>
      </c>
      <c r="CJ73" s="306" t="str">
        <f>IF(AQ73="-","-",VLOOKUP($A73,AMAPit!$A$10:$AY$122,CJ$9,FALSE)-AQ73)</f>
        <v>-</v>
      </c>
      <c r="CK73" s="306" t="str">
        <f>IF(AR73="-","-",VLOOKUP($A73,AMAPit!$A$10:$AY$122,CK$9,FALSE)-AR73)</f>
        <v>-</v>
      </c>
      <c r="CL73" s="306" t="str">
        <f>IF(AS73="-","-",VLOOKUP($A73,AMAPit!$A$10:$AY$122,CL$9,FALSE)-AS73)</f>
        <v>-</v>
      </c>
      <c r="CM73" s="306" t="str">
        <f>IF(AT73="-","-",VLOOKUP($A73,AMAPit!$A$10:$AY$122,CM$9,FALSE)-AT73)</f>
        <v>-</v>
      </c>
      <c r="CN73" s="305" t="e">
        <f t="shared" ref="CN73:CN85" si="41">SUM(BJ73:CM73)</f>
        <v>#N/A</v>
      </c>
    </row>
    <row r="74" spans="1:92" x14ac:dyDescent="0.25">
      <c r="A74" s="305" t="s">
        <v>586</v>
      </c>
      <c r="B74" s="305" t="s">
        <v>534</v>
      </c>
      <c r="C74" s="305"/>
      <c r="D74" s="305" t="s">
        <v>81</v>
      </c>
      <c r="E74" t="s">
        <v>87</v>
      </c>
      <c r="F74" t="s">
        <v>473</v>
      </c>
      <c r="G74" s="305" t="s">
        <v>474</v>
      </c>
      <c r="H74" t="s">
        <v>769</v>
      </c>
      <c r="I74" t="s">
        <v>186</v>
      </c>
      <c r="J74" s="3">
        <v>26</v>
      </c>
      <c r="K74" t="s">
        <v>82</v>
      </c>
      <c r="L74" t="s">
        <v>83</v>
      </c>
      <c r="M74" t="s">
        <v>816</v>
      </c>
      <c r="N74" s="3" t="s">
        <v>816</v>
      </c>
      <c r="O74" t="s">
        <v>199</v>
      </c>
      <c r="P74" t="s">
        <v>199</v>
      </c>
      <c r="Q74" s="3">
        <v>5</v>
      </c>
      <c r="R74">
        <v>2</v>
      </c>
      <c r="S74">
        <v>2</v>
      </c>
      <c r="T74" s="3">
        <v>5</v>
      </c>
      <c r="U74">
        <v>2</v>
      </c>
      <c r="V74">
        <v>2</v>
      </c>
      <c r="W74">
        <v>6</v>
      </c>
      <c r="X74">
        <v>6</v>
      </c>
      <c r="Y74">
        <v>7</v>
      </c>
      <c r="Z74">
        <v>8</v>
      </c>
      <c r="AA74" t="s">
        <v>32</v>
      </c>
      <c r="AB74" t="s">
        <v>32</v>
      </c>
      <c r="AC74">
        <v>6</v>
      </c>
      <c r="AD74">
        <v>7</v>
      </c>
      <c r="AE74" t="s">
        <v>32</v>
      </c>
      <c r="AF74" t="s">
        <v>32</v>
      </c>
      <c r="AG74" t="s">
        <v>32</v>
      </c>
      <c r="AH74" t="s">
        <v>32</v>
      </c>
      <c r="AI74" t="s">
        <v>32</v>
      </c>
      <c r="AJ74" t="s">
        <v>32</v>
      </c>
      <c r="AK74" t="s">
        <v>32</v>
      </c>
      <c r="AL74" t="s">
        <v>32</v>
      </c>
      <c r="AM74" t="s">
        <v>32</v>
      </c>
      <c r="AN74" t="s">
        <v>32</v>
      </c>
      <c r="AO74" t="s">
        <v>32</v>
      </c>
      <c r="AP74" t="s">
        <v>32</v>
      </c>
      <c r="AQ74" t="s">
        <v>32</v>
      </c>
      <c r="AR74" s="3" t="s">
        <v>32</v>
      </c>
      <c r="AS74" t="s">
        <v>32</v>
      </c>
      <c r="AT74" t="s">
        <v>32</v>
      </c>
      <c r="AU74" s="3" t="s">
        <v>397</v>
      </c>
      <c r="AV74">
        <v>8</v>
      </c>
      <c r="AW74" s="3" t="s">
        <v>393</v>
      </c>
      <c r="AX74" t="s">
        <v>32</v>
      </c>
      <c r="AY74" s="5">
        <v>0</v>
      </c>
      <c r="AZ74" s="372" t="s">
        <v>529</v>
      </c>
      <c r="BA74" s="6">
        <f t="shared" si="32"/>
        <v>3.5</v>
      </c>
      <c r="BB74" s="9" t="str">
        <f t="shared" si="33"/>
        <v>Minors</v>
      </c>
      <c r="BC74" s="9">
        <f t="shared" si="34"/>
        <v>3.5</v>
      </c>
      <c r="BD74" s="9" t="str">
        <f t="shared" si="35"/>
        <v>Minors</v>
      </c>
      <c r="BE74" s="9">
        <f t="shared" si="36"/>
        <v>3.5</v>
      </c>
      <c r="BF74" s="9" t="str">
        <f t="shared" si="37"/>
        <v>Minors</v>
      </c>
      <c r="BG74" s="77">
        <f t="shared" si="38"/>
        <v>3</v>
      </c>
      <c r="BH74" s="76">
        <f t="shared" si="39"/>
        <v>3</v>
      </c>
      <c r="BI74" s="305" t="str">
        <f t="shared" si="40"/>
        <v/>
      </c>
      <c r="BJ74" s="306" t="e">
        <f>IF(Q74="-","-",VLOOKUP($A74,AMAPit!$A$10:$AY$122,BJ$9,FALSE)-Q74)</f>
        <v>#N/A</v>
      </c>
      <c r="BK74" s="306" t="e">
        <f>IF(R74="-","-",VLOOKUP($A74,AMAPit!$A$10:$AY$122,BK$9,FALSE)-R74)</f>
        <v>#N/A</v>
      </c>
      <c r="BL74" s="306" t="e">
        <f>IF(S74="-","-",VLOOKUP($A74,AMAPit!$A$10:$AY$122,BL$9,FALSE)-S74)</f>
        <v>#N/A</v>
      </c>
      <c r="BM74" s="306" t="e">
        <f>IF(T74="-","-",VLOOKUP($A74,AMAPit!$A$10:$AY$122,BM$9,FALSE)-T74)</f>
        <v>#N/A</v>
      </c>
      <c r="BN74" s="306" t="e">
        <f>IF(U74="-","-",VLOOKUP($A74,AMAPit!$A$10:$AY$122,BN$9,FALSE)-U74)</f>
        <v>#N/A</v>
      </c>
      <c r="BO74" s="306" t="e">
        <f>IF(V74="-","-",VLOOKUP($A74,AMAPit!$A$10:$AY$122,BO$9,FALSE)-V74)</f>
        <v>#N/A</v>
      </c>
      <c r="BP74" s="306" t="e">
        <f>IF(W74="-","-",VLOOKUP($A74,AMAPit!$A$10:$AY$122,BP$9,FALSE)-W74)</f>
        <v>#N/A</v>
      </c>
      <c r="BQ74" s="306" t="e">
        <f>IF(X74="-","-",VLOOKUP($A74,AMAPit!$A$10:$AY$122,BQ$9,FALSE)-X74)</f>
        <v>#N/A</v>
      </c>
      <c r="BR74" s="306" t="e">
        <f>IF(Y74="-","-",VLOOKUP($A74,AMAPit!$A$10:$AY$122,BR$9,FALSE)-Y74)</f>
        <v>#N/A</v>
      </c>
      <c r="BS74" s="306" t="e">
        <f>IF(Z74="-","-",VLOOKUP($A74,AMAPit!$A$10:$AY$122,BS$9,FALSE)-Z74)</f>
        <v>#N/A</v>
      </c>
      <c r="BT74" s="306" t="str">
        <f>IF(AA74="-","-",VLOOKUP($A74,AMAPit!$A$10:$AY$122,BT$9,FALSE)-AA74)</f>
        <v>-</v>
      </c>
      <c r="BU74" s="306" t="str">
        <f>IF(AB74="-","-",VLOOKUP($A74,AMAPit!$A$10:$AY$122,BU$9,FALSE)-AB74)</f>
        <v>-</v>
      </c>
      <c r="BV74" s="306" t="e">
        <f>IF(AC74="-","-",VLOOKUP($A74,AMAPit!$A$10:$AY$122,BV$9,FALSE)-AC74)</f>
        <v>#N/A</v>
      </c>
      <c r="BW74" s="306" t="e">
        <f>IF(AD74="-","-",VLOOKUP($A74,AMAPit!$A$10:$AY$122,BW$9,FALSE)-AD74)</f>
        <v>#N/A</v>
      </c>
      <c r="BX74" s="306" t="str">
        <f>IF(AE74="-","-",VLOOKUP($A74,AMAPit!$A$10:$AY$122,BX$9,FALSE)-AE74)</f>
        <v>-</v>
      </c>
      <c r="BY74" s="306" t="str">
        <f>IF(AF74="-","-",VLOOKUP($A74,AMAPit!$A$10:$AY$122,BY$9,FALSE)-AF74)</f>
        <v>-</v>
      </c>
      <c r="BZ74" s="306" t="str">
        <f>IF(AG74="-","-",VLOOKUP($A74,AMAPit!$A$10:$AY$122,BZ$9,FALSE)-AG74)</f>
        <v>-</v>
      </c>
      <c r="CA74" s="306" t="str">
        <f>IF(AH74="-","-",VLOOKUP($A74,AMAPit!$A$10:$AY$122,CA$9,FALSE)-AH74)</f>
        <v>-</v>
      </c>
      <c r="CB74" s="306" t="str">
        <f>IF(AI74="-","-",VLOOKUP($A74,AMAPit!$A$10:$AY$122,CB$9,FALSE)-AI74)</f>
        <v>-</v>
      </c>
      <c r="CC74" s="306" t="str">
        <f>IF(AJ74="-","-",VLOOKUP($A74,AMAPit!$A$10:$AY$122,CC$9,FALSE)-AJ74)</f>
        <v>-</v>
      </c>
      <c r="CD74" s="306" t="str">
        <f>IF(AK74="-","-",VLOOKUP($A74,AMAPit!$A$10:$AY$122,CD$9,FALSE)-AK74)</f>
        <v>-</v>
      </c>
      <c r="CE74" s="306" t="str">
        <f>IF(AL74="-","-",VLOOKUP($A74,AMAPit!$A$10:$AY$122,CE$9,FALSE)-AL74)</f>
        <v>-</v>
      </c>
      <c r="CF74" s="306" t="str">
        <f>IF(AM74="-","-",VLOOKUP($A74,AMAPit!$A$10:$AY$122,CF$9,FALSE)-AM74)</f>
        <v>-</v>
      </c>
      <c r="CG74" s="306" t="str">
        <f>IF(AN74="-","-",VLOOKUP($A74,AMAPit!$A$10:$AY$122,CG$9,FALSE)-AN74)</f>
        <v>-</v>
      </c>
      <c r="CH74" s="306" t="str">
        <f>IF(AO74="-","-",VLOOKUP($A74,AMAPit!$A$10:$AY$122,CH$9,FALSE)-AO74)</f>
        <v>-</v>
      </c>
      <c r="CI74" s="306" t="str">
        <f>IF(AP74="-","-",VLOOKUP($A74,AMAPit!$A$10:$AY$122,CI$9,FALSE)-AP74)</f>
        <v>-</v>
      </c>
      <c r="CJ74" s="306" t="str">
        <f>IF(AQ74="-","-",VLOOKUP($A74,AMAPit!$A$10:$AY$122,CJ$9,FALSE)-AQ74)</f>
        <v>-</v>
      </c>
      <c r="CK74" s="306" t="str">
        <f>IF(AR74="-","-",VLOOKUP($A74,AMAPit!$A$10:$AY$122,CK$9,FALSE)-AR74)</f>
        <v>-</v>
      </c>
      <c r="CL74" s="306" t="str">
        <f>IF(AS74="-","-",VLOOKUP($A74,AMAPit!$A$10:$AY$122,CL$9,FALSE)-AS74)</f>
        <v>-</v>
      </c>
      <c r="CM74" s="306" t="str">
        <f>IF(AT74="-","-",VLOOKUP($A74,AMAPit!$A$10:$AY$122,CM$9,FALSE)-AT74)</f>
        <v>-</v>
      </c>
      <c r="CN74" s="305" t="e">
        <f t="shared" si="41"/>
        <v>#N/A</v>
      </c>
    </row>
    <row r="75" spans="1:92" x14ac:dyDescent="0.25">
      <c r="A75" s="305" t="s">
        <v>587</v>
      </c>
      <c r="B75" s="305" t="s">
        <v>534</v>
      </c>
      <c r="C75" s="305"/>
      <c r="D75" s="305" t="s">
        <v>81</v>
      </c>
      <c r="E75" t="s">
        <v>87</v>
      </c>
      <c r="F75" t="s">
        <v>963</v>
      </c>
      <c r="G75" s="305" t="s">
        <v>964</v>
      </c>
      <c r="H75" t="s">
        <v>810</v>
      </c>
      <c r="I75" t="s">
        <v>83</v>
      </c>
      <c r="J75" s="3">
        <v>20</v>
      </c>
      <c r="K75" t="s">
        <v>83</v>
      </c>
      <c r="L75" t="s">
        <v>83</v>
      </c>
      <c r="M75" t="s">
        <v>816</v>
      </c>
      <c r="N75" s="3" t="s">
        <v>773</v>
      </c>
      <c r="O75" t="s">
        <v>200</v>
      </c>
      <c r="P75" t="s">
        <v>200</v>
      </c>
      <c r="Q75" s="3">
        <v>4</v>
      </c>
      <c r="R75">
        <v>2</v>
      </c>
      <c r="S75">
        <v>2</v>
      </c>
      <c r="T75" s="3">
        <v>5</v>
      </c>
      <c r="U75">
        <v>2</v>
      </c>
      <c r="V75">
        <v>5</v>
      </c>
      <c r="W75">
        <v>5</v>
      </c>
      <c r="X75">
        <v>7</v>
      </c>
      <c r="Y75">
        <v>6</v>
      </c>
      <c r="Z75">
        <v>7</v>
      </c>
      <c r="AA75">
        <v>2</v>
      </c>
      <c r="AB75">
        <v>2</v>
      </c>
      <c r="AC75" t="s">
        <v>32</v>
      </c>
      <c r="AD75" t="s">
        <v>32</v>
      </c>
      <c r="AE75" t="s">
        <v>32</v>
      </c>
      <c r="AF75" t="s">
        <v>32</v>
      </c>
      <c r="AG75">
        <v>4</v>
      </c>
      <c r="AH75">
        <v>5</v>
      </c>
      <c r="AI75" t="s">
        <v>32</v>
      </c>
      <c r="AJ75" t="s">
        <v>32</v>
      </c>
      <c r="AK75" t="s">
        <v>32</v>
      </c>
      <c r="AL75" t="s">
        <v>32</v>
      </c>
      <c r="AM75" t="s">
        <v>32</v>
      </c>
      <c r="AN75" t="s">
        <v>32</v>
      </c>
      <c r="AO75" t="s">
        <v>32</v>
      </c>
      <c r="AP75" t="s">
        <v>32</v>
      </c>
      <c r="AQ75" t="s">
        <v>32</v>
      </c>
      <c r="AR75" s="3" t="s">
        <v>32</v>
      </c>
      <c r="AS75" t="s">
        <v>32</v>
      </c>
      <c r="AT75" t="s">
        <v>32</v>
      </c>
      <c r="AU75" s="3" t="s">
        <v>2</v>
      </c>
      <c r="AV75">
        <v>6</v>
      </c>
      <c r="AW75" s="3" t="s">
        <v>40</v>
      </c>
      <c r="AX75" t="s">
        <v>32</v>
      </c>
      <c r="AY75" s="5">
        <v>0</v>
      </c>
      <c r="AZ75" s="372" t="s">
        <v>199</v>
      </c>
      <c r="BA75" s="6">
        <f t="shared" si="32"/>
        <v>3.4166666666666665</v>
      </c>
      <c r="BB75" s="9" t="str">
        <f t="shared" si="33"/>
        <v>Minors</v>
      </c>
      <c r="BC75" s="9">
        <f t="shared" si="34"/>
        <v>4.75</v>
      </c>
      <c r="BD75" s="9" t="str">
        <f t="shared" si="35"/>
        <v>Bench</v>
      </c>
      <c r="BE75" s="9">
        <f t="shared" si="36"/>
        <v>4.75</v>
      </c>
      <c r="BF75" s="9" t="str">
        <f t="shared" si="37"/>
        <v>Bench</v>
      </c>
      <c r="BG75" s="77">
        <f t="shared" si="38"/>
        <v>4</v>
      </c>
      <c r="BH75" s="76">
        <f t="shared" si="39"/>
        <v>1.5</v>
      </c>
      <c r="BI75" s="305" t="str">
        <f t="shared" si="40"/>
        <v/>
      </c>
      <c r="BJ75" s="306" t="e">
        <f>IF(Q75="-","-",VLOOKUP($A75,AMAPit!$A$10:$AY$122,BJ$9,FALSE)-Q75)</f>
        <v>#N/A</v>
      </c>
      <c r="BK75" s="306" t="e">
        <f>IF(R75="-","-",VLOOKUP($A75,AMAPit!$A$10:$AY$122,BK$9,FALSE)-R75)</f>
        <v>#N/A</v>
      </c>
      <c r="BL75" s="306" t="e">
        <f>IF(S75="-","-",VLOOKUP($A75,AMAPit!$A$10:$AY$122,BL$9,FALSE)-S75)</f>
        <v>#N/A</v>
      </c>
      <c r="BM75" s="306" t="e">
        <f>IF(T75="-","-",VLOOKUP($A75,AMAPit!$A$10:$AY$122,BM$9,FALSE)-T75)</f>
        <v>#N/A</v>
      </c>
      <c r="BN75" s="306" t="e">
        <f>IF(U75="-","-",VLOOKUP($A75,AMAPit!$A$10:$AY$122,BN$9,FALSE)-U75)</f>
        <v>#N/A</v>
      </c>
      <c r="BO75" s="306" t="e">
        <f>IF(V75="-","-",VLOOKUP($A75,AMAPit!$A$10:$AY$122,BO$9,FALSE)-V75)</f>
        <v>#N/A</v>
      </c>
      <c r="BP75" s="306" t="e">
        <f>IF(W75="-","-",VLOOKUP($A75,AMAPit!$A$10:$AY$122,BP$9,FALSE)-W75)</f>
        <v>#N/A</v>
      </c>
      <c r="BQ75" s="306" t="e">
        <f>IF(X75="-","-",VLOOKUP($A75,AMAPit!$A$10:$AY$122,BQ$9,FALSE)-X75)</f>
        <v>#N/A</v>
      </c>
      <c r="BR75" s="306" t="e">
        <f>IF(Y75="-","-",VLOOKUP($A75,AMAPit!$A$10:$AY$122,BR$9,FALSE)-Y75)</f>
        <v>#N/A</v>
      </c>
      <c r="BS75" s="306" t="e">
        <f>IF(Z75="-","-",VLOOKUP($A75,AMAPit!$A$10:$AY$122,BS$9,FALSE)-Z75)</f>
        <v>#N/A</v>
      </c>
      <c r="BT75" s="306" t="e">
        <f>IF(AA75="-","-",VLOOKUP($A75,AMAPit!$A$10:$AY$122,BT$9,FALSE)-AA75)</f>
        <v>#N/A</v>
      </c>
      <c r="BU75" s="306" t="e">
        <f>IF(AB75="-","-",VLOOKUP($A75,AMAPit!$A$10:$AY$122,BU$9,FALSE)-AB75)</f>
        <v>#N/A</v>
      </c>
      <c r="BV75" s="306" t="str">
        <f>IF(AC75="-","-",VLOOKUP($A75,AMAPit!$A$10:$AY$122,BV$9,FALSE)-AC75)</f>
        <v>-</v>
      </c>
      <c r="BW75" s="306" t="str">
        <f>IF(AD75="-","-",VLOOKUP($A75,AMAPit!$A$10:$AY$122,BW$9,FALSE)-AD75)</f>
        <v>-</v>
      </c>
      <c r="BX75" s="306" t="str">
        <f>IF(AE75="-","-",VLOOKUP($A75,AMAPit!$A$10:$AY$122,BX$9,FALSE)-AE75)</f>
        <v>-</v>
      </c>
      <c r="BY75" s="306" t="str">
        <f>IF(AF75="-","-",VLOOKUP($A75,AMAPit!$A$10:$AY$122,BY$9,FALSE)-AF75)</f>
        <v>-</v>
      </c>
      <c r="BZ75" s="306" t="e">
        <f>IF(AG75="-","-",VLOOKUP($A75,AMAPit!$A$10:$AY$122,BZ$9,FALSE)-AG75)</f>
        <v>#N/A</v>
      </c>
      <c r="CA75" s="306" t="e">
        <f>IF(AH75="-","-",VLOOKUP($A75,AMAPit!$A$10:$AY$122,CA$9,FALSE)-AH75)</f>
        <v>#N/A</v>
      </c>
      <c r="CB75" s="306" t="str">
        <f>IF(AI75="-","-",VLOOKUP($A75,AMAPit!$A$10:$AY$122,CB$9,FALSE)-AI75)</f>
        <v>-</v>
      </c>
      <c r="CC75" s="306" t="str">
        <f>IF(AJ75="-","-",VLOOKUP($A75,AMAPit!$A$10:$AY$122,CC$9,FALSE)-AJ75)</f>
        <v>-</v>
      </c>
      <c r="CD75" s="306" t="str">
        <f>IF(AK75="-","-",VLOOKUP($A75,AMAPit!$A$10:$AY$122,CD$9,FALSE)-AK75)</f>
        <v>-</v>
      </c>
      <c r="CE75" s="306" t="str">
        <f>IF(AL75="-","-",VLOOKUP($A75,AMAPit!$A$10:$AY$122,CE$9,FALSE)-AL75)</f>
        <v>-</v>
      </c>
      <c r="CF75" s="306" t="str">
        <f>IF(AM75="-","-",VLOOKUP($A75,AMAPit!$A$10:$AY$122,CF$9,FALSE)-AM75)</f>
        <v>-</v>
      </c>
      <c r="CG75" s="306" t="str">
        <f>IF(AN75="-","-",VLOOKUP($A75,AMAPit!$A$10:$AY$122,CG$9,FALSE)-AN75)</f>
        <v>-</v>
      </c>
      <c r="CH75" s="306" t="str">
        <f>IF(AO75="-","-",VLOOKUP($A75,AMAPit!$A$10:$AY$122,CH$9,FALSE)-AO75)</f>
        <v>-</v>
      </c>
      <c r="CI75" s="306" t="str">
        <f>IF(AP75="-","-",VLOOKUP($A75,AMAPit!$A$10:$AY$122,CI$9,FALSE)-AP75)</f>
        <v>-</v>
      </c>
      <c r="CJ75" s="306" t="str">
        <f>IF(AQ75="-","-",VLOOKUP($A75,AMAPit!$A$10:$AY$122,CJ$9,FALSE)-AQ75)</f>
        <v>-</v>
      </c>
      <c r="CK75" s="306" t="str">
        <f>IF(AR75="-","-",VLOOKUP($A75,AMAPit!$A$10:$AY$122,CK$9,FALSE)-AR75)</f>
        <v>-</v>
      </c>
      <c r="CL75" s="306" t="str">
        <f>IF(AS75="-","-",VLOOKUP($A75,AMAPit!$A$10:$AY$122,CL$9,FALSE)-AS75)</f>
        <v>-</v>
      </c>
      <c r="CM75" s="306" t="str">
        <f>IF(AT75="-","-",VLOOKUP($A75,AMAPit!$A$10:$AY$122,CM$9,FALSE)-AT75)</f>
        <v>-</v>
      </c>
      <c r="CN75" s="305" t="e">
        <f t="shared" si="41"/>
        <v>#N/A</v>
      </c>
    </row>
    <row r="76" spans="1:92" x14ac:dyDescent="0.25">
      <c r="A76" s="305" t="s">
        <v>588</v>
      </c>
      <c r="B76" s="305" t="s">
        <v>534</v>
      </c>
      <c r="C76" s="305"/>
      <c r="D76" s="305" t="s">
        <v>81</v>
      </c>
      <c r="E76" t="s">
        <v>87</v>
      </c>
      <c r="F76" t="s">
        <v>1028</v>
      </c>
      <c r="G76" s="305" t="s">
        <v>867</v>
      </c>
      <c r="H76" t="s">
        <v>802</v>
      </c>
      <c r="I76" t="s">
        <v>277</v>
      </c>
      <c r="J76" s="3">
        <v>22</v>
      </c>
      <c r="K76" t="s">
        <v>82</v>
      </c>
      <c r="L76" t="s">
        <v>82</v>
      </c>
      <c r="M76" t="s">
        <v>816</v>
      </c>
      <c r="N76" s="3" t="s">
        <v>816</v>
      </c>
      <c r="O76" t="s">
        <v>201</v>
      </c>
      <c r="P76" t="s">
        <v>199</v>
      </c>
      <c r="Q76" s="3">
        <v>4</v>
      </c>
      <c r="R76">
        <v>2</v>
      </c>
      <c r="S76">
        <v>2</v>
      </c>
      <c r="T76" s="3">
        <v>5</v>
      </c>
      <c r="U76">
        <v>2</v>
      </c>
      <c r="V76">
        <v>2</v>
      </c>
      <c r="W76">
        <v>6</v>
      </c>
      <c r="X76">
        <v>6</v>
      </c>
      <c r="Y76">
        <v>5</v>
      </c>
      <c r="Z76">
        <v>6</v>
      </c>
      <c r="AA76">
        <v>4</v>
      </c>
      <c r="AB76">
        <v>5</v>
      </c>
      <c r="AC76" t="s">
        <v>32</v>
      </c>
      <c r="AD76" t="s">
        <v>32</v>
      </c>
      <c r="AE76" t="s">
        <v>32</v>
      </c>
      <c r="AF76" t="s">
        <v>32</v>
      </c>
      <c r="AG76" t="s">
        <v>32</v>
      </c>
      <c r="AH76" t="s">
        <v>32</v>
      </c>
      <c r="AI76" t="s">
        <v>32</v>
      </c>
      <c r="AJ76" t="s">
        <v>32</v>
      </c>
      <c r="AK76">
        <v>6</v>
      </c>
      <c r="AL76">
        <v>6</v>
      </c>
      <c r="AM76" t="s">
        <v>32</v>
      </c>
      <c r="AN76" t="s">
        <v>32</v>
      </c>
      <c r="AO76" t="s">
        <v>32</v>
      </c>
      <c r="AP76" t="s">
        <v>32</v>
      </c>
      <c r="AQ76" t="s">
        <v>32</v>
      </c>
      <c r="AR76" s="3" t="s">
        <v>32</v>
      </c>
      <c r="AS76" t="s">
        <v>32</v>
      </c>
      <c r="AT76" t="s">
        <v>32</v>
      </c>
      <c r="AU76" s="3" t="s">
        <v>8</v>
      </c>
      <c r="AV76">
        <v>7</v>
      </c>
      <c r="AW76" s="3" t="s">
        <v>393</v>
      </c>
      <c r="AX76" t="s">
        <v>32</v>
      </c>
      <c r="AY76" s="5" t="s">
        <v>33</v>
      </c>
      <c r="AZ76" s="372" t="s">
        <v>199</v>
      </c>
      <c r="BA76" s="6">
        <f t="shared" si="32"/>
        <v>3.4166666666666665</v>
      </c>
      <c r="BB76" s="9" t="str">
        <f t="shared" si="33"/>
        <v>Minors</v>
      </c>
      <c r="BC76" s="9">
        <f t="shared" si="34"/>
        <v>3.75</v>
      </c>
      <c r="BD76" s="9" t="str">
        <f t="shared" si="35"/>
        <v>Minors</v>
      </c>
      <c r="BE76" s="9">
        <f t="shared" si="36"/>
        <v>3.75</v>
      </c>
      <c r="BF76" s="9" t="str">
        <f t="shared" si="37"/>
        <v>Minors</v>
      </c>
      <c r="BG76" s="77">
        <f t="shared" si="38"/>
        <v>4</v>
      </c>
      <c r="BH76" s="76">
        <f t="shared" si="39"/>
        <v>2.5</v>
      </c>
      <c r="BI76" s="305" t="str">
        <f t="shared" si="40"/>
        <v/>
      </c>
      <c r="BJ76" s="306" t="e">
        <f>IF(Q76="-","-",VLOOKUP($A76,AMAPit!$A$10:$AY$122,BJ$9,FALSE)-Q76)</f>
        <v>#N/A</v>
      </c>
      <c r="BK76" s="306" t="e">
        <f>IF(R76="-","-",VLOOKUP($A76,AMAPit!$A$10:$AY$122,BK$9,FALSE)-R76)</f>
        <v>#N/A</v>
      </c>
      <c r="BL76" s="306" t="e">
        <f>IF(S76="-","-",VLOOKUP($A76,AMAPit!$A$10:$AY$122,BL$9,FALSE)-S76)</f>
        <v>#N/A</v>
      </c>
      <c r="BM76" s="306" t="e">
        <f>IF(T76="-","-",VLOOKUP($A76,AMAPit!$A$10:$AY$122,BM$9,FALSE)-T76)</f>
        <v>#N/A</v>
      </c>
      <c r="BN76" s="306" t="e">
        <f>IF(U76="-","-",VLOOKUP($A76,AMAPit!$A$10:$AY$122,BN$9,FALSE)-U76)</f>
        <v>#N/A</v>
      </c>
      <c r="BO76" s="306" t="e">
        <f>IF(V76="-","-",VLOOKUP($A76,AMAPit!$A$10:$AY$122,BO$9,FALSE)-V76)</f>
        <v>#N/A</v>
      </c>
      <c r="BP76" s="306" t="e">
        <f>IF(W76="-","-",VLOOKUP($A76,AMAPit!$A$10:$AY$122,BP$9,FALSE)-W76)</f>
        <v>#N/A</v>
      </c>
      <c r="BQ76" s="306" t="e">
        <f>IF(X76="-","-",VLOOKUP($A76,AMAPit!$A$10:$AY$122,BQ$9,FALSE)-X76)</f>
        <v>#N/A</v>
      </c>
      <c r="BR76" s="306" t="e">
        <f>IF(Y76="-","-",VLOOKUP($A76,AMAPit!$A$10:$AY$122,BR$9,FALSE)-Y76)</f>
        <v>#N/A</v>
      </c>
      <c r="BS76" s="306" t="e">
        <f>IF(Z76="-","-",VLOOKUP($A76,AMAPit!$A$10:$AY$122,BS$9,FALSE)-Z76)</f>
        <v>#N/A</v>
      </c>
      <c r="BT76" s="306" t="e">
        <f>IF(AA76="-","-",VLOOKUP($A76,AMAPit!$A$10:$AY$122,BT$9,FALSE)-AA76)</f>
        <v>#N/A</v>
      </c>
      <c r="BU76" s="306" t="e">
        <f>IF(AB76="-","-",VLOOKUP($A76,AMAPit!$A$10:$AY$122,BU$9,FALSE)-AB76)</f>
        <v>#N/A</v>
      </c>
      <c r="BV76" s="306" t="str">
        <f>IF(AC76="-","-",VLOOKUP($A76,AMAPit!$A$10:$AY$122,BV$9,FALSE)-AC76)</f>
        <v>-</v>
      </c>
      <c r="BW76" s="306" t="str">
        <f>IF(AD76="-","-",VLOOKUP($A76,AMAPit!$A$10:$AY$122,BW$9,FALSE)-AD76)</f>
        <v>-</v>
      </c>
      <c r="BX76" s="306" t="str">
        <f>IF(AE76="-","-",VLOOKUP($A76,AMAPit!$A$10:$AY$122,BX$9,FALSE)-AE76)</f>
        <v>-</v>
      </c>
      <c r="BY76" s="306" t="str">
        <f>IF(AF76="-","-",VLOOKUP($A76,AMAPit!$A$10:$AY$122,BY$9,FALSE)-AF76)</f>
        <v>-</v>
      </c>
      <c r="BZ76" s="306" t="str">
        <f>IF(AG76="-","-",VLOOKUP($A76,AMAPit!$A$10:$AY$122,BZ$9,FALSE)-AG76)</f>
        <v>-</v>
      </c>
      <c r="CA76" s="306" t="str">
        <f>IF(AH76="-","-",VLOOKUP($A76,AMAPit!$A$10:$AY$122,CA$9,FALSE)-AH76)</f>
        <v>-</v>
      </c>
      <c r="CB76" s="306" t="str">
        <f>IF(AI76="-","-",VLOOKUP($A76,AMAPit!$A$10:$AY$122,CB$9,FALSE)-AI76)</f>
        <v>-</v>
      </c>
      <c r="CC76" s="306" t="str">
        <f>IF(AJ76="-","-",VLOOKUP($A76,AMAPit!$A$10:$AY$122,CC$9,FALSE)-AJ76)</f>
        <v>-</v>
      </c>
      <c r="CD76" s="306" t="e">
        <f>IF(AK76="-","-",VLOOKUP($A76,AMAPit!$A$10:$AY$122,CD$9,FALSE)-AK76)</f>
        <v>#N/A</v>
      </c>
      <c r="CE76" s="306" t="e">
        <f>IF(AL76="-","-",VLOOKUP($A76,AMAPit!$A$10:$AY$122,CE$9,FALSE)-AL76)</f>
        <v>#N/A</v>
      </c>
      <c r="CF76" s="306" t="str">
        <f>IF(AM76="-","-",VLOOKUP($A76,AMAPit!$A$10:$AY$122,CF$9,FALSE)-AM76)</f>
        <v>-</v>
      </c>
      <c r="CG76" s="306" t="str">
        <f>IF(AN76="-","-",VLOOKUP($A76,AMAPit!$A$10:$AY$122,CG$9,FALSE)-AN76)</f>
        <v>-</v>
      </c>
      <c r="CH76" s="306" t="str">
        <f>IF(AO76="-","-",VLOOKUP($A76,AMAPit!$A$10:$AY$122,CH$9,FALSE)-AO76)</f>
        <v>-</v>
      </c>
      <c r="CI76" s="306" t="str">
        <f>IF(AP76="-","-",VLOOKUP($A76,AMAPit!$A$10:$AY$122,CI$9,FALSE)-AP76)</f>
        <v>-</v>
      </c>
      <c r="CJ76" s="306" t="str">
        <f>IF(AQ76="-","-",VLOOKUP($A76,AMAPit!$A$10:$AY$122,CJ$9,FALSE)-AQ76)</f>
        <v>-</v>
      </c>
      <c r="CK76" s="306" t="str">
        <f>IF(AR76="-","-",VLOOKUP($A76,AMAPit!$A$10:$AY$122,CK$9,FALSE)-AR76)</f>
        <v>-</v>
      </c>
      <c r="CL76" s="306" t="str">
        <f>IF(AS76="-","-",VLOOKUP($A76,AMAPit!$A$10:$AY$122,CL$9,FALSE)-AS76)</f>
        <v>-</v>
      </c>
      <c r="CM76" s="306" t="str">
        <f>IF(AT76="-","-",VLOOKUP($A76,AMAPit!$A$10:$AY$122,CM$9,FALSE)-AT76)</f>
        <v>-</v>
      </c>
      <c r="CN76" s="305" t="e">
        <f t="shared" si="41"/>
        <v>#N/A</v>
      </c>
    </row>
    <row r="77" spans="1:92" x14ac:dyDescent="0.25">
      <c r="A77" s="305" t="s">
        <v>589</v>
      </c>
      <c r="B77" s="305" t="s">
        <v>534</v>
      </c>
      <c r="C77" s="305"/>
      <c r="D77" s="305" t="s">
        <v>81</v>
      </c>
      <c r="E77" t="s">
        <v>87</v>
      </c>
      <c r="F77" t="s">
        <v>429</v>
      </c>
      <c r="G77" s="305" t="s">
        <v>725</v>
      </c>
      <c r="H77" t="s">
        <v>810</v>
      </c>
      <c r="I77" t="s">
        <v>83</v>
      </c>
      <c r="J77" s="3">
        <v>20</v>
      </c>
      <c r="K77" t="s">
        <v>83</v>
      </c>
      <c r="L77" t="s">
        <v>83</v>
      </c>
      <c r="M77" t="s">
        <v>816</v>
      </c>
      <c r="N77" s="3" t="s">
        <v>808</v>
      </c>
      <c r="O77" t="s">
        <v>200</v>
      </c>
      <c r="P77" t="s">
        <v>199</v>
      </c>
      <c r="Q77" s="3">
        <v>2</v>
      </c>
      <c r="R77">
        <v>2</v>
      </c>
      <c r="S77">
        <v>4</v>
      </c>
      <c r="T77" s="3">
        <v>4</v>
      </c>
      <c r="U77">
        <v>2</v>
      </c>
      <c r="V77">
        <v>4</v>
      </c>
      <c r="W77">
        <v>4</v>
      </c>
      <c r="X77">
        <v>6</v>
      </c>
      <c r="Y77">
        <v>2</v>
      </c>
      <c r="Z77">
        <v>2</v>
      </c>
      <c r="AA77">
        <v>3</v>
      </c>
      <c r="AB77">
        <v>6</v>
      </c>
      <c r="AC77">
        <v>3</v>
      </c>
      <c r="AD77">
        <v>6</v>
      </c>
      <c r="AE77" t="s">
        <v>32</v>
      </c>
      <c r="AF77" t="s">
        <v>32</v>
      </c>
      <c r="AG77" t="s">
        <v>32</v>
      </c>
      <c r="AH77" t="s">
        <v>32</v>
      </c>
      <c r="AI77" t="s">
        <v>32</v>
      </c>
      <c r="AJ77" t="s">
        <v>32</v>
      </c>
      <c r="AK77" t="s">
        <v>32</v>
      </c>
      <c r="AL77" t="s">
        <v>32</v>
      </c>
      <c r="AM77" t="s">
        <v>32</v>
      </c>
      <c r="AN77" t="s">
        <v>32</v>
      </c>
      <c r="AO77" t="s">
        <v>32</v>
      </c>
      <c r="AP77" t="s">
        <v>32</v>
      </c>
      <c r="AQ77" t="s">
        <v>32</v>
      </c>
      <c r="AR77" s="3" t="s">
        <v>32</v>
      </c>
      <c r="AS77" t="s">
        <v>32</v>
      </c>
      <c r="AT77" t="s">
        <v>32</v>
      </c>
      <c r="AU77" s="3" t="s">
        <v>5</v>
      </c>
      <c r="AV77">
        <v>7</v>
      </c>
      <c r="AW77" s="3" t="s">
        <v>393</v>
      </c>
      <c r="AX77" t="s">
        <v>32</v>
      </c>
      <c r="AY77" s="5" t="s">
        <v>33</v>
      </c>
      <c r="AZ77" s="372" t="s">
        <v>199</v>
      </c>
      <c r="BA77" s="6">
        <f t="shared" si="32"/>
        <v>3.1666666666666665</v>
      </c>
      <c r="BB77" s="9" t="str">
        <f t="shared" si="33"/>
        <v>Minors</v>
      </c>
      <c r="BC77" s="9">
        <f t="shared" si="34"/>
        <v>4.0833333333333339</v>
      </c>
      <c r="BD77" s="9" t="str">
        <f t="shared" si="35"/>
        <v>Bench</v>
      </c>
      <c r="BE77" s="9">
        <f t="shared" si="36"/>
        <v>4.0833333333333339</v>
      </c>
      <c r="BF77" s="9" t="str">
        <f t="shared" si="37"/>
        <v>Bench</v>
      </c>
      <c r="BG77" s="77">
        <f t="shared" si="38"/>
        <v>4</v>
      </c>
      <c r="BH77" s="76">
        <f t="shared" si="39"/>
        <v>1.5</v>
      </c>
      <c r="BI77" s="305" t="str">
        <f t="shared" si="40"/>
        <v/>
      </c>
      <c r="BJ77" s="306" t="e">
        <f>IF(Q77="-","-",VLOOKUP($A77,AMAPit!$A$10:$AY$122,BJ$9,FALSE)-Q77)</f>
        <v>#N/A</v>
      </c>
      <c r="BK77" s="306" t="e">
        <f>IF(R77="-","-",VLOOKUP($A77,AMAPit!$A$10:$AY$122,BK$9,FALSE)-R77)</f>
        <v>#N/A</v>
      </c>
      <c r="BL77" s="306" t="e">
        <f>IF(S77="-","-",VLOOKUP($A77,AMAPit!$A$10:$AY$122,BL$9,FALSE)-S77)</f>
        <v>#N/A</v>
      </c>
      <c r="BM77" s="306" t="e">
        <f>IF(T77="-","-",VLOOKUP($A77,AMAPit!$A$10:$AY$122,BM$9,FALSE)-T77)</f>
        <v>#N/A</v>
      </c>
      <c r="BN77" s="306" t="e">
        <f>IF(U77="-","-",VLOOKUP($A77,AMAPit!$A$10:$AY$122,BN$9,FALSE)-U77)</f>
        <v>#N/A</v>
      </c>
      <c r="BO77" s="306" t="e">
        <f>IF(V77="-","-",VLOOKUP($A77,AMAPit!$A$10:$AY$122,BO$9,FALSE)-V77)</f>
        <v>#N/A</v>
      </c>
      <c r="BP77" s="306" t="e">
        <f>IF(W77="-","-",VLOOKUP($A77,AMAPit!$A$10:$AY$122,BP$9,FALSE)-W77)</f>
        <v>#N/A</v>
      </c>
      <c r="BQ77" s="306" t="e">
        <f>IF(X77="-","-",VLOOKUP($A77,AMAPit!$A$10:$AY$122,BQ$9,FALSE)-X77)</f>
        <v>#N/A</v>
      </c>
      <c r="BR77" s="306" t="e">
        <f>IF(Y77="-","-",VLOOKUP($A77,AMAPit!$A$10:$AY$122,BR$9,FALSE)-Y77)</f>
        <v>#N/A</v>
      </c>
      <c r="BS77" s="306" t="e">
        <f>IF(Z77="-","-",VLOOKUP($A77,AMAPit!$A$10:$AY$122,BS$9,FALSE)-Z77)</f>
        <v>#N/A</v>
      </c>
      <c r="BT77" s="306" t="e">
        <f>IF(AA77="-","-",VLOOKUP($A77,AMAPit!$A$10:$AY$122,BT$9,FALSE)-AA77)</f>
        <v>#N/A</v>
      </c>
      <c r="BU77" s="306" t="e">
        <f>IF(AB77="-","-",VLOOKUP($A77,AMAPit!$A$10:$AY$122,BU$9,FALSE)-AB77)</f>
        <v>#N/A</v>
      </c>
      <c r="BV77" s="306" t="e">
        <f>IF(AC77="-","-",VLOOKUP($A77,AMAPit!$A$10:$AY$122,BV$9,FALSE)-AC77)</f>
        <v>#N/A</v>
      </c>
      <c r="BW77" s="306" t="e">
        <f>IF(AD77="-","-",VLOOKUP($A77,AMAPit!$A$10:$AY$122,BW$9,FALSE)-AD77)</f>
        <v>#N/A</v>
      </c>
      <c r="BX77" s="306" t="str">
        <f>IF(AE77="-","-",VLOOKUP($A77,AMAPit!$A$10:$AY$122,BX$9,FALSE)-AE77)</f>
        <v>-</v>
      </c>
      <c r="BY77" s="306" t="str">
        <f>IF(AF77="-","-",VLOOKUP($A77,AMAPit!$A$10:$AY$122,BY$9,FALSE)-AF77)</f>
        <v>-</v>
      </c>
      <c r="BZ77" s="306" t="str">
        <f>IF(AG77="-","-",VLOOKUP($A77,AMAPit!$A$10:$AY$122,BZ$9,FALSE)-AG77)</f>
        <v>-</v>
      </c>
      <c r="CA77" s="306" t="str">
        <f>IF(AH77="-","-",VLOOKUP($A77,AMAPit!$A$10:$AY$122,CA$9,FALSE)-AH77)</f>
        <v>-</v>
      </c>
      <c r="CB77" s="306" t="str">
        <f>IF(AI77="-","-",VLOOKUP($A77,AMAPit!$A$10:$AY$122,CB$9,FALSE)-AI77)</f>
        <v>-</v>
      </c>
      <c r="CC77" s="306" t="str">
        <f>IF(AJ77="-","-",VLOOKUP($A77,AMAPit!$A$10:$AY$122,CC$9,FALSE)-AJ77)</f>
        <v>-</v>
      </c>
      <c r="CD77" s="306" t="str">
        <f>IF(AK77="-","-",VLOOKUP($A77,AMAPit!$A$10:$AY$122,CD$9,FALSE)-AK77)</f>
        <v>-</v>
      </c>
      <c r="CE77" s="306" t="str">
        <f>IF(AL77="-","-",VLOOKUP($A77,AMAPit!$A$10:$AY$122,CE$9,FALSE)-AL77)</f>
        <v>-</v>
      </c>
      <c r="CF77" s="306" t="str">
        <f>IF(AM77="-","-",VLOOKUP($A77,AMAPit!$A$10:$AY$122,CF$9,FALSE)-AM77)</f>
        <v>-</v>
      </c>
      <c r="CG77" s="306" t="str">
        <f>IF(AN77="-","-",VLOOKUP($A77,AMAPit!$A$10:$AY$122,CG$9,FALSE)-AN77)</f>
        <v>-</v>
      </c>
      <c r="CH77" s="306" t="str">
        <f>IF(AO77="-","-",VLOOKUP($A77,AMAPit!$A$10:$AY$122,CH$9,FALSE)-AO77)</f>
        <v>-</v>
      </c>
      <c r="CI77" s="306" t="str">
        <f>IF(AP77="-","-",VLOOKUP($A77,AMAPit!$A$10:$AY$122,CI$9,FALSE)-AP77)</f>
        <v>-</v>
      </c>
      <c r="CJ77" s="306" t="str">
        <f>IF(AQ77="-","-",VLOOKUP($A77,AMAPit!$A$10:$AY$122,CJ$9,FALSE)-AQ77)</f>
        <v>-</v>
      </c>
      <c r="CK77" s="306" t="str">
        <f>IF(AR77="-","-",VLOOKUP($A77,AMAPit!$A$10:$AY$122,CK$9,FALSE)-AR77)</f>
        <v>-</v>
      </c>
      <c r="CL77" s="306" t="str">
        <f>IF(AS77="-","-",VLOOKUP($A77,AMAPit!$A$10:$AY$122,CL$9,FALSE)-AS77)</f>
        <v>-</v>
      </c>
      <c r="CM77" s="306" t="str">
        <f>IF(AT77="-","-",VLOOKUP($A77,AMAPit!$A$10:$AY$122,CM$9,FALSE)-AT77)</f>
        <v>-</v>
      </c>
      <c r="CN77" s="305" t="e">
        <f t="shared" si="41"/>
        <v>#N/A</v>
      </c>
    </row>
    <row r="78" spans="1:92" x14ac:dyDescent="0.25">
      <c r="A78" s="305" t="s">
        <v>590</v>
      </c>
      <c r="B78" s="305" t="s">
        <v>534</v>
      </c>
      <c r="C78" s="305"/>
      <c r="D78" s="305" t="s">
        <v>81</v>
      </c>
      <c r="E78" t="s">
        <v>87</v>
      </c>
      <c r="F78" t="s">
        <v>991</v>
      </c>
      <c r="G78" s="305" t="s">
        <v>992</v>
      </c>
      <c r="H78" t="s">
        <v>802</v>
      </c>
      <c r="I78" t="s">
        <v>277</v>
      </c>
      <c r="J78" s="3">
        <v>23</v>
      </c>
      <c r="K78" t="s">
        <v>82</v>
      </c>
      <c r="L78" t="s">
        <v>82</v>
      </c>
      <c r="M78" t="s">
        <v>816</v>
      </c>
      <c r="N78" s="3" t="s">
        <v>816</v>
      </c>
      <c r="O78" t="s">
        <v>200</v>
      </c>
      <c r="P78" t="s">
        <v>199</v>
      </c>
      <c r="Q78" s="3">
        <v>4</v>
      </c>
      <c r="R78">
        <v>2</v>
      </c>
      <c r="S78">
        <v>2</v>
      </c>
      <c r="T78" s="3">
        <v>5</v>
      </c>
      <c r="U78">
        <v>2</v>
      </c>
      <c r="V78">
        <v>3</v>
      </c>
      <c r="W78">
        <v>6</v>
      </c>
      <c r="X78">
        <v>6</v>
      </c>
      <c r="Y78">
        <v>7</v>
      </c>
      <c r="Z78">
        <v>7</v>
      </c>
      <c r="AA78" t="s">
        <v>32</v>
      </c>
      <c r="AB78" t="s">
        <v>32</v>
      </c>
      <c r="AC78" t="s">
        <v>32</v>
      </c>
      <c r="AD78" t="s">
        <v>32</v>
      </c>
      <c r="AE78" t="s">
        <v>32</v>
      </c>
      <c r="AF78" t="s">
        <v>32</v>
      </c>
      <c r="AG78" t="s">
        <v>32</v>
      </c>
      <c r="AH78" t="s">
        <v>32</v>
      </c>
      <c r="AI78">
        <v>6</v>
      </c>
      <c r="AJ78">
        <v>6</v>
      </c>
      <c r="AK78" t="s">
        <v>32</v>
      </c>
      <c r="AL78" t="s">
        <v>32</v>
      </c>
      <c r="AM78" t="s">
        <v>32</v>
      </c>
      <c r="AN78" t="s">
        <v>32</v>
      </c>
      <c r="AO78" t="s">
        <v>32</v>
      </c>
      <c r="AP78" t="s">
        <v>32</v>
      </c>
      <c r="AQ78" t="s">
        <v>32</v>
      </c>
      <c r="AR78" s="3" t="s">
        <v>32</v>
      </c>
      <c r="AS78" t="s">
        <v>32</v>
      </c>
      <c r="AT78" t="s">
        <v>32</v>
      </c>
      <c r="AU78" s="3" t="s">
        <v>6</v>
      </c>
      <c r="AV78">
        <v>6</v>
      </c>
      <c r="AW78" s="3" t="s">
        <v>393</v>
      </c>
      <c r="AX78" t="s">
        <v>32</v>
      </c>
      <c r="AY78" s="5" t="s">
        <v>33</v>
      </c>
      <c r="AZ78" s="372" t="s">
        <v>199</v>
      </c>
      <c r="BA78" s="6">
        <f t="shared" si="32"/>
        <v>3.1666666666666665</v>
      </c>
      <c r="BB78" s="9" t="str">
        <f t="shared" si="33"/>
        <v>Minors</v>
      </c>
      <c r="BC78" s="9">
        <f t="shared" si="34"/>
        <v>3.8333333333333335</v>
      </c>
      <c r="BD78" s="9" t="str">
        <f t="shared" si="35"/>
        <v>Minors</v>
      </c>
      <c r="BE78" s="9">
        <f t="shared" si="36"/>
        <v>3.8333333333333335</v>
      </c>
      <c r="BF78" s="9" t="str">
        <f t="shared" si="37"/>
        <v>Minors</v>
      </c>
      <c r="BG78" s="77">
        <f t="shared" si="38"/>
        <v>3</v>
      </c>
      <c r="BH78" s="76">
        <f t="shared" si="39"/>
        <v>3</v>
      </c>
      <c r="BI78" s="305" t="str">
        <f t="shared" si="40"/>
        <v/>
      </c>
      <c r="BJ78" s="306" t="e">
        <f>IF(Q78="-","-",VLOOKUP($A78,AMAPit!$A$10:$AY$122,BJ$9,FALSE)-Q78)</f>
        <v>#N/A</v>
      </c>
      <c r="BK78" s="306" t="e">
        <f>IF(R78="-","-",VLOOKUP($A78,AMAPit!$A$10:$AY$122,BK$9,FALSE)-R78)</f>
        <v>#N/A</v>
      </c>
      <c r="BL78" s="306" t="e">
        <f>IF(S78="-","-",VLOOKUP($A78,AMAPit!$A$10:$AY$122,BL$9,FALSE)-S78)</f>
        <v>#N/A</v>
      </c>
      <c r="BM78" s="306" t="e">
        <f>IF(T78="-","-",VLOOKUP($A78,AMAPit!$A$10:$AY$122,BM$9,FALSE)-T78)</f>
        <v>#N/A</v>
      </c>
      <c r="BN78" s="306" t="e">
        <f>IF(U78="-","-",VLOOKUP($A78,AMAPit!$A$10:$AY$122,BN$9,FALSE)-U78)</f>
        <v>#N/A</v>
      </c>
      <c r="BO78" s="306" t="e">
        <f>IF(V78="-","-",VLOOKUP($A78,AMAPit!$A$10:$AY$122,BO$9,FALSE)-V78)</f>
        <v>#N/A</v>
      </c>
      <c r="BP78" s="306" t="e">
        <f>IF(W78="-","-",VLOOKUP($A78,AMAPit!$A$10:$AY$122,BP$9,FALSE)-W78)</f>
        <v>#N/A</v>
      </c>
      <c r="BQ78" s="306" t="e">
        <f>IF(X78="-","-",VLOOKUP($A78,AMAPit!$A$10:$AY$122,BQ$9,FALSE)-X78)</f>
        <v>#N/A</v>
      </c>
      <c r="BR78" s="306" t="e">
        <f>IF(Y78="-","-",VLOOKUP($A78,AMAPit!$A$10:$AY$122,BR$9,FALSE)-Y78)</f>
        <v>#N/A</v>
      </c>
      <c r="BS78" s="306" t="e">
        <f>IF(Z78="-","-",VLOOKUP($A78,AMAPit!$A$10:$AY$122,BS$9,FALSE)-Z78)</f>
        <v>#N/A</v>
      </c>
      <c r="BT78" s="306" t="str">
        <f>IF(AA78="-","-",VLOOKUP($A78,AMAPit!$A$10:$AY$122,BT$9,FALSE)-AA78)</f>
        <v>-</v>
      </c>
      <c r="BU78" s="306" t="str">
        <f>IF(AB78="-","-",VLOOKUP($A78,AMAPit!$A$10:$AY$122,BU$9,FALSE)-AB78)</f>
        <v>-</v>
      </c>
      <c r="BV78" s="306" t="str">
        <f>IF(AC78="-","-",VLOOKUP($A78,AMAPit!$A$10:$AY$122,BV$9,FALSE)-AC78)</f>
        <v>-</v>
      </c>
      <c r="BW78" s="306" t="str">
        <f>IF(AD78="-","-",VLOOKUP($A78,AMAPit!$A$10:$AY$122,BW$9,FALSE)-AD78)</f>
        <v>-</v>
      </c>
      <c r="BX78" s="306" t="str">
        <f>IF(AE78="-","-",VLOOKUP($A78,AMAPit!$A$10:$AY$122,BX$9,FALSE)-AE78)</f>
        <v>-</v>
      </c>
      <c r="BY78" s="306" t="str">
        <f>IF(AF78="-","-",VLOOKUP($A78,AMAPit!$A$10:$AY$122,BY$9,FALSE)-AF78)</f>
        <v>-</v>
      </c>
      <c r="BZ78" s="306" t="str">
        <f>IF(AG78="-","-",VLOOKUP($A78,AMAPit!$A$10:$AY$122,BZ$9,FALSE)-AG78)</f>
        <v>-</v>
      </c>
      <c r="CA78" s="306" t="str">
        <f>IF(AH78="-","-",VLOOKUP($A78,AMAPit!$A$10:$AY$122,CA$9,FALSE)-AH78)</f>
        <v>-</v>
      </c>
      <c r="CB78" s="306" t="e">
        <f>IF(AI78="-","-",VLOOKUP($A78,AMAPit!$A$10:$AY$122,CB$9,FALSE)-AI78)</f>
        <v>#N/A</v>
      </c>
      <c r="CC78" s="306" t="e">
        <f>IF(AJ78="-","-",VLOOKUP($A78,AMAPit!$A$10:$AY$122,CC$9,FALSE)-AJ78)</f>
        <v>#N/A</v>
      </c>
      <c r="CD78" s="306" t="str">
        <f>IF(AK78="-","-",VLOOKUP($A78,AMAPit!$A$10:$AY$122,CD$9,FALSE)-AK78)</f>
        <v>-</v>
      </c>
      <c r="CE78" s="306" t="str">
        <f>IF(AL78="-","-",VLOOKUP($A78,AMAPit!$A$10:$AY$122,CE$9,FALSE)-AL78)</f>
        <v>-</v>
      </c>
      <c r="CF78" s="306" t="str">
        <f>IF(AM78="-","-",VLOOKUP($A78,AMAPit!$A$10:$AY$122,CF$9,FALSE)-AM78)</f>
        <v>-</v>
      </c>
      <c r="CG78" s="306" t="str">
        <f>IF(AN78="-","-",VLOOKUP($A78,AMAPit!$A$10:$AY$122,CG$9,FALSE)-AN78)</f>
        <v>-</v>
      </c>
      <c r="CH78" s="306" t="str">
        <f>IF(AO78="-","-",VLOOKUP($A78,AMAPit!$A$10:$AY$122,CH$9,FALSE)-AO78)</f>
        <v>-</v>
      </c>
      <c r="CI78" s="306" t="str">
        <f>IF(AP78="-","-",VLOOKUP($A78,AMAPit!$A$10:$AY$122,CI$9,FALSE)-AP78)</f>
        <v>-</v>
      </c>
      <c r="CJ78" s="306" t="str">
        <f>IF(AQ78="-","-",VLOOKUP($A78,AMAPit!$A$10:$AY$122,CJ$9,FALSE)-AQ78)</f>
        <v>-</v>
      </c>
      <c r="CK78" s="306" t="str">
        <f>IF(AR78="-","-",VLOOKUP($A78,AMAPit!$A$10:$AY$122,CK$9,FALSE)-AR78)</f>
        <v>-</v>
      </c>
      <c r="CL78" s="306" t="str">
        <f>IF(AS78="-","-",VLOOKUP($A78,AMAPit!$A$10:$AY$122,CL$9,FALSE)-AS78)</f>
        <v>-</v>
      </c>
      <c r="CM78" s="306" t="str">
        <f>IF(AT78="-","-",VLOOKUP($A78,AMAPit!$A$10:$AY$122,CM$9,FALSE)-AT78)</f>
        <v>-</v>
      </c>
      <c r="CN78" s="305" t="e">
        <f t="shared" si="41"/>
        <v>#N/A</v>
      </c>
    </row>
    <row r="79" spans="1:92" x14ac:dyDescent="0.25">
      <c r="A79" s="305" t="s">
        <v>591</v>
      </c>
      <c r="B79" s="305" t="s">
        <v>534</v>
      </c>
      <c r="C79" s="305"/>
      <c r="D79" s="305" t="s">
        <v>81</v>
      </c>
      <c r="E79" t="s">
        <v>11</v>
      </c>
      <c r="F79" t="s">
        <v>444</v>
      </c>
      <c r="G79" s="305" t="s">
        <v>436</v>
      </c>
      <c r="H79" t="s">
        <v>802</v>
      </c>
      <c r="I79" t="s">
        <v>277</v>
      </c>
      <c r="J79" s="3">
        <v>21</v>
      </c>
      <c r="K79" t="s">
        <v>83</v>
      </c>
      <c r="L79" t="s">
        <v>83</v>
      </c>
      <c r="M79" t="s">
        <v>816</v>
      </c>
      <c r="N79" s="3" t="s">
        <v>816</v>
      </c>
      <c r="O79" t="s">
        <v>201</v>
      </c>
      <c r="P79" t="s">
        <v>200</v>
      </c>
      <c r="Q79" s="3">
        <v>4</v>
      </c>
      <c r="R79">
        <v>2</v>
      </c>
      <c r="S79">
        <v>2</v>
      </c>
      <c r="T79" s="3">
        <v>6</v>
      </c>
      <c r="U79">
        <v>2</v>
      </c>
      <c r="V79">
        <v>2</v>
      </c>
      <c r="W79">
        <v>6</v>
      </c>
      <c r="X79">
        <v>7</v>
      </c>
      <c r="Y79">
        <v>1</v>
      </c>
      <c r="Z79">
        <v>1</v>
      </c>
      <c r="AA79">
        <v>4</v>
      </c>
      <c r="AB79">
        <v>6</v>
      </c>
      <c r="AC79" t="s">
        <v>32</v>
      </c>
      <c r="AD79" t="s">
        <v>32</v>
      </c>
      <c r="AE79" t="s">
        <v>32</v>
      </c>
      <c r="AF79" t="s">
        <v>32</v>
      </c>
      <c r="AG79" t="s">
        <v>32</v>
      </c>
      <c r="AH79" t="s">
        <v>32</v>
      </c>
      <c r="AI79" t="s">
        <v>32</v>
      </c>
      <c r="AJ79" t="s">
        <v>32</v>
      </c>
      <c r="AK79" t="s">
        <v>32</v>
      </c>
      <c r="AL79" t="s">
        <v>32</v>
      </c>
      <c r="AM79" t="s">
        <v>32</v>
      </c>
      <c r="AN79" t="s">
        <v>32</v>
      </c>
      <c r="AO79" t="s">
        <v>32</v>
      </c>
      <c r="AP79" t="s">
        <v>32</v>
      </c>
      <c r="AQ79" t="s">
        <v>32</v>
      </c>
      <c r="AR79" s="3" t="s">
        <v>32</v>
      </c>
      <c r="AS79" t="s">
        <v>32</v>
      </c>
      <c r="AT79" t="s">
        <v>32</v>
      </c>
      <c r="AU79" s="3" t="s">
        <v>7</v>
      </c>
      <c r="AV79">
        <v>5</v>
      </c>
      <c r="AW79" s="3" t="s">
        <v>393</v>
      </c>
      <c r="AX79" t="s">
        <v>32</v>
      </c>
      <c r="AY79" s="5" t="s">
        <v>33</v>
      </c>
      <c r="AZ79" s="372" t="s">
        <v>199</v>
      </c>
      <c r="BA79" s="6">
        <f t="shared" si="32"/>
        <v>3.1666666666666665</v>
      </c>
      <c r="BB79" s="9" t="str">
        <f t="shared" si="33"/>
        <v>Minors</v>
      </c>
      <c r="BC79" s="9">
        <f t="shared" si="34"/>
        <v>3.8333333333333335</v>
      </c>
      <c r="BD79" s="9" t="str">
        <f t="shared" si="35"/>
        <v>Minors</v>
      </c>
      <c r="BE79" s="9">
        <f t="shared" si="36"/>
        <v>3.8333333333333335</v>
      </c>
      <c r="BF79" s="9" t="str">
        <f t="shared" si="37"/>
        <v>Minors</v>
      </c>
      <c r="BG79" s="77">
        <f t="shared" si="38"/>
        <v>3</v>
      </c>
      <c r="BH79" s="76">
        <f t="shared" si="39"/>
        <v>1.5</v>
      </c>
      <c r="BI79" s="305" t="str">
        <f t="shared" si="40"/>
        <v/>
      </c>
      <c r="BJ79" s="306" t="e">
        <f>IF(Q79="-","-",VLOOKUP($A79,AMAPit!$A$10:$AY$122,BJ$9,FALSE)-Q79)</f>
        <v>#N/A</v>
      </c>
      <c r="BK79" s="306" t="e">
        <f>IF(R79="-","-",VLOOKUP($A79,AMAPit!$A$10:$AY$122,BK$9,FALSE)-R79)</f>
        <v>#N/A</v>
      </c>
      <c r="BL79" s="306" t="e">
        <f>IF(S79="-","-",VLOOKUP($A79,AMAPit!$A$10:$AY$122,BL$9,FALSE)-S79)</f>
        <v>#N/A</v>
      </c>
      <c r="BM79" s="306" t="e">
        <f>IF(T79="-","-",VLOOKUP($A79,AMAPit!$A$10:$AY$122,BM$9,FALSE)-T79)</f>
        <v>#N/A</v>
      </c>
      <c r="BN79" s="306" t="e">
        <f>IF(U79="-","-",VLOOKUP($A79,AMAPit!$A$10:$AY$122,BN$9,FALSE)-U79)</f>
        <v>#N/A</v>
      </c>
      <c r="BO79" s="306" t="e">
        <f>IF(V79="-","-",VLOOKUP($A79,AMAPit!$A$10:$AY$122,BO$9,FALSE)-V79)</f>
        <v>#N/A</v>
      </c>
      <c r="BP79" s="306" t="e">
        <f>IF(W79="-","-",VLOOKUP($A79,AMAPit!$A$10:$AY$122,BP$9,FALSE)-W79)</f>
        <v>#N/A</v>
      </c>
      <c r="BQ79" s="306" t="e">
        <f>IF(X79="-","-",VLOOKUP($A79,AMAPit!$A$10:$AY$122,BQ$9,FALSE)-X79)</f>
        <v>#N/A</v>
      </c>
      <c r="BR79" s="306" t="e">
        <f>IF(Y79="-","-",VLOOKUP($A79,AMAPit!$A$10:$AY$122,BR$9,FALSE)-Y79)</f>
        <v>#N/A</v>
      </c>
      <c r="BS79" s="306" t="e">
        <f>IF(Z79="-","-",VLOOKUP($A79,AMAPit!$A$10:$AY$122,BS$9,FALSE)-Z79)</f>
        <v>#N/A</v>
      </c>
      <c r="BT79" s="306" t="e">
        <f>IF(AA79="-","-",VLOOKUP($A79,AMAPit!$A$10:$AY$122,BT$9,FALSE)-AA79)</f>
        <v>#N/A</v>
      </c>
      <c r="BU79" s="306" t="e">
        <f>IF(AB79="-","-",VLOOKUP($A79,AMAPit!$A$10:$AY$122,BU$9,FALSE)-AB79)</f>
        <v>#N/A</v>
      </c>
      <c r="BV79" s="306" t="str">
        <f>IF(AC79="-","-",VLOOKUP($A79,AMAPit!$A$10:$AY$122,BV$9,FALSE)-AC79)</f>
        <v>-</v>
      </c>
      <c r="BW79" s="306" t="str">
        <f>IF(AD79="-","-",VLOOKUP($A79,AMAPit!$A$10:$AY$122,BW$9,FALSE)-AD79)</f>
        <v>-</v>
      </c>
      <c r="BX79" s="306" t="str">
        <f>IF(AE79="-","-",VLOOKUP($A79,AMAPit!$A$10:$AY$122,BX$9,FALSE)-AE79)</f>
        <v>-</v>
      </c>
      <c r="BY79" s="306" t="str">
        <f>IF(AF79="-","-",VLOOKUP($A79,AMAPit!$A$10:$AY$122,BY$9,FALSE)-AF79)</f>
        <v>-</v>
      </c>
      <c r="BZ79" s="306" t="str">
        <f>IF(AG79="-","-",VLOOKUP($A79,AMAPit!$A$10:$AY$122,BZ$9,FALSE)-AG79)</f>
        <v>-</v>
      </c>
      <c r="CA79" s="306" t="str">
        <f>IF(AH79="-","-",VLOOKUP($A79,AMAPit!$A$10:$AY$122,CA$9,FALSE)-AH79)</f>
        <v>-</v>
      </c>
      <c r="CB79" s="306" t="str">
        <f>IF(AI79="-","-",VLOOKUP($A79,AMAPit!$A$10:$AY$122,CB$9,FALSE)-AI79)</f>
        <v>-</v>
      </c>
      <c r="CC79" s="306" t="str">
        <f>IF(AJ79="-","-",VLOOKUP($A79,AMAPit!$A$10:$AY$122,CC$9,FALSE)-AJ79)</f>
        <v>-</v>
      </c>
      <c r="CD79" s="306" t="str">
        <f>IF(AK79="-","-",VLOOKUP($A79,AMAPit!$A$10:$AY$122,CD$9,FALSE)-AK79)</f>
        <v>-</v>
      </c>
      <c r="CE79" s="306" t="str">
        <f>IF(AL79="-","-",VLOOKUP($A79,AMAPit!$A$10:$AY$122,CE$9,FALSE)-AL79)</f>
        <v>-</v>
      </c>
      <c r="CF79" s="306" t="str">
        <f>IF(AM79="-","-",VLOOKUP($A79,AMAPit!$A$10:$AY$122,CF$9,FALSE)-AM79)</f>
        <v>-</v>
      </c>
      <c r="CG79" s="306" t="str">
        <f>IF(AN79="-","-",VLOOKUP($A79,AMAPit!$A$10:$AY$122,CG$9,FALSE)-AN79)</f>
        <v>-</v>
      </c>
      <c r="CH79" s="306" t="str">
        <f>IF(AO79="-","-",VLOOKUP($A79,AMAPit!$A$10:$AY$122,CH$9,FALSE)-AO79)</f>
        <v>-</v>
      </c>
      <c r="CI79" s="306" t="str">
        <f>IF(AP79="-","-",VLOOKUP($A79,AMAPit!$A$10:$AY$122,CI$9,FALSE)-AP79)</f>
        <v>-</v>
      </c>
      <c r="CJ79" s="306" t="str">
        <f>IF(AQ79="-","-",VLOOKUP($A79,AMAPit!$A$10:$AY$122,CJ$9,FALSE)-AQ79)</f>
        <v>-</v>
      </c>
      <c r="CK79" s="306" t="str">
        <f>IF(AR79="-","-",VLOOKUP($A79,AMAPit!$A$10:$AY$122,CK$9,FALSE)-AR79)</f>
        <v>-</v>
      </c>
      <c r="CL79" s="306" t="str">
        <f>IF(AS79="-","-",VLOOKUP($A79,AMAPit!$A$10:$AY$122,CL$9,FALSE)-AS79)</f>
        <v>-</v>
      </c>
      <c r="CM79" s="306" t="str">
        <f>IF(AT79="-","-",VLOOKUP($A79,AMAPit!$A$10:$AY$122,CM$9,FALSE)-AT79)</f>
        <v>-</v>
      </c>
      <c r="CN79" s="305" t="e">
        <f t="shared" si="41"/>
        <v>#N/A</v>
      </c>
    </row>
    <row r="80" spans="1:92" x14ac:dyDescent="0.25">
      <c r="A80" s="305" t="s">
        <v>592</v>
      </c>
      <c r="B80" s="305" t="s">
        <v>534</v>
      </c>
      <c r="C80" s="305"/>
      <c r="D80" s="305" t="s">
        <v>81</v>
      </c>
      <c r="E80" t="s">
        <v>87</v>
      </c>
      <c r="F80" t="s">
        <v>1029</v>
      </c>
      <c r="G80" s="305" t="s">
        <v>909</v>
      </c>
      <c r="H80" t="s">
        <v>802</v>
      </c>
      <c r="I80" t="s">
        <v>277</v>
      </c>
      <c r="J80" s="3">
        <v>23</v>
      </c>
      <c r="K80" t="s">
        <v>82</v>
      </c>
      <c r="L80" t="s">
        <v>82</v>
      </c>
      <c r="M80" t="s">
        <v>816</v>
      </c>
      <c r="N80" s="3" t="s">
        <v>816</v>
      </c>
      <c r="O80" t="s">
        <v>200</v>
      </c>
      <c r="P80" t="s">
        <v>200</v>
      </c>
      <c r="Q80" s="3">
        <v>4</v>
      </c>
      <c r="R80">
        <v>2</v>
      </c>
      <c r="S80">
        <v>2</v>
      </c>
      <c r="T80" s="3">
        <v>5</v>
      </c>
      <c r="U80">
        <v>3</v>
      </c>
      <c r="V80">
        <v>2</v>
      </c>
      <c r="W80">
        <v>7</v>
      </c>
      <c r="X80">
        <v>8</v>
      </c>
      <c r="Y80">
        <v>3</v>
      </c>
      <c r="Z80">
        <v>5</v>
      </c>
      <c r="AA80">
        <v>6</v>
      </c>
      <c r="AB80">
        <v>7</v>
      </c>
      <c r="AC80" t="s">
        <v>32</v>
      </c>
      <c r="AD80" t="s">
        <v>32</v>
      </c>
      <c r="AE80" t="s">
        <v>32</v>
      </c>
      <c r="AF80" t="s">
        <v>32</v>
      </c>
      <c r="AG80" t="s">
        <v>32</v>
      </c>
      <c r="AH80" t="s">
        <v>32</v>
      </c>
      <c r="AI80" t="s">
        <v>32</v>
      </c>
      <c r="AJ80" t="s">
        <v>32</v>
      </c>
      <c r="AK80" t="s">
        <v>32</v>
      </c>
      <c r="AL80" t="s">
        <v>32</v>
      </c>
      <c r="AM80" t="s">
        <v>32</v>
      </c>
      <c r="AN80" t="s">
        <v>32</v>
      </c>
      <c r="AO80" t="s">
        <v>32</v>
      </c>
      <c r="AP80" t="s">
        <v>32</v>
      </c>
      <c r="AQ80" t="s">
        <v>32</v>
      </c>
      <c r="AR80" s="3" t="s">
        <v>32</v>
      </c>
      <c r="AS80" t="s">
        <v>32</v>
      </c>
      <c r="AT80" t="s">
        <v>32</v>
      </c>
      <c r="AU80" s="3" t="s">
        <v>2</v>
      </c>
      <c r="AV80">
        <v>7</v>
      </c>
      <c r="AW80" s="3" t="s">
        <v>395</v>
      </c>
      <c r="AX80" t="s">
        <v>32</v>
      </c>
      <c r="AY80" s="5">
        <v>0</v>
      </c>
      <c r="AZ80" s="372" t="s">
        <v>529</v>
      </c>
      <c r="BA80" s="6">
        <f t="shared" si="32"/>
        <v>3.1666666666666665</v>
      </c>
      <c r="BB80" s="9" t="str">
        <f t="shared" si="33"/>
        <v>Minors</v>
      </c>
      <c r="BC80" s="9">
        <f t="shared" si="34"/>
        <v>3.8333333333333335</v>
      </c>
      <c r="BD80" s="9" t="str">
        <f t="shared" si="35"/>
        <v>Minors</v>
      </c>
      <c r="BE80" s="9">
        <f t="shared" si="36"/>
        <v>3.8333333333333335</v>
      </c>
      <c r="BF80" s="9" t="str">
        <f t="shared" si="37"/>
        <v>Minors</v>
      </c>
      <c r="BG80" s="77">
        <f t="shared" si="38"/>
        <v>3</v>
      </c>
      <c r="BH80" s="76">
        <f t="shared" si="39"/>
        <v>2</v>
      </c>
      <c r="BI80" s="305" t="str">
        <f t="shared" si="40"/>
        <v/>
      </c>
      <c r="BJ80" s="306" t="e">
        <f>IF(Q80="-","-",VLOOKUP($A80,AMAPit!$A$10:$AY$122,BJ$9,FALSE)-Q80)</f>
        <v>#N/A</v>
      </c>
      <c r="BK80" s="306" t="e">
        <f>IF(R80="-","-",VLOOKUP($A80,AMAPit!$A$10:$AY$122,BK$9,FALSE)-R80)</f>
        <v>#N/A</v>
      </c>
      <c r="BL80" s="306" t="e">
        <f>IF(S80="-","-",VLOOKUP($A80,AMAPit!$A$10:$AY$122,BL$9,FALSE)-S80)</f>
        <v>#N/A</v>
      </c>
      <c r="BM80" s="306" t="e">
        <f>IF(T80="-","-",VLOOKUP($A80,AMAPit!$A$10:$AY$122,BM$9,FALSE)-T80)</f>
        <v>#N/A</v>
      </c>
      <c r="BN80" s="306" t="e">
        <f>IF(U80="-","-",VLOOKUP($A80,AMAPit!$A$10:$AY$122,BN$9,FALSE)-U80)</f>
        <v>#N/A</v>
      </c>
      <c r="BO80" s="306" t="e">
        <f>IF(V80="-","-",VLOOKUP($A80,AMAPit!$A$10:$AY$122,BO$9,FALSE)-V80)</f>
        <v>#N/A</v>
      </c>
      <c r="BP80" s="306" t="e">
        <f>IF(W80="-","-",VLOOKUP($A80,AMAPit!$A$10:$AY$122,BP$9,FALSE)-W80)</f>
        <v>#N/A</v>
      </c>
      <c r="BQ80" s="306" t="e">
        <f>IF(X80="-","-",VLOOKUP($A80,AMAPit!$A$10:$AY$122,BQ$9,FALSE)-X80)</f>
        <v>#N/A</v>
      </c>
      <c r="BR80" s="306" t="e">
        <f>IF(Y80="-","-",VLOOKUP($A80,AMAPit!$A$10:$AY$122,BR$9,FALSE)-Y80)</f>
        <v>#N/A</v>
      </c>
      <c r="BS80" s="306" t="e">
        <f>IF(Z80="-","-",VLOOKUP($A80,AMAPit!$A$10:$AY$122,BS$9,FALSE)-Z80)</f>
        <v>#N/A</v>
      </c>
      <c r="BT80" s="306" t="e">
        <f>IF(AA80="-","-",VLOOKUP($A80,AMAPit!$A$10:$AY$122,BT$9,FALSE)-AA80)</f>
        <v>#N/A</v>
      </c>
      <c r="BU80" s="306" t="e">
        <f>IF(AB80="-","-",VLOOKUP($A80,AMAPit!$A$10:$AY$122,BU$9,FALSE)-AB80)</f>
        <v>#N/A</v>
      </c>
      <c r="BV80" s="306" t="str">
        <f>IF(AC80="-","-",VLOOKUP($A80,AMAPit!$A$10:$AY$122,BV$9,FALSE)-AC80)</f>
        <v>-</v>
      </c>
      <c r="BW80" s="306" t="str">
        <f>IF(AD80="-","-",VLOOKUP($A80,AMAPit!$A$10:$AY$122,BW$9,FALSE)-AD80)</f>
        <v>-</v>
      </c>
      <c r="BX80" s="306" t="str">
        <f>IF(AE80="-","-",VLOOKUP($A80,AMAPit!$A$10:$AY$122,BX$9,FALSE)-AE80)</f>
        <v>-</v>
      </c>
      <c r="BY80" s="306" t="str">
        <f>IF(AF80="-","-",VLOOKUP($A80,AMAPit!$A$10:$AY$122,BY$9,FALSE)-AF80)</f>
        <v>-</v>
      </c>
      <c r="BZ80" s="306" t="str">
        <f>IF(AG80="-","-",VLOOKUP($A80,AMAPit!$A$10:$AY$122,BZ$9,FALSE)-AG80)</f>
        <v>-</v>
      </c>
      <c r="CA80" s="306" t="str">
        <f>IF(AH80="-","-",VLOOKUP($A80,AMAPit!$A$10:$AY$122,CA$9,FALSE)-AH80)</f>
        <v>-</v>
      </c>
      <c r="CB80" s="306" t="str">
        <f>IF(AI80="-","-",VLOOKUP($A80,AMAPit!$A$10:$AY$122,CB$9,FALSE)-AI80)</f>
        <v>-</v>
      </c>
      <c r="CC80" s="306" t="str">
        <f>IF(AJ80="-","-",VLOOKUP($A80,AMAPit!$A$10:$AY$122,CC$9,FALSE)-AJ80)</f>
        <v>-</v>
      </c>
      <c r="CD80" s="306" t="str">
        <f>IF(AK80="-","-",VLOOKUP($A80,AMAPit!$A$10:$AY$122,CD$9,FALSE)-AK80)</f>
        <v>-</v>
      </c>
      <c r="CE80" s="306" t="str">
        <f>IF(AL80="-","-",VLOOKUP($A80,AMAPit!$A$10:$AY$122,CE$9,FALSE)-AL80)</f>
        <v>-</v>
      </c>
      <c r="CF80" s="306" t="str">
        <f>IF(AM80="-","-",VLOOKUP($A80,AMAPit!$A$10:$AY$122,CF$9,FALSE)-AM80)</f>
        <v>-</v>
      </c>
      <c r="CG80" s="306" t="str">
        <f>IF(AN80="-","-",VLOOKUP($A80,AMAPit!$A$10:$AY$122,CG$9,FALSE)-AN80)</f>
        <v>-</v>
      </c>
      <c r="CH80" s="306" t="str">
        <f>IF(AO80="-","-",VLOOKUP($A80,AMAPit!$A$10:$AY$122,CH$9,FALSE)-AO80)</f>
        <v>-</v>
      </c>
      <c r="CI80" s="306" t="str">
        <f>IF(AP80="-","-",VLOOKUP($A80,AMAPit!$A$10:$AY$122,CI$9,FALSE)-AP80)</f>
        <v>-</v>
      </c>
      <c r="CJ80" s="306" t="str">
        <f>IF(AQ80="-","-",VLOOKUP($A80,AMAPit!$A$10:$AY$122,CJ$9,FALSE)-AQ80)</f>
        <v>-</v>
      </c>
      <c r="CK80" s="306" t="str">
        <f>IF(AR80="-","-",VLOOKUP($A80,AMAPit!$A$10:$AY$122,CK$9,FALSE)-AR80)</f>
        <v>-</v>
      </c>
      <c r="CL80" s="306" t="str">
        <f>IF(AS80="-","-",VLOOKUP($A80,AMAPit!$A$10:$AY$122,CL$9,FALSE)-AS80)</f>
        <v>-</v>
      </c>
      <c r="CM80" s="306" t="str">
        <f>IF(AT80="-","-",VLOOKUP($A80,AMAPit!$A$10:$AY$122,CM$9,FALSE)-AT80)</f>
        <v>-</v>
      </c>
      <c r="CN80" s="305" t="e">
        <f t="shared" si="41"/>
        <v>#N/A</v>
      </c>
    </row>
    <row r="81" spans="1:92" x14ac:dyDescent="0.25">
      <c r="A81" s="305" t="s">
        <v>593</v>
      </c>
      <c r="B81" s="305" t="s">
        <v>534</v>
      </c>
      <c r="C81" s="305"/>
      <c r="D81" s="305" t="s">
        <v>72</v>
      </c>
      <c r="E81" t="s">
        <v>11</v>
      </c>
      <c r="F81" t="s">
        <v>497</v>
      </c>
      <c r="G81" s="305" t="s">
        <v>990</v>
      </c>
      <c r="H81" t="s">
        <v>802</v>
      </c>
      <c r="I81" t="s">
        <v>277</v>
      </c>
      <c r="J81" s="3">
        <v>20</v>
      </c>
      <c r="K81" t="s">
        <v>83</v>
      </c>
      <c r="L81" t="s">
        <v>83</v>
      </c>
      <c r="M81" t="s">
        <v>816</v>
      </c>
      <c r="N81" s="3" t="s">
        <v>816</v>
      </c>
      <c r="O81" t="s">
        <v>201</v>
      </c>
      <c r="P81" t="s">
        <v>200</v>
      </c>
      <c r="Q81" s="3">
        <v>5</v>
      </c>
      <c r="R81">
        <v>2</v>
      </c>
      <c r="S81">
        <v>1</v>
      </c>
      <c r="T81" s="3">
        <v>6</v>
      </c>
      <c r="U81">
        <v>2</v>
      </c>
      <c r="V81">
        <v>1</v>
      </c>
      <c r="W81">
        <v>7</v>
      </c>
      <c r="X81">
        <v>8</v>
      </c>
      <c r="Y81" t="s">
        <v>32</v>
      </c>
      <c r="Z81" t="s">
        <v>32</v>
      </c>
      <c r="AA81">
        <v>3</v>
      </c>
      <c r="AB81">
        <v>5</v>
      </c>
      <c r="AC81" t="s">
        <v>32</v>
      </c>
      <c r="AD81" t="s">
        <v>32</v>
      </c>
      <c r="AE81" t="s">
        <v>32</v>
      </c>
      <c r="AF81" t="s">
        <v>32</v>
      </c>
      <c r="AG81" t="s">
        <v>32</v>
      </c>
      <c r="AH81" t="s">
        <v>32</v>
      </c>
      <c r="AI81" t="s">
        <v>32</v>
      </c>
      <c r="AJ81" t="s">
        <v>32</v>
      </c>
      <c r="AK81" t="s">
        <v>32</v>
      </c>
      <c r="AL81" t="s">
        <v>32</v>
      </c>
      <c r="AM81" t="s">
        <v>32</v>
      </c>
      <c r="AN81" t="s">
        <v>32</v>
      </c>
      <c r="AO81" t="s">
        <v>32</v>
      </c>
      <c r="AP81" t="s">
        <v>32</v>
      </c>
      <c r="AQ81" t="s">
        <v>32</v>
      </c>
      <c r="AR81" s="3" t="s">
        <v>32</v>
      </c>
      <c r="AS81" t="s">
        <v>32</v>
      </c>
      <c r="AT81" t="s">
        <v>32</v>
      </c>
      <c r="AU81" s="3" t="s">
        <v>326</v>
      </c>
      <c r="AV81">
        <v>1</v>
      </c>
      <c r="AW81" s="3" t="s">
        <v>393</v>
      </c>
      <c r="AX81" t="s">
        <v>32</v>
      </c>
      <c r="AY81" s="5">
        <v>0</v>
      </c>
      <c r="AZ81" s="372" t="s">
        <v>529</v>
      </c>
      <c r="BA81" s="6">
        <f t="shared" si="32"/>
        <v>3.1666666666666665</v>
      </c>
      <c r="BB81" s="9" t="str">
        <f t="shared" si="33"/>
        <v>Minors</v>
      </c>
      <c r="BC81" s="9">
        <f t="shared" si="34"/>
        <v>3.5</v>
      </c>
      <c r="BD81" s="9" t="str">
        <f t="shared" si="35"/>
        <v>Minors</v>
      </c>
      <c r="BE81" s="9">
        <f t="shared" si="36"/>
        <v>3.5</v>
      </c>
      <c r="BF81" s="9" t="str">
        <f t="shared" si="37"/>
        <v>Minors</v>
      </c>
      <c r="BG81" s="77">
        <f t="shared" si="38"/>
        <v>2</v>
      </c>
      <c r="BH81" s="76">
        <f t="shared" si="39"/>
        <v>1</v>
      </c>
      <c r="BI81" s="305" t="str">
        <f t="shared" si="40"/>
        <v/>
      </c>
      <c r="BJ81" s="306" t="e">
        <f>IF(Q81="-","-",VLOOKUP($A81,AMAPit!$A$10:$AY$122,BJ$9,FALSE)-Q81)</f>
        <v>#N/A</v>
      </c>
      <c r="BK81" s="306" t="e">
        <f>IF(R81="-","-",VLOOKUP($A81,AMAPit!$A$10:$AY$122,BK$9,FALSE)-R81)</f>
        <v>#N/A</v>
      </c>
      <c r="BL81" s="306" t="e">
        <f>IF(S81="-","-",VLOOKUP($A81,AMAPit!$A$10:$AY$122,BL$9,FALSE)-S81)</f>
        <v>#N/A</v>
      </c>
      <c r="BM81" s="306" t="e">
        <f>IF(T81="-","-",VLOOKUP($A81,AMAPit!$A$10:$AY$122,BM$9,FALSE)-T81)</f>
        <v>#N/A</v>
      </c>
      <c r="BN81" s="306" t="e">
        <f>IF(U81="-","-",VLOOKUP($A81,AMAPit!$A$10:$AY$122,BN$9,FALSE)-U81)</f>
        <v>#N/A</v>
      </c>
      <c r="BO81" s="306" t="e">
        <f>IF(V81="-","-",VLOOKUP($A81,AMAPit!$A$10:$AY$122,BO$9,FALSE)-V81)</f>
        <v>#N/A</v>
      </c>
      <c r="BP81" s="306" t="e">
        <f>IF(W81="-","-",VLOOKUP($A81,AMAPit!$A$10:$AY$122,BP$9,FALSE)-W81)</f>
        <v>#N/A</v>
      </c>
      <c r="BQ81" s="306" t="e">
        <f>IF(X81="-","-",VLOOKUP($A81,AMAPit!$A$10:$AY$122,BQ$9,FALSE)-X81)</f>
        <v>#N/A</v>
      </c>
      <c r="BR81" s="306" t="str">
        <f>IF(Y81="-","-",VLOOKUP($A81,AMAPit!$A$10:$AY$122,BR$9,FALSE)-Y81)</f>
        <v>-</v>
      </c>
      <c r="BS81" s="306" t="str">
        <f>IF(Z81="-","-",VLOOKUP($A81,AMAPit!$A$10:$AY$122,BS$9,FALSE)-Z81)</f>
        <v>-</v>
      </c>
      <c r="BT81" s="306" t="e">
        <f>IF(AA81="-","-",VLOOKUP($A81,AMAPit!$A$10:$AY$122,BT$9,FALSE)-AA81)</f>
        <v>#N/A</v>
      </c>
      <c r="BU81" s="306" t="e">
        <f>IF(AB81="-","-",VLOOKUP($A81,AMAPit!$A$10:$AY$122,BU$9,FALSE)-AB81)</f>
        <v>#N/A</v>
      </c>
      <c r="BV81" s="306" t="str">
        <f>IF(AC81="-","-",VLOOKUP($A81,AMAPit!$A$10:$AY$122,BV$9,FALSE)-AC81)</f>
        <v>-</v>
      </c>
      <c r="BW81" s="306" t="str">
        <f>IF(AD81="-","-",VLOOKUP($A81,AMAPit!$A$10:$AY$122,BW$9,FALSE)-AD81)</f>
        <v>-</v>
      </c>
      <c r="BX81" s="306" t="str">
        <f>IF(AE81="-","-",VLOOKUP($A81,AMAPit!$A$10:$AY$122,BX$9,FALSE)-AE81)</f>
        <v>-</v>
      </c>
      <c r="BY81" s="306" t="str">
        <f>IF(AF81="-","-",VLOOKUP($A81,AMAPit!$A$10:$AY$122,BY$9,FALSE)-AF81)</f>
        <v>-</v>
      </c>
      <c r="BZ81" s="306" t="str">
        <f>IF(AG81="-","-",VLOOKUP($A81,AMAPit!$A$10:$AY$122,BZ$9,FALSE)-AG81)</f>
        <v>-</v>
      </c>
      <c r="CA81" s="306" t="str">
        <f>IF(AH81="-","-",VLOOKUP($A81,AMAPit!$A$10:$AY$122,CA$9,FALSE)-AH81)</f>
        <v>-</v>
      </c>
      <c r="CB81" s="306" t="str">
        <f>IF(AI81="-","-",VLOOKUP($A81,AMAPit!$A$10:$AY$122,CB$9,FALSE)-AI81)</f>
        <v>-</v>
      </c>
      <c r="CC81" s="306" t="str">
        <f>IF(AJ81="-","-",VLOOKUP($A81,AMAPit!$A$10:$AY$122,CC$9,FALSE)-AJ81)</f>
        <v>-</v>
      </c>
      <c r="CD81" s="306" t="str">
        <f>IF(AK81="-","-",VLOOKUP($A81,AMAPit!$A$10:$AY$122,CD$9,FALSE)-AK81)</f>
        <v>-</v>
      </c>
      <c r="CE81" s="306" t="str">
        <f>IF(AL81="-","-",VLOOKUP($A81,AMAPit!$A$10:$AY$122,CE$9,FALSE)-AL81)</f>
        <v>-</v>
      </c>
      <c r="CF81" s="306" t="str">
        <f>IF(AM81="-","-",VLOOKUP($A81,AMAPit!$A$10:$AY$122,CF$9,FALSE)-AM81)</f>
        <v>-</v>
      </c>
      <c r="CG81" s="306" t="str">
        <f>IF(AN81="-","-",VLOOKUP($A81,AMAPit!$A$10:$AY$122,CG$9,FALSE)-AN81)</f>
        <v>-</v>
      </c>
      <c r="CH81" s="306" t="str">
        <f>IF(AO81="-","-",VLOOKUP($A81,AMAPit!$A$10:$AY$122,CH$9,FALSE)-AO81)</f>
        <v>-</v>
      </c>
      <c r="CI81" s="306" t="str">
        <f>IF(AP81="-","-",VLOOKUP($A81,AMAPit!$A$10:$AY$122,CI$9,FALSE)-AP81)</f>
        <v>-</v>
      </c>
      <c r="CJ81" s="306" t="str">
        <f>IF(AQ81="-","-",VLOOKUP($A81,AMAPit!$A$10:$AY$122,CJ$9,FALSE)-AQ81)</f>
        <v>-</v>
      </c>
      <c r="CK81" s="306" t="str">
        <f>IF(AR81="-","-",VLOOKUP($A81,AMAPit!$A$10:$AY$122,CK$9,FALSE)-AR81)</f>
        <v>-</v>
      </c>
      <c r="CL81" s="306" t="str">
        <f>IF(AS81="-","-",VLOOKUP($A81,AMAPit!$A$10:$AY$122,CL$9,FALSE)-AS81)</f>
        <v>-</v>
      </c>
      <c r="CM81" s="306" t="str">
        <f>IF(AT81="-","-",VLOOKUP($A81,AMAPit!$A$10:$AY$122,CM$9,FALSE)-AT81)</f>
        <v>-</v>
      </c>
      <c r="CN81" s="305" t="e">
        <f t="shared" si="41"/>
        <v>#N/A</v>
      </c>
    </row>
    <row r="82" spans="1:92" x14ac:dyDescent="0.25">
      <c r="A82" s="305" t="s">
        <v>594</v>
      </c>
      <c r="B82" s="305" t="s">
        <v>534</v>
      </c>
      <c r="C82" s="305"/>
      <c r="D82" s="305" t="s">
        <v>81</v>
      </c>
      <c r="E82" t="s">
        <v>87</v>
      </c>
      <c r="F82" t="s">
        <v>1001</v>
      </c>
      <c r="G82" s="305" t="s">
        <v>1002</v>
      </c>
      <c r="H82" t="s">
        <v>814</v>
      </c>
      <c r="I82" t="s">
        <v>187</v>
      </c>
      <c r="J82" s="3">
        <v>22</v>
      </c>
      <c r="K82" t="s">
        <v>82</v>
      </c>
      <c r="L82" t="s">
        <v>83</v>
      </c>
      <c r="M82" t="s">
        <v>816</v>
      </c>
      <c r="N82" s="3" t="s">
        <v>816</v>
      </c>
      <c r="O82" t="s">
        <v>200</v>
      </c>
      <c r="P82" t="s">
        <v>200</v>
      </c>
      <c r="Q82" s="3">
        <v>5</v>
      </c>
      <c r="R82">
        <v>1</v>
      </c>
      <c r="S82">
        <v>2</v>
      </c>
      <c r="T82" s="3">
        <v>5</v>
      </c>
      <c r="U82">
        <v>2</v>
      </c>
      <c r="V82">
        <v>2</v>
      </c>
      <c r="W82">
        <v>6</v>
      </c>
      <c r="X82">
        <v>7</v>
      </c>
      <c r="Y82">
        <v>7</v>
      </c>
      <c r="Z82">
        <v>8</v>
      </c>
      <c r="AA82">
        <v>5</v>
      </c>
      <c r="AB82">
        <v>7</v>
      </c>
      <c r="AC82" t="s">
        <v>32</v>
      </c>
      <c r="AD82" t="s">
        <v>32</v>
      </c>
      <c r="AE82" t="s">
        <v>32</v>
      </c>
      <c r="AF82" t="s">
        <v>32</v>
      </c>
      <c r="AG82" t="s">
        <v>32</v>
      </c>
      <c r="AH82" t="s">
        <v>32</v>
      </c>
      <c r="AI82" t="s">
        <v>32</v>
      </c>
      <c r="AJ82" t="s">
        <v>32</v>
      </c>
      <c r="AK82" t="s">
        <v>32</v>
      </c>
      <c r="AL82" t="s">
        <v>32</v>
      </c>
      <c r="AM82" t="s">
        <v>32</v>
      </c>
      <c r="AN82" t="s">
        <v>32</v>
      </c>
      <c r="AO82" t="s">
        <v>32</v>
      </c>
      <c r="AP82" t="s">
        <v>32</v>
      </c>
      <c r="AQ82" t="s">
        <v>32</v>
      </c>
      <c r="AR82" s="3" t="s">
        <v>32</v>
      </c>
      <c r="AS82" t="s">
        <v>32</v>
      </c>
      <c r="AT82" t="s">
        <v>32</v>
      </c>
      <c r="AU82" s="3" t="s">
        <v>2</v>
      </c>
      <c r="AV82">
        <v>8</v>
      </c>
      <c r="AW82" s="3" t="s">
        <v>40</v>
      </c>
      <c r="AX82" t="s">
        <v>32</v>
      </c>
      <c r="AY82" s="5" t="s">
        <v>33</v>
      </c>
      <c r="AZ82" s="372" t="s">
        <v>529</v>
      </c>
      <c r="BA82" s="6">
        <f t="shared" si="32"/>
        <v>3.1666666666666665</v>
      </c>
      <c r="BB82" s="9" t="str">
        <f t="shared" si="33"/>
        <v>Minors</v>
      </c>
      <c r="BC82" s="9">
        <f t="shared" si="34"/>
        <v>3.5</v>
      </c>
      <c r="BD82" s="9" t="str">
        <f t="shared" si="35"/>
        <v>Minors</v>
      </c>
      <c r="BE82" s="9">
        <f t="shared" si="36"/>
        <v>3.5</v>
      </c>
      <c r="BF82" s="9" t="str">
        <f t="shared" si="37"/>
        <v>Minors</v>
      </c>
      <c r="BG82" s="77">
        <f t="shared" si="38"/>
        <v>3</v>
      </c>
      <c r="BH82" s="76">
        <f t="shared" si="39"/>
        <v>2.5</v>
      </c>
      <c r="BI82" s="305" t="str">
        <f t="shared" si="40"/>
        <v/>
      </c>
      <c r="BJ82" s="306" t="e">
        <f>IF(Q82="-","-",VLOOKUP($A82,AMAPit!$A$10:$AY$122,BJ$9,FALSE)-Q82)</f>
        <v>#N/A</v>
      </c>
      <c r="BK82" s="306" t="e">
        <f>IF(R82="-","-",VLOOKUP($A82,AMAPit!$A$10:$AY$122,BK$9,FALSE)-R82)</f>
        <v>#N/A</v>
      </c>
      <c r="BL82" s="306" t="e">
        <f>IF(S82="-","-",VLOOKUP($A82,AMAPit!$A$10:$AY$122,BL$9,FALSE)-S82)</f>
        <v>#N/A</v>
      </c>
      <c r="BM82" s="306" t="e">
        <f>IF(T82="-","-",VLOOKUP($A82,AMAPit!$A$10:$AY$122,BM$9,FALSE)-T82)</f>
        <v>#N/A</v>
      </c>
      <c r="BN82" s="306" t="e">
        <f>IF(U82="-","-",VLOOKUP($A82,AMAPit!$A$10:$AY$122,BN$9,FALSE)-U82)</f>
        <v>#N/A</v>
      </c>
      <c r="BO82" s="306" t="e">
        <f>IF(V82="-","-",VLOOKUP($A82,AMAPit!$A$10:$AY$122,BO$9,FALSE)-V82)</f>
        <v>#N/A</v>
      </c>
      <c r="BP82" s="306" t="e">
        <f>IF(W82="-","-",VLOOKUP($A82,AMAPit!$A$10:$AY$122,BP$9,FALSE)-W82)</f>
        <v>#N/A</v>
      </c>
      <c r="BQ82" s="306" t="e">
        <f>IF(X82="-","-",VLOOKUP($A82,AMAPit!$A$10:$AY$122,BQ$9,FALSE)-X82)</f>
        <v>#N/A</v>
      </c>
      <c r="BR82" s="306" t="e">
        <f>IF(Y82="-","-",VLOOKUP($A82,AMAPit!$A$10:$AY$122,BR$9,FALSE)-Y82)</f>
        <v>#N/A</v>
      </c>
      <c r="BS82" s="306" t="e">
        <f>IF(Z82="-","-",VLOOKUP($A82,AMAPit!$A$10:$AY$122,BS$9,FALSE)-Z82)</f>
        <v>#N/A</v>
      </c>
      <c r="BT82" s="306" t="e">
        <f>IF(AA82="-","-",VLOOKUP($A82,AMAPit!$A$10:$AY$122,BT$9,FALSE)-AA82)</f>
        <v>#N/A</v>
      </c>
      <c r="BU82" s="306" t="e">
        <f>IF(AB82="-","-",VLOOKUP($A82,AMAPit!$A$10:$AY$122,BU$9,FALSE)-AB82)</f>
        <v>#N/A</v>
      </c>
      <c r="BV82" s="306" t="str">
        <f>IF(AC82="-","-",VLOOKUP($A82,AMAPit!$A$10:$AY$122,BV$9,FALSE)-AC82)</f>
        <v>-</v>
      </c>
      <c r="BW82" s="306" t="str">
        <f>IF(AD82="-","-",VLOOKUP($A82,AMAPit!$A$10:$AY$122,BW$9,FALSE)-AD82)</f>
        <v>-</v>
      </c>
      <c r="BX82" s="306" t="str">
        <f>IF(AE82="-","-",VLOOKUP($A82,AMAPit!$A$10:$AY$122,BX$9,FALSE)-AE82)</f>
        <v>-</v>
      </c>
      <c r="BY82" s="306" t="str">
        <f>IF(AF82="-","-",VLOOKUP($A82,AMAPit!$A$10:$AY$122,BY$9,FALSE)-AF82)</f>
        <v>-</v>
      </c>
      <c r="BZ82" s="306" t="str">
        <f>IF(AG82="-","-",VLOOKUP($A82,AMAPit!$A$10:$AY$122,BZ$9,FALSE)-AG82)</f>
        <v>-</v>
      </c>
      <c r="CA82" s="306" t="str">
        <f>IF(AH82="-","-",VLOOKUP($A82,AMAPit!$A$10:$AY$122,CA$9,FALSE)-AH82)</f>
        <v>-</v>
      </c>
      <c r="CB82" s="306" t="str">
        <f>IF(AI82="-","-",VLOOKUP($A82,AMAPit!$A$10:$AY$122,CB$9,FALSE)-AI82)</f>
        <v>-</v>
      </c>
      <c r="CC82" s="306" t="str">
        <f>IF(AJ82="-","-",VLOOKUP($A82,AMAPit!$A$10:$AY$122,CC$9,FALSE)-AJ82)</f>
        <v>-</v>
      </c>
      <c r="CD82" s="306" t="str">
        <f>IF(AK82="-","-",VLOOKUP($A82,AMAPit!$A$10:$AY$122,CD$9,FALSE)-AK82)</f>
        <v>-</v>
      </c>
      <c r="CE82" s="306" t="str">
        <f>IF(AL82="-","-",VLOOKUP($A82,AMAPit!$A$10:$AY$122,CE$9,FALSE)-AL82)</f>
        <v>-</v>
      </c>
      <c r="CF82" s="306" t="str">
        <f>IF(AM82="-","-",VLOOKUP($A82,AMAPit!$A$10:$AY$122,CF$9,FALSE)-AM82)</f>
        <v>-</v>
      </c>
      <c r="CG82" s="306" t="str">
        <f>IF(AN82="-","-",VLOOKUP($A82,AMAPit!$A$10:$AY$122,CG$9,FALSE)-AN82)</f>
        <v>-</v>
      </c>
      <c r="CH82" s="306" t="str">
        <f>IF(AO82="-","-",VLOOKUP($A82,AMAPit!$A$10:$AY$122,CH$9,FALSE)-AO82)</f>
        <v>-</v>
      </c>
      <c r="CI82" s="306" t="str">
        <f>IF(AP82="-","-",VLOOKUP($A82,AMAPit!$A$10:$AY$122,CI$9,FALSE)-AP82)</f>
        <v>-</v>
      </c>
      <c r="CJ82" s="306" t="str">
        <f>IF(AQ82="-","-",VLOOKUP($A82,AMAPit!$A$10:$AY$122,CJ$9,FALSE)-AQ82)</f>
        <v>-</v>
      </c>
      <c r="CK82" s="306" t="str">
        <f>IF(AR82="-","-",VLOOKUP($A82,AMAPit!$A$10:$AY$122,CK$9,FALSE)-AR82)</f>
        <v>-</v>
      </c>
      <c r="CL82" s="306" t="str">
        <f>IF(AS82="-","-",VLOOKUP($A82,AMAPit!$A$10:$AY$122,CL$9,FALSE)-AS82)</f>
        <v>-</v>
      </c>
      <c r="CM82" s="306" t="str">
        <f>IF(AT82="-","-",VLOOKUP($A82,AMAPit!$A$10:$AY$122,CM$9,FALSE)-AT82)</f>
        <v>-</v>
      </c>
      <c r="CN82" s="305" t="e">
        <f t="shared" si="41"/>
        <v>#N/A</v>
      </c>
    </row>
    <row r="83" spans="1:92" x14ac:dyDescent="0.25">
      <c r="A83" s="305" t="s">
        <v>595</v>
      </c>
      <c r="B83" s="305" t="s">
        <v>534</v>
      </c>
      <c r="C83" s="305"/>
      <c r="D83" s="305" t="s">
        <v>81</v>
      </c>
      <c r="E83" t="s">
        <v>11</v>
      </c>
      <c r="F83" t="s">
        <v>998</v>
      </c>
      <c r="G83" s="305" t="s">
        <v>999</v>
      </c>
      <c r="H83" t="s">
        <v>814</v>
      </c>
      <c r="I83" t="s">
        <v>187</v>
      </c>
      <c r="J83" s="3">
        <v>24</v>
      </c>
      <c r="K83" t="s">
        <v>83</v>
      </c>
      <c r="L83" t="s">
        <v>83</v>
      </c>
      <c r="M83" t="s">
        <v>816</v>
      </c>
      <c r="N83" s="3" t="s">
        <v>816</v>
      </c>
      <c r="O83" t="s">
        <v>200</v>
      </c>
      <c r="P83" t="s">
        <v>199</v>
      </c>
      <c r="Q83" s="3">
        <v>4</v>
      </c>
      <c r="R83">
        <v>1</v>
      </c>
      <c r="S83">
        <v>3</v>
      </c>
      <c r="T83" s="3">
        <v>4</v>
      </c>
      <c r="U83">
        <v>1</v>
      </c>
      <c r="V83">
        <v>3</v>
      </c>
      <c r="W83">
        <v>6</v>
      </c>
      <c r="X83">
        <v>7</v>
      </c>
      <c r="Y83">
        <v>1</v>
      </c>
      <c r="Z83">
        <v>1</v>
      </c>
      <c r="AA83">
        <v>4</v>
      </c>
      <c r="AB83">
        <v>5</v>
      </c>
      <c r="AC83" t="s">
        <v>32</v>
      </c>
      <c r="AD83" t="s">
        <v>32</v>
      </c>
      <c r="AE83" t="s">
        <v>32</v>
      </c>
      <c r="AF83" t="s">
        <v>32</v>
      </c>
      <c r="AG83" t="s">
        <v>32</v>
      </c>
      <c r="AH83" t="s">
        <v>32</v>
      </c>
      <c r="AI83" t="s">
        <v>32</v>
      </c>
      <c r="AJ83" t="s">
        <v>32</v>
      </c>
      <c r="AK83" t="s">
        <v>32</v>
      </c>
      <c r="AL83" t="s">
        <v>32</v>
      </c>
      <c r="AM83" t="s">
        <v>32</v>
      </c>
      <c r="AN83" t="s">
        <v>32</v>
      </c>
      <c r="AO83" t="s">
        <v>32</v>
      </c>
      <c r="AP83" t="s">
        <v>32</v>
      </c>
      <c r="AQ83" t="s">
        <v>32</v>
      </c>
      <c r="AR83" s="3" t="s">
        <v>32</v>
      </c>
      <c r="AS83" t="s">
        <v>32</v>
      </c>
      <c r="AT83" t="s">
        <v>32</v>
      </c>
      <c r="AU83" s="3" t="s">
        <v>1</v>
      </c>
      <c r="AV83">
        <v>2</v>
      </c>
      <c r="AW83" s="3" t="s">
        <v>395</v>
      </c>
      <c r="AX83" t="s">
        <v>32</v>
      </c>
      <c r="AY83" s="5">
        <v>0</v>
      </c>
      <c r="AZ83" s="372" t="s">
        <v>199</v>
      </c>
      <c r="BA83" s="6">
        <f t="shared" si="32"/>
        <v>3.1666666666666665</v>
      </c>
      <c r="BB83" s="9" t="str">
        <f t="shared" si="33"/>
        <v>Minors</v>
      </c>
      <c r="BC83" s="9">
        <f t="shared" si="34"/>
        <v>3.1666666666666665</v>
      </c>
      <c r="BD83" s="9" t="str">
        <f t="shared" si="35"/>
        <v>Minors</v>
      </c>
      <c r="BE83" s="9">
        <f t="shared" si="36"/>
        <v>3.1666666666666665</v>
      </c>
      <c r="BF83" s="9" t="str">
        <f t="shared" si="37"/>
        <v>Minors</v>
      </c>
      <c r="BG83" s="77">
        <f t="shared" si="38"/>
        <v>3</v>
      </c>
      <c r="BH83" s="76">
        <f t="shared" si="39"/>
        <v>1</v>
      </c>
      <c r="BI83" s="305" t="str">
        <f t="shared" si="40"/>
        <v/>
      </c>
      <c r="BJ83" s="306" t="e">
        <f>IF(Q83="-","-",VLOOKUP($A83,AMAPit!$A$10:$AY$122,BJ$9,FALSE)-Q83)</f>
        <v>#N/A</v>
      </c>
      <c r="BK83" s="306" t="e">
        <f>IF(R83="-","-",VLOOKUP($A83,AMAPit!$A$10:$AY$122,BK$9,FALSE)-R83)</f>
        <v>#N/A</v>
      </c>
      <c r="BL83" s="306" t="e">
        <f>IF(S83="-","-",VLOOKUP($A83,AMAPit!$A$10:$AY$122,BL$9,FALSE)-S83)</f>
        <v>#N/A</v>
      </c>
      <c r="BM83" s="306" t="e">
        <f>IF(T83="-","-",VLOOKUP($A83,AMAPit!$A$10:$AY$122,BM$9,FALSE)-T83)</f>
        <v>#N/A</v>
      </c>
      <c r="BN83" s="306" t="e">
        <f>IF(U83="-","-",VLOOKUP($A83,AMAPit!$A$10:$AY$122,BN$9,FALSE)-U83)</f>
        <v>#N/A</v>
      </c>
      <c r="BO83" s="306" t="e">
        <f>IF(V83="-","-",VLOOKUP($A83,AMAPit!$A$10:$AY$122,BO$9,FALSE)-V83)</f>
        <v>#N/A</v>
      </c>
      <c r="BP83" s="306" t="e">
        <f>IF(W83="-","-",VLOOKUP($A83,AMAPit!$A$10:$AY$122,BP$9,FALSE)-W83)</f>
        <v>#N/A</v>
      </c>
      <c r="BQ83" s="306" t="e">
        <f>IF(X83="-","-",VLOOKUP($A83,AMAPit!$A$10:$AY$122,BQ$9,FALSE)-X83)</f>
        <v>#N/A</v>
      </c>
      <c r="BR83" s="306" t="e">
        <f>IF(Y83="-","-",VLOOKUP($A83,AMAPit!$A$10:$AY$122,BR$9,FALSE)-Y83)</f>
        <v>#N/A</v>
      </c>
      <c r="BS83" s="306" t="e">
        <f>IF(Z83="-","-",VLOOKUP($A83,AMAPit!$A$10:$AY$122,BS$9,FALSE)-Z83)</f>
        <v>#N/A</v>
      </c>
      <c r="BT83" s="306" t="e">
        <f>IF(AA83="-","-",VLOOKUP($A83,AMAPit!$A$10:$AY$122,BT$9,FALSE)-AA83)</f>
        <v>#N/A</v>
      </c>
      <c r="BU83" s="306" t="e">
        <f>IF(AB83="-","-",VLOOKUP($A83,AMAPit!$A$10:$AY$122,BU$9,FALSE)-AB83)</f>
        <v>#N/A</v>
      </c>
      <c r="BV83" s="306" t="str">
        <f>IF(AC83="-","-",VLOOKUP($A83,AMAPit!$A$10:$AY$122,BV$9,FALSE)-AC83)</f>
        <v>-</v>
      </c>
      <c r="BW83" s="306" t="str">
        <f>IF(AD83="-","-",VLOOKUP($A83,AMAPit!$A$10:$AY$122,BW$9,FALSE)-AD83)</f>
        <v>-</v>
      </c>
      <c r="BX83" s="306" t="str">
        <f>IF(AE83="-","-",VLOOKUP($A83,AMAPit!$A$10:$AY$122,BX$9,FALSE)-AE83)</f>
        <v>-</v>
      </c>
      <c r="BY83" s="306" t="str">
        <f>IF(AF83="-","-",VLOOKUP($A83,AMAPit!$A$10:$AY$122,BY$9,FALSE)-AF83)</f>
        <v>-</v>
      </c>
      <c r="BZ83" s="306" t="str">
        <f>IF(AG83="-","-",VLOOKUP($A83,AMAPit!$A$10:$AY$122,BZ$9,FALSE)-AG83)</f>
        <v>-</v>
      </c>
      <c r="CA83" s="306" t="str">
        <f>IF(AH83="-","-",VLOOKUP($A83,AMAPit!$A$10:$AY$122,CA$9,FALSE)-AH83)</f>
        <v>-</v>
      </c>
      <c r="CB83" s="306" t="str">
        <f>IF(AI83="-","-",VLOOKUP($A83,AMAPit!$A$10:$AY$122,CB$9,FALSE)-AI83)</f>
        <v>-</v>
      </c>
      <c r="CC83" s="306" t="str">
        <f>IF(AJ83="-","-",VLOOKUP($A83,AMAPit!$A$10:$AY$122,CC$9,FALSE)-AJ83)</f>
        <v>-</v>
      </c>
      <c r="CD83" s="306" t="str">
        <f>IF(AK83="-","-",VLOOKUP($A83,AMAPit!$A$10:$AY$122,CD$9,FALSE)-AK83)</f>
        <v>-</v>
      </c>
      <c r="CE83" s="306" t="str">
        <f>IF(AL83="-","-",VLOOKUP($A83,AMAPit!$A$10:$AY$122,CE$9,FALSE)-AL83)</f>
        <v>-</v>
      </c>
      <c r="CF83" s="306" t="str">
        <f>IF(AM83="-","-",VLOOKUP($A83,AMAPit!$A$10:$AY$122,CF$9,FALSE)-AM83)</f>
        <v>-</v>
      </c>
      <c r="CG83" s="306" t="str">
        <f>IF(AN83="-","-",VLOOKUP($A83,AMAPit!$A$10:$AY$122,CG$9,FALSE)-AN83)</f>
        <v>-</v>
      </c>
      <c r="CH83" s="306" t="str">
        <f>IF(AO83="-","-",VLOOKUP($A83,AMAPit!$A$10:$AY$122,CH$9,FALSE)-AO83)</f>
        <v>-</v>
      </c>
      <c r="CI83" s="306" t="str">
        <f>IF(AP83="-","-",VLOOKUP($A83,AMAPit!$A$10:$AY$122,CI$9,FALSE)-AP83)</f>
        <v>-</v>
      </c>
      <c r="CJ83" s="306" t="str">
        <f>IF(AQ83="-","-",VLOOKUP($A83,AMAPit!$A$10:$AY$122,CJ$9,FALSE)-AQ83)</f>
        <v>-</v>
      </c>
      <c r="CK83" s="306" t="str">
        <f>IF(AR83="-","-",VLOOKUP($A83,AMAPit!$A$10:$AY$122,CK$9,FALSE)-AR83)</f>
        <v>-</v>
      </c>
      <c r="CL83" s="306" t="str">
        <f>IF(AS83="-","-",VLOOKUP($A83,AMAPit!$A$10:$AY$122,CL$9,FALSE)-AS83)</f>
        <v>-</v>
      </c>
      <c r="CM83" s="306" t="str">
        <f>IF(AT83="-","-",VLOOKUP($A83,AMAPit!$A$10:$AY$122,CM$9,FALSE)-AT83)</f>
        <v>-</v>
      </c>
      <c r="CN83" s="305" t="e">
        <f t="shared" si="41"/>
        <v>#N/A</v>
      </c>
    </row>
    <row r="84" spans="1:92" x14ac:dyDescent="0.25">
      <c r="A84" s="305" t="s">
        <v>596</v>
      </c>
      <c r="B84" s="305" t="s">
        <v>534</v>
      </c>
      <c r="C84" s="305"/>
      <c r="D84" s="305" t="s">
        <v>72</v>
      </c>
      <c r="E84" t="s">
        <v>87</v>
      </c>
      <c r="F84" t="s">
        <v>440</v>
      </c>
      <c r="G84" s="305" t="s">
        <v>441</v>
      </c>
      <c r="H84" t="s">
        <v>802</v>
      </c>
      <c r="I84" t="s">
        <v>277</v>
      </c>
      <c r="J84" s="3">
        <v>23</v>
      </c>
      <c r="K84" t="s">
        <v>83</v>
      </c>
      <c r="L84" t="s">
        <v>83</v>
      </c>
      <c r="M84" t="s">
        <v>816</v>
      </c>
      <c r="N84" s="3" t="s">
        <v>816</v>
      </c>
      <c r="O84" t="s">
        <v>199</v>
      </c>
      <c r="P84" t="s">
        <v>199</v>
      </c>
      <c r="Q84" s="3">
        <v>3</v>
      </c>
      <c r="R84">
        <v>2</v>
      </c>
      <c r="S84">
        <v>3</v>
      </c>
      <c r="T84" s="3">
        <v>3</v>
      </c>
      <c r="U84">
        <v>2</v>
      </c>
      <c r="V84">
        <v>3</v>
      </c>
      <c r="W84" t="s">
        <v>32</v>
      </c>
      <c r="X84" t="s">
        <v>32</v>
      </c>
      <c r="Y84">
        <v>1</v>
      </c>
      <c r="Z84">
        <v>1</v>
      </c>
      <c r="AA84">
        <v>6</v>
      </c>
      <c r="AB84">
        <v>7</v>
      </c>
      <c r="AC84" t="s">
        <v>32</v>
      </c>
      <c r="AD84" t="s">
        <v>32</v>
      </c>
      <c r="AE84" t="s">
        <v>32</v>
      </c>
      <c r="AF84" t="s">
        <v>32</v>
      </c>
      <c r="AG84" t="s">
        <v>32</v>
      </c>
      <c r="AH84" t="s">
        <v>32</v>
      </c>
      <c r="AI84">
        <v>4</v>
      </c>
      <c r="AJ84">
        <v>4</v>
      </c>
      <c r="AK84" t="s">
        <v>32</v>
      </c>
      <c r="AL84" t="s">
        <v>32</v>
      </c>
      <c r="AM84" t="s">
        <v>32</v>
      </c>
      <c r="AN84" t="s">
        <v>32</v>
      </c>
      <c r="AO84" t="s">
        <v>32</v>
      </c>
      <c r="AP84" t="s">
        <v>32</v>
      </c>
      <c r="AQ84" t="s">
        <v>32</v>
      </c>
      <c r="AR84" s="3" t="s">
        <v>32</v>
      </c>
      <c r="AS84" t="s">
        <v>32</v>
      </c>
      <c r="AT84" t="s">
        <v>32</v>
      </c>
      <c r="AU84" s="3" t="s">
        <v>1</v>
      </c>
      <c r="AV84">
        <v>10</v>
      </c>
      <c r="AW84" s="3" t="s">
        <v>393</v>
      </c>
      <c r="AX84" t="s">
        <v>32</v>
      </c>
      <c r="AY84" s="5">
        <v>0</v>
      </c>
      <c r="AZ84" s="372" t="s">
        <v>199</v>
      </c>
      <c r="BA84" s="6">
        <f t="shared" si="32"/>
        <v>3.1666666666666665</v>
      </c>
      <c r="BB84" s="9" t="str">
        <f t="shared" si="33"/>
        <v>Minors</v>
      </c>
      <c r="BC84" s="9">
        <f t="shared" si="34"/>
        <v>3.1666666666666665</v>
      </c>
      <c r="BD84" s="9" t="str">
        <f t="shared" si="35"/>
        <v>Minors</v>
      </c>
      <c r="BE84" s="9">
        <f t="shared" si="36"/>
        <v>3.1666666666666665</v>
      </c>
      <c r="BF84" s="9" t="str">
        <f t="shared" si="37"/>
        <v>Minors</v>
      </c>
      <c r="BG84" s="77">
        <f t="shared" si="38"/>
        <v>3</v>
      </c>
      <c r="BH84" s="76">
        <f t="shared" si="39"/>
        <v>1</v>
      </c>
      <c r="BI84" s="305" t="str">
        <f t="shared" si="40"/>
        <v/>
      </c>
      <c r="BJ84" s="306" t="e">
        <f>IF(Q84="-","-",VLOOKUP($A84,AMAPit!$A$10:$AY$122,BJ$9,FALSE)-Q84)</f>
        <v>#N/A</v>
      </c>
      <c r="BK84" s="306" t="e">
        <f>IF(R84="-","-",VLOOKUP($A84,AMAPit!$A$10:$AY$122,BK$9,FALSE)-R84)</f>
        <v>#N/A</v>
      </c>
      <c r="BL84" s="306" t="e">
        <f>IF(S84="-","-",VLOOKUP($A84,AMAPit!$A$10:$AY$122,BL$9,FALSE)-S84)</f>
        <v>#N/A</v>
      </c>
      <c r="BM84" s="306" t="e">
        <f>IF(T84="-","-",VLOOKUP($A84,AMAPit!$A$10:$AY$122,BM$9,FALSE)-T84)</f>
        <v>#N/A</v>
      </c>
      <c r="BN84" s="306" t="e">
        <f>IF(U84="-","-",VLOOKUP($A84,AMAPit!$A$10:$AY$122,BN$9,FALSE)-U84)</f>
        <v>#N/A</v>
      </c>
      <c r="BO84" s="306" t="e">
        <f>IF(V84="-","-",VLOOKUP($A84,AMAPit!$A$10:$AY$122,BO$9,FALSE)-V84)</f>
        <v>#N/A</v>
      </c>
      <c r="BP84" s="306" t="str">
        <f>IF(W84="-","-",VLOOKUP($A84,AMAPit!$A$10:$AY$122,BP$9,FALSE)-W84)</f>
        <v>-</v>
      </c>
      <c r="BQ84" s="306" t="str">
        <f>IF(X84="-","-",VLOOKUP($A84,AMAPit!$A$10:$AY$122,BQ$9,FALSE)-X84)</f>
        <v>-</v>
      </c>
      <c r="BR84" s="306" t="e">
        <f>IF(Y84="-","-",VLOOKUP($A84,AMAPit!$A$10:$AY$122,BR$9,FALSE)-Y84)</f>
        <v>#N/A</v>
      </c>
      <c r="BS84" s="306" t="e">
        <f>IF(Z84="-","-",VLOOKUP($A84,AMAPit!$A$10:$AY$122,BS$9,FALSE)-Z84)</f>
        <v>#N/A</v>
      </c>
      <c r="BT84" s="306" t="e">
        <f>IF(AA84="-","-",VLOOKUP($A84,AMAPit!$A$10:$AY$122,BT$9,FALSE)-AA84)</f>
        <v>#N/A</v>
      </c>
      <c r="BU84" s="306" t="e">
        <f>IF(AB84="-","-",VLOOKUP($A84,AMAPit!$A$10:$AY$122,BU$9,FALSE)-AB84)</f>
        <v>#N/A</v>
      </c>
      <c r="BV84" s="306" t="str">
        <f>IF(AC84="-","-",VLOOKUP($A84,AMAPit!$A$10:$AY$122,BV$9,FALSE)-AC84)</f>
        <v>-</v>
      </c>
      <c r="BW84" s="306" t="str">
        <f>IF(AD84="-","-",VLOOKUP($A84,AMAPit!$A$10:$AY$122,BW$9,FALSE)-AD84)</f>
        <v>-</v>
      </c>
      <c r="BX84" s="306" t="str">
        <f>IF(AE84="-","-",VLOOKUP($A84,AMAPit!$A$10:$AY$122,BX$9,FALSE)-AE84)</f>
        <v>-</v>
      </c>
      <c r="BY84" s="306" t="str">
        <f>IF(AF84="-","-",VLOOKUP($A84,AMAPit!$A$10:$AY$122,BY$9,FALSE)-AF84)</f>
        <v>-</v>
      </c>
      <c r="BZ84" s="306" t="str">
        <f>IF(AG84="-","-",VLOOKUP($A84,AMAPit!$A$10:$AY$122,BZ$9,FALSE)-AG84)</f>
        <v>-</v>
      </c>
      <c r="CA84" s="306" t="str">
        <f>IF(AH84="-","-",VLOOKUP($A84,AMAPit!$A$10:$AY$122,CA$9,FALSE)-AH84)</f>
        <v>-</v>
      </c>
      <c r="CB84" s="306" t="e">
        <f>IF(AI84="-","-",VLOOKUP($A84,AMAPit!$A$10:$AY$122,CB$9,FALSE)-AI84)</f>
        <v>#N/A</v>
      </c>
      <c r="CC84" s="306" t="e">
        <f>IF(AJ84="-","-",VLOOKUP($A84,AMAPit!$A$10:$AY$122,CC$9,FALSE)-AJ84)</f>
        <v>#N/A</v>
      </c>
      <c r="CD84" s="306" t="str">
        <f>IF(AK84="-","-",VLOOKUP($A84,AMAPit!$A$10:$AY$122,CD$9,FALSE)-AK84)</f>
        <v>-</v>
      </c>
      <c r="CE84" s="306" t="str">
        <f>IF(AL84="-","-",VLOOKUP($A84,AMAPit!$A$10:$AY$122,CE$9,FALSE)-AL84)</f>
        <v>-</v>
      </c>
      <c r="CF84" s="306" t="str">
        <f>IF(AM84="-","-",VLOOKUP($A84,AMAPit!$A$10:$AY$122,CF$9,FALSE)-AM84)</f>
        <v>-</v>
      </c>
      <c r="CG84" s="306" t="str">
        <f>IF(AN84="-","-",VLOOKUP($A84,AMAPit!$A$10:$AY$122,CG$9,FALSE)-AN84)</f>
        <v>-</v>
      </c>
      <c r="CH84" s="306" t="str">
        <f>IF(AO84="-","-",VLOOKUP($A84,AMAPit!$A$10:$AY$122,CH$9,FALSE)-AO84)</f>
        <v>-</v>
      </c>
      <c r="CI84" s="306" t="str">
        <f>IF(AP84="-","-",VLOOKUP($A84,AMAPit!$A$10:$AY$122,CI$9,FALSE)-AP84)</f>
        <v>-</v>
      </c>
      <c r="CJ84" s="306" t="str">
        <f>IF(AQ84="-","-",VLOOKUP($A84,AMAPit!$A$10:$AY$122,CJ$9,FALSE)-AQ84)</f>
        <v>-</v>
      </c>
      <c r="CK84" s="306" t="str">
        <f>IF(AR84="-","-",VLOOKUP($A84,AMAPit!$A$10:$AY$122,CK$9,FALSE)-AR84)</f>
        <v>-</v>
      </c>
      <c r="CL84" s="306" t="str">
        <f>IF(AS84="-","-",VLOOKUP($A84,AMAPit!$A$10:$AY$122,CL$9,FALSE)-AS84)</f>
        <v>-</v>
      </c>
      <c r="CM84" s="306" t="str">
        <f>IF(AT84="-","-",VLOOKUP($A84,AMAPit!$A$10:$AY$122,CM$9,FALSE)-AT84)</f>
        <v>-</v>
      </c>
      <c r="CN84" s="305" t="e">
        <f t="shared" si="41"/>
        <v>#N/A</v>
      </c>
    </row>
    <row r="85" spans="1:92" x14ac:dyDescent="0.25">
      <c r="A85" s="305" t="s">
        <v>597</v>
      </c>
      <c r="B85" s="305" t="s">
        <v>534</v>
      </c>
      <c r="C85" s="305"/>
      <c r="D85" s="305" t="s">
        <v>81</v>
      </c>
      <c r="E85" t="s">
        <v>87</v>
      </c>
      <c r="F85" t="s">
        <v>463</v>
      </c>
      <c r="G85" s="305" t="s">
        <v>466</v>
      </c>
      <c r="H85" t="s">
        <v>810</v>
      </c>
      <c r="I85" t="s">
        <v>83</v>
      </c>
      <c r="J85" s="3">
        <v>18</v>
      </c>
      <c r="K85" t="s">
        <v>83</v>
      </c>
      <c r="L85" t="s">
        <v>83</v>
      </c>
      <c r="M85" t="s">
        <v>816</v>
      </c>
      <c r="N85" s="3" t="s">
        <v>808</v>
      </c>
      <c r="O85" t="s">
        <v>200</v>
      </c>
      <c r="P85" t="s">
        <v>200</v>
      </c>
      <c r="Q85" s="3">
        <v>3</v>
      </c>
      <c r="R85">
        <v>3</v>
      </c>
      <c r="S85">
        <v>1</v>
      </c>
      <c r="T85" s="3">
        <v>7</v>
      </c>
      <c r="U85">
        <v>6</v>
      </c>
      <c r="V85">
        <v>2</v>
      </c>
      <c r="W85">
        <v>6</v>
      </c>
      <c r="X85">
        <v>9</v>
      </c>
      <c r="Y85">
        <v>2</v>
      </c>
      <c r="Z85">
        <v>5</v>
      </c>
      <c r="AA85">
        <v>3</v>
      </c>
      <c r="AB85">
        <v>8</v>
      </c>
      <c r="AC85" t="s">
        <v>32</v>
      </c>
      <c r="AD85" t="s">
        <v>32</v>
      </c>
      <c r="AE85" t="s">
        <v>32</v>
      </c>
      <c r="AF85" t="s">
        <v>32</v>
      </c>
      <c r="AG85" t="s">
        <v>32</v>
      </c>
      <c r="AH85" t="s">
        <v>32</v>
      </c>
      <c r="AI85" t="s">
        <v>32</v>
      </c>
      <c r="AJ85" t="s">
        <v>32</v>
      </c>
      <c r="AK85">
        <v>5</v>
      </c>
      <c r="AL85">
        <v>5</v>
      </c>
      <c r="AM85" t="s">
        <v>32</v>
      </c>
      <c r="AN85" t="s">
        <v>32</v>
      </c>
      <c r="AO85" t="s">
        <v>32</v>
      </c>
      <c r="AP85" t="s">
        <v>32</v>
      </c>
      <c r="AQ85" t="s">
        <v>32</v>
      </c>
      <c r="AR85" s="3" t="s">
        <v>32</v>
      </c>
      <c r="AS85" t="s">
        <v>32</v>
      </c>
      <c r="AT85" t="s">
        <v>32</v>
      </c>
      <c r="AU85" s="3" t="s">
        <v>333</v>
      </c>
      <c r="AV85">
        <v>4</v>
      </c>
      <c r="AW85" s="3" t="s">
        <v>394</v>
      </c>
      <c r="AX85" t="s">
        <v>32</v>
      </c>
      <c r="AY85" s="5" t="s">
        <v>33</v>
      </c>
      <c r="AZ85" s="372" t="s">
        <v>529</v>
      </c>
      <c r="BA85" s="6">
        <f t="shared" si="32"/>
        <v>3.0833333333333335</v>
      </c>
      <c r="BB85" s="9" t="str">
        <f t="shared" si="33"/>
        <v>Minors</v>
      </c>
      <c r="BC85" s="9">
        <f t="shared" si="34"/>
        <v>5.75</v>
      </c>
      <c r="BD85" s="9" t="str">
        <f t="shared" si="35"/>
        <v>Reg</v>
      </c>
      <c r="BE85" s="9">
        <f t="shared" si="36"/>
        <v>5.75</v>
      </c>
      <c r="BF85" s="9" t="str">
        <f t="shared" si="37"/>
        <v>Reg</v>
      </c>
      <c r="BG85" s="77">
        <f t="shared" si="38"/>
        <v>4</v>
      </c>
      <c r="BH85" s="76">
        <f t="shared" si="39"/>
        <v>1.5</v>
      </c>
      <c r="BI85" s="305" t="str">
        <f t="shared" si="40"/>
        <v/>
      </c>
      <c r="BJ85" s="306" t="e">
        <f>IF(Q85="-","-",VLOOKUP($A85,AMAPit!$A$10:$AY$122,BJ$9,FALSE)-Q85)</f>
        <v>#N/A</v>
      </c>
      <c r="BK85" s="306" t="e">
        <f>IF(R85="-","-",VLOOKUP($A85,AMAPit!$A$10:$AY$122,BK$9,FALSE)-R85)</f>
        <v>#N/A</v>
      </c>
      <c r="BL85" s="306" t="e">
        <f>IF(S85="-","-",VLOOKUP($A85,AMAPit!$A$10:$AY$122,BL$9,FALSE)-S85)</f>
        <v>#N/A</v>
      </c>
      <c r="BM85" s="306" t="e">
        <f>IF(T85="-","-",VLOOKUP($A85,AMAPit!$A$10:$AY$122,BM$9,FALSE)-T85)</f>
        <v>#N/A</v>
      </c>
      <c r="BN85" s="306" t="e">
        <f>IF(U85="-","-",VLOOKUP($A85,AMAPit!$A$10:$AY$122,BN$9,FALSE)-U85)</f>
        <v>#N/A</v>
      </c>
      <c r="BO85" s="306" t="e">
        <f>IF(V85="-","-",VLOOKUP($A85,AMAPit!$A$10:$AY$122,BO$9,FALSE)-V85)</f>
        <v>#N/A</v>
      </c>
      <c r="BP85" s="306" t="e">
        <f>IF(W85="-","-",VLOOKUP($A85,AMAPit!$A$10:$AY$122,BP$9,FALSE)-W85)</f>
        <v>#N/A</v>
      </c>
      <c r="BQ85" s="306" t="e">
        <f>IF(X85="-","-",VLOOKUP($A85,AMAPit!$A$10:$AY$122,BQ$9,FALSE)-X85)</f>
        <v>#N/A</v>
      </c>
      <c r="BR85" s="306" t="e">
        <f>IF(Y85="-","-",VLOOKUP($A85,AMAPit!$A$10:$AY$122,BR$9,FALSE)-Y85)</f>
        <v>#N/A</v>
      </c>
      <c r="BS85" s="306" t="e">
        <f>IF(Z85="-","-",VLOOKUP($A85,AMAPit!$A$10:$AY$122,BS$9,FALSE)-Z85)</f>
        <v>#N/A</v>
      </c>
      <c r="BT85" s="306" t="e">
        <f>IF(AA85="-","-",VLOOKUP($A85,AMAPit!$A$10:$AY$122,BT$9,FALSE)-AA85)</f>
        <v>#N/A</v>
      </c>
      <c r="BU85" s="306" t="e">
        <f>IF(AB85="-","-",VLOOKUP($A85,AMAPit!$A$10:$AY$122,BU$9,FALSE)-AB85)</f>
        <v>#N/A</v>
      </c>
      <c r="BV85" s="306" t="str">
        <f>IF(AC85="-","-",VLOOKUP($A85,AMAPit!$A$10:$AY$122,BV$9,FALSE)-AC85)</f>
        <v>-</v>
      </c>
      <c r="BW85" s="306" t="str">
        <f>IF(AD85="-","-",VLOOKUP($A85,AMAPit!$A$10:$AY$122,BW$9,FALSE)-AD85)</f>
        <v>-</v>
      </c>
      <c r="BX85" s="306" t="str">
        <f>IF(AE85="-","-",VLOOKUP($A85,AMAPit!$A$10:$AY$122,BX$9,FALSE)-AE85)</f>
        <v>-</v>
      </c>
      <c r="BY85" s="306" t="str">
        <f>IF(AF85="-","-",VLOOKUP($A85,AMAPit!$A$10:$AY$122,BY$9,FALSE)-AF85)</f>
        <v>-</v>
      </c>
      <c r="BZ85" s="306" t="str">
        <f>IF(AG85="-","-",VLOOKUP($A85,AMAPit!$A$10:$AY$122,BZ$9,FALSE)-AG85)</f>
        <v>-</v>
      </c>
      <c r="CA85" s="306" t="str">
        <f>IF(AH85="-","-",VLOOKUP($A85,AMAPit!$A$10:$AY$122,CA$9,FALSE)-AH85)</f>
        <v>-</v>
      </c>
      <c r="CB85" s="306" t="str">
        <f>IF(AI85="-","-",VLOOKUP($A85,AMAPit!$A$10:$AY$122,CB$9,FALSE)-AI85)</f>
        <v>-</v>
      </c>
      <c r="CC85" s="306" t="str">
        <f>IF(AJ85="-","-",VLOOKUP($A85,AMAPit!$A$10:$AY$122,CC$9,FALSE)-AJ85)</f>
        <v>-</v>
      </c>
      <c r="CD85" s="306" t="e">
        <f>IF(AK85="-","-",VLOOKUP($A85,AMAPit!$A$10:$AY$122,CD$9,FALSE)-AK85)</f>
        <v>#N/A</v>
      </c>
      <c r="CE85" s="306" t="e">
        <f>IF(AL85="-","-",VLOOKUP($A85,AMAPit!$A$10:$AY$122,CE$9,FALSE)-AL85)</f>
        <v>#N/A</v>
      </c>
      <c r="CF85" s="306" t="str">
        <f>IF(AM85="-","-",VLOOKUP($A85,AMAPit!$A$10:$AY$122,CF$9,FALSE)-AM85)</f>
        <v>-</v>
      </c>
      <c r="CG85" s="306" t="str">
        <f>IF(AN85="-","-",VLOOKUP($A85,AMAPit!$A$10:$AY$122,CG$9,FALSE)-AN85)</f>
        <v>-</v>
      </c>
      <c r="CH85" s="306" t="str">
        <f>IF(AO85="-","-",VLOOKUP($A85,AMAPit!$A$10:$AY$122,CH$9,FALSE)-AO85)</f>
        <v>-</v>
      </c>
      <c r="CI85" s="306" t="str">
        <f>IF(AP85="-","-",VLOOKUP($A85,AMAPit!$A$10:$AY$122,CI$9,FALSE)-AP85)</f>
        <v>-</v>
      </c>
      <c r="CJ85" s="306" t="str">
        <f>IF(AQ85="-","-",VLOOKUP($A85,AMAPit!$A$10:$AY$122,CJ$9,FALSE)-AQ85)</f>
        <v>-</v>
      </c>
      <c r="CK85" s="306" t="str">
        <f>IF(AR85="-","-",VLOOKUP($A85,AMAPit!$A$10:$AY$122,CK$9,FALSE)-AR85)</f>
        <v>-</v>
      </c>
      <c r="CL85" s="306" t="str">
        <f>IF(AS85="-","-",VLOOKUP($A85,AMAPit!$A$10:$AY$122,CL$9,FALSE)-AS85)</f>
        <v>-</v>
      </c>
      <c r="CM85" s="306" t="str">
        <f>IF(AT85="-","-",VLOOKUP($A85,AMAPit!$A$10:$AY$122,CM$9,FALSE)-AT85)</f>
        <v>-</v>
      </c>
      <c r="CN85" s="305" t="e">
        <f t="shared" si="41"/>
        <v>#N/A</v>
      </c>
    </row>
    <row r="86" spans="1:92" x14ac:dyDescent="0.25">
      <c r="A86" s="305" t="s">
        <v>598</v>
      </c>
      <c r="B86" s="305" t="s">
        <v>534</v>
      </c>
      <c r="C86" s="305"/>
      <c r="D86" s="305" t="s">
        <v>72</v>
      </c>
      <c r="E86" t="s">
        <v>11</v>
      </c>
      <c r="F86" t="s">
        <v>434</v>
      </c>
      <c r="G86" s="305" t="s">
        <v>436</v>
      </c>
      <c r="H86" t="s">
        <v>810</v>
      </c>
      <c r="I86" t="s">
        <v>83</v>
      </c>
      <c r="J86" s="3">
        <v>18</v>
      </c>
      <c r="K86" t="s">
        <v>83</v>
      </c>
      <c r="L86" t="s">
        <v>83</v>
      </c>
      <c r="M86" t="s">
        <v>816</v>
      </c>
      <c r="N86" s="3" t="s">
        <v>816</v>
      </c>
      <c r="O86" t="s">
        <v>200</v>
      </c>
      <c r="P86" t="s">
        <v>200</v>
      </c>
      <c r="Q86" s="3">
        <v>4</v>
      </c>
      <c r="R86">
        <v>2</v>
      </c>
      <c r="S86">
        <v>1</v>
      </c>
      <c r="T86" s="3">
        <v>4</v>
      </c>
      <c r="U86">
        <v>2</v>
      </c>
      <c r="V86">
        <v>1</v>
      </c>
      <c r="W86">
        <v>5</v>
      </c>
      <c r="X86">
        <v>5</v>
      </c>
      <c r="Y86">
        <v>1</v>
      </c>
      <c r="Z86">
        <v>1</v>
      </c>
      <c r="AA86">
        <v>3</v>
      </c>
      <c r="AB86">
        <v>4</v>
      </c>
      <c r="AC86">
        <v>3</v>
      </c>
      <c r="AD86">
        <v>3</v>
      </c>
      <c r="AE86">
        <v>4</v>
      </c>
      <c r="AF86">
        <v>5</v>
      </c>
      <c r="AG86" t="s">
        <v>32</v>
      </c>
      <c r="AH86" t="s">
        <v>32</v>
      </c>
      <c r="AI86" t="s">
        <v>32</v>
      </c>
      <c r="AJ86" t="s">
        <v>32</v>
      </c>
      <c r="AK86" t="s">
        <v>32</v>
      </c>
      <c r="AL86" t="s">
        <v>32</v>
      </c>
      <c r="AM86" t="s">
        <v>32</v>
      </c>
      <c r="AN86" t="s">
        <v>32</v>
      </c>
      <c r="AO86" t="s">
        <v>32</v>
      </c>
      <c r="AP86" t="s">
        <v>32</v>
      </c>
      <c r="AQ86" t="s">
        <v>32</v>
      </c>
      <c r="AR86" s="3" t="s">
        <v>32</v>
      </c>
      <c r="AS86" t="s">
        <v>32</v>
      </c>
      <c r="AT86" t="s">
        <v>32</v>
      </c>
      <c r="AU86" s="3" t="s">
        <v>6</v>
      </c>
      <c r="AV86">
        <v>6</v>
      </c>
      <c r="AW86" s="3" t="s">
        <v>393</v>
      </c>
      <c r="AX86" t="s">
        <v>32</v>
      </c>
      <c r="AY86" s="5" t="s">
        <v>33</v>
      </c>
      <c r="AZ86" s="372" t="s">
        <v>529</v>
      </c>
      <c r="BA86" s="6">
        <f t="shared" ref="BA86:BA108" si="42">AVERAGE(Q86:S86)+0.25*MAX(0,(COUNT(W86,Y86,AA86,AC86,AE86,AG86,AI86,AK86,AM86,AO86,AQ86,AS86)-3))+IF(AW86&gt;0.55,0.25,0)+IF(MAX(W86,Y86,AA86,AC86,AE86,AG86,AI86,AK86,AM86,AO86,AQ86,AS86)&gt;5,0.25,0)</f>
        <v>3.0833333333333335</v>
      </c>
      <c r="BB86" s="9" t="str">
        <f t="shared" ref="BB86:BB108" si="43">IF(BA86&gt;9,"SuperStar",IF(BA86&gt;8,"Star",IF(BA86&gt;6.5,"GoodReg",IF(BA86&gt;5,"Reg",IF(BA86&gt;4,"Bench","Minors")))))</f>
        <v>Minors</v>
      </c>
      <c r="BC86" s="9">
        <f t="shared" ref="BC86:BC108" si="44">AVERAGE(T86:V86)+0.25*MAX(0,(COUNT(X86,Z86,AB86,AD86,AF86,AH86,AJ86,AL86,AN86,AP86,AR86,AT86)-3))+IF(AW86&gt;0.55,0.25,0)+IF(MAX(X86,Z86,AB86,AD86,AF86,AH86,AJ86,AL86,AN86,AP86,AR86,AT86)&gt;5,0.25,0)</f>
        <v>3.0833333333333335</v>
      </c>
      <c r="BD86" s="9" t="str">
        <f t="shared" ref="BD86:BD108" si="45">IF(BC86&gt;9,"SuperStar",IF(BC86&gt;8,"Star",IF(BC86&gt;6.5,"GoodReg",IF(BC86&gt;5,"Reg",IF(BC86&gt;4,"Bench","Minors")))))</f>
        <v>Minors</v>
      </c>
      <c r="BE86" s="9">
        <f t="shared" ref="BE86:BE108" si="46">MIN(BA86+(MAX(0,25-U86))^1.5,BC86)</f>
        <v>3.0833333333333335</v>
      </c>
      <c r="BF86" s="9" t="str">
        <f t="shared" ref="BF86:BF108" si="47">IF(BE86&gt;9,"SuperStar",IF(BE86&gt;8,"Star",IF(BE86&gt;6.5,"GoodReg",IF(BE86&gt;5,"Reg",IF(BE86&gt;4,"Bench","Minors")))))</f>
        <v>Minors</v>
      </c>
      <c r="BG86" s="77">
        <f t="shared" ref="BG86:BG108" si="48">COUNT(W86:AT86)/2</f>
        <v>5</v>
      </c>
      <c r="BH86" s="76">
        <f t="shared" ref="BH86:BH108" si="49">COUNTIF(W86:AT86,"&gt;5")/2</f>
        <v>0</v>
      </c>
      <c r="BI86" s="305" t="str">
        <f t="shared" ref="BI86:BI108" si="50">IF(AY86=1,"Yes","")</f>
        <v/>
      </c>
      <c r="BJ86" s="306" t="e">
        <f>IF(Q86="-","-",VLOOKUP($A86,AMAPit!$A$10:$AY$122,BJ$9,FALSE)-Q86)</f>
        <v>#N/A</v>
      </c>
      <c r="BK86" s="306" t="e">
        <f>IF(R86="-","-",VLOOKUP($A86,AMAPit!$A$10:$AY$122,BK$9,FALSE)-R86)</f>
        <v>#N/A</v>
      </c>
      <c r="BL86" s="306" t="e">
        <f>IF(S86="-","-",VLOOKUP($A86,AMAPit!$A$10:$AY$122,BL$9,FALSE)-S86)</f>
        <v>#N/A</v>
      </c>
      <c r="BM86" s="306" t="e">
        <f>IF(T86="-","-",VLOOKUP($A86,AMAPit!$A$10:$AY$122,BM$9,FALSE)-T86)</f>
        <v>#N/A</v>
      </c>
      <c r="BN86" s="306" t="e">
        <f>IF(U86="-","-",VLOOKUP($A86,AMAPit!$A$10:$AY$122,BN$9,FALSE)-U86)</f>
        <v>#N/A</v>
      </c>
      <c r="BO86" s="306" t="e">
        <f>IF(V86="-","-",VLOOKUP($A86,AMAPit!$A$10:$AY$122,BO$9,FALSE)-V86)</f>
        <v>#N/A</v>
      </c>
      <c r="BP86" s="306" t="e">
        <f>IF(W86="-","-",VLOOKUP($A86,AMAPit!$A$10:$AY$122,BP$9,FALSE)-W86)</f>
        <v>#N/A</v>
      </c>
      <c r="BQ86" s="306" t="e">
        <f>IF(X86="-","-",VLOOKUP($A86,AMAPit!$A$10:$AY$122,BQ$9,FALSE)-X86)</f>
        <v>#N/A</v>
      </c>
      <c r="BR86" s="306" t="e">
        <f>IF(Y86="-","-",VLOOKUP($A86,AMAPit!$A$10:$AY$122,BR$9,FALSE)-Y86)</f>
        <v>#N/A</v>
      </c>
      <c r="BS86" s="306" t="e">
        <f>IF(Z86="-","-",VLOOKUP($A86,AMAPit!$A$10:$AY$122,BS$9,FALSE)-Z86)</f>
        <v>#N/A</v>
      </c>
      <c r="BT86" s="306" t="e">
        <f>IF(AA86="-","-",VLOOKUP($A86,AMAPit!$A$10:$AY$122,BT$9,FALSE)-AA86)</f>
        <v>#N/A</v>
      </c>
      <c r="BU86" s="306" t="e">
        <f>IF(AB86="-","-",VLOOKUP($A86,AMAPit!$A$10:$AY$122,BU$9,FALSE)-AB86)</f>
        <v>#N/A</v>
      </c>
      <c r="BV86" s="306" t="e">
        <f>IF(AC86="-","-",VLOOKUP($A86,AMAPit!$A$10:$AY$122,BV$9,FALSE)-AC86)</f>
        <v>#N/A</v>
      </c>
      <c r="BW86" s="306" t="e">
        <f>IF(AD86="-","-",VLOOKUP($A86,AMAPit!$A$10:$AY$122,BW$9,FALSE)-AD86)</f>
        <v>#N/A</v>
      </c>
      <c r="BX86" s="306" t="e">
        <f>IF(AE86="-","-",VLOOKUP($A86,AMAPit!$A$10:$AY$122,BX$9,FALSE)-AE86)</f>
        <v>#N/A</v>
      </c>
      <c r="BY86" s="306" t="e">
        <f>IF(AF86="-","-",VLOOKUP($A86,AMAPit!$A$10:$AY$122,BY$9,FALSE)-AF86)</f>
        <v>#N/A</v>
      </c>
      <c r="BZ86" s="306" t="str">
        <f>IF(AG86="-","-",VLOOKUP($A86,AMAPit!$A$10:$AY$122,BZ$9,FALSE)-AG86)</f>
        <v>-</v>
      </c>
      <c r="CA86" s="306" t="str">
        <f>IF(AH86="-","-",VLOOKUP($A86,AMAPit!$A$10:$AY$122,CA$9,FALSE)-AH86)</f>
        <v>-</v>
      </c>
      <c r="CB86" s="306" t="str">
        <f>IF(AI86="-","-",VLOOKUP($A86,AMAPit!$A$10:$AY$122,CB$9,FALSE)-AI86)</f>
        <v>-</v>
      </c>
      <c r="CC86" s="306" t="str">
        <f>IF(AJ86="-","-",VLOOKUP($A86,AMAPit!$A$10:$AY$122,CC$9,FALSE)-AJ86)</f>
        <v>-</v>
      </c>
      <c r="CD86" s="306" t="str">
        <f>IF(AK86="-","-",VLOOKUP($A86,AMAPit!$A$10:$AY$122,CD$9,FALSE)-AK86)</f>
        <v>-</v>
      </c>
      <c r="CE86" s="306" t="str">
        <f>IF(AL86="-","-",VLOOKUP($A86,AMAPit!$A$10:$AY$122,CE$9,FALSE)-AL86)</f>
        <v>-</v>
      </c>
      <c r="CF86" s="306" t="str">
        <f>IF(AM86="-","-",VLOOKUP($A86,AMAPit!$A$10:$AY$122,CF$9,FALSE)-AM86)</f>
        <v>-</v>
      </c>
      <c r="CG86" s="306" t="str">
        <f>IF(AN86="-","-",VLOOKUP($A86,AMAPit!$A$10:$AY$122,CG$9,FALSE)-AN86)</f>
        <v>-</v>
      </c>
      <c r="CH86" s="306" t="str">
        <f>IF(AO86="-","-",VLOOKUP($A86,AMAPit!$A$10:$AY$122,CH$9,FALSE)-AO86)</f>
        <v>-</v>
      </c>
      <c r="CI86" s="306" t="str">
        <f>IF(AP86="-","-",VLOOKUP($A86,AMAPit!$A$10:$AY$122,CI$9,FALSE)-AP86)</f>
        <v>-</v>
      </c>
      <c r="CJ86" s="306" t="str">
        <f>IF(AQ86="-","-",VLOOKUP($A86,AMAPit!$A$10:$AY$122,CJ$9,FALSE)-AQ86)</f>
        <v>-</v>
      </c>
      <c r="CK86" s="306" t="str">
        <f>IF(AR86="-","-",VLOOKUP($A86,AMAPit!$A$10:$AY$122,CK$9,FALSE)-AR86)</f>
        <v>-</v>
      </c>
      <c r="CL86" s="306" t="str">
        <f>IF(AS86="-","-",VLOOKUP($A86,AMAPit!$A$10:$AY$122,CL$9,FALSE)-AS86)</f>
        <v>-</v>
      </c>
      <c r="CM86" s="306" t="str">
        <f>IF(AT86="-","-",VLOOKUP($A86,AMAPit!$A$10:$AY$122,CM$9,FALSE)-AT86)</f>
        <v>-</v>
      </c>
      <c r="CN86" s="305" t="e">
        <f t="shared" ref="CN86:CN108" si="51">SUM(BJ86:CM86)</f>
        <v>#N/A</v>
      </c>
    </row>
    <row r="87" spans="1:92" x14ac:dyDescent="0.25">
      <c r="A87" s="305" t="s">
        <v>599</v>
      </c>
      <c r="B87" s="305" t="s">
        <v>534</v>
      </c>
      <c r="C87" s="305"/>
      <c r="D87" s="305" t="s">
        <v>72</v>
      </c>
      <c r="E87" t="s">
        <v>11</v>
      </c>
      <c r="F87" t="s">
        <v>969</v>
      </c>
      <c r="G87" s="305" t="s">
        <v>970</v>
      </c>
      <c r="H87" t="s">
        <v>802</v>
      </c>
      <c r="I87" t="s">
        <v>277</v>
      </c>
      <c r="J87" s="3">
        <v>21</v>
      </c>
      <c r="K87" t="s">
        <v>83</v>
      </c>
      <c r="L87" t="s">
        <v>82</v>
      </c>
      <c r="M87" t="s">
        <v>816</v>
      </c>
      <c r="N87" s="3" t="s">
        <v>773</v>
      </c>
      <c r="O87" t="s">
        <v>200</v>
      </c>
      <c r="P87" t="s">
        <v>200</v>
      </c>
      <c r="Q87" s="3">
        <v>4</v>
      </c>
      <c r="R87">
        <v>2</v>
      </c>
      <c r="S87">
        <v>1</v>
      </c>
      <c r="T87" s="3">
        <v>10</v>
      </c>
      <c r="U87">
        <v>4</v>
      </c>
      <c r="V87">
        <v>2</v>
      </c>
      <c r="W87">
        <v>7</v>
      </c>
      <c r="X87">
        <v>10</v>
      </c>
      <c r="Y87" t="s">
        <v>32</v>
      </c>
      <c r="Z87" t="s">
        <v>32</v>
      </c>
      <c r="AA87" t="s">
        <v>32</v>
      </c>
      <c r="AB87" t="s">
        <v>32</v>
      </c>
      <c r="AC87">
        <v>4</v>
      </c>
      <c r="AD87">
        <v>10</v>
      </c>
      <c r="AE87" t="s">
        <v>32</v>
      </c>
      <c r="AF87" t="s">
        <v>32</v>
      </c>
      <c r="AG87" t="s">
        <v>32</v>
      </c>
      <c r="AH87" t="s">
        <v>32</v>
      </c>
      <c r="AI87" t="s">
        <v>32</v>
      </c>
      <c r="AJ87" t="s">
        <v>32</v>
      </c>
      <c r="AK87" t="s">
        <v>32</v>
      </c>
      <c r="AL87" t="s">
        <v>32</v>
      </c>
      <c r="AM87" t="s">
        <v>32</v>
      </c>
      <c r="AN87" t="s">
        <v>32</v>
      </c>
      <c r="AO87" t="s">
        <v>32</v>
      </c>
      <c r="AP87" t="s">
        <v>32</v>
      </c>
      <c r="AQ87" t="s">
        <v>32</v>
      </c>
      <c r="AR87" s="3" t="s">
        <v>32</v>
      </c>
      <c r="AS87" t="s">
        <v>32</v>
      </c>
      <c r="AT87" t="s">
        <v>32</v>
      </c>
      <c r="AU87" s="3" t="s">
        <v>4</v>
      </c>
      <c r="AV87">
        <v>1</v>
      </c>
      <c r="AW87" s="3" t="s">
        <v>393</v>
      </c>
      <c r="AX87" t="s">
        <v>32</v>
      </c>
      <c r="AY87" s="5" t="s">
        <v>33</v>
      </c>
      <c r="AZ87" s="372" t="s">
        <v>529</v>
      </c>
      <c r="BA87" s="6">
        <f t="shared" si="42"/>
        <v>2.8333333333333335</v>
      </c>
      <c r="BB87" s="9" t="str">
        <f t="shared" si="43"/>
        <v>Minors</v>
      </c>
      <c r="BC87" s="9">
        <f t="shared" si="44"/>
        <v>5.833333333333333</v>
      </c>
      <c r="BD87" s="9" t="str">
        <f t="shared" si="45"/>
        <v>Reg</v>
      </c>
      <c r="BE87" s="9">
        <f t="shared" si="46"/>
        <v>5.833333333333333</v>
      </c>
      <c r="BF87" s="9" t="str">
        <f t="shared" si="47"/>
        <v>Reg</v>
      </c>
      <c r="BG87" s="77">
        <f t="shared" si="48"/>
        <v>2</v>
      </c>
      <c r="BH87" s="76">
        <f t="shared" si="49"/>
        <v>1.5</v>
      </c>
      <c r="BI87" s="305" t="str">
        <f t="shared" si="50"/>
        <v/>
      </c>
      <c r="BJ87" s="306" t="e">
        <f>IF(Q87="-","-",VLOOKUP($A87,AMAPit!$A$10:$AY$122,BJ$9,FALSE)-Q87)</f>
        <v>#N/A</v>
      </c>
      <c r="BK87" s="306" t="e">
        <f>IF(R87="-","-",VLOOKUP($A87,AMAPit!$A$10:$AY$122,BK$9,FALSE)-R87)</f>
        <v>#N/A</v>
      </c>
      <c r="BL87" s="306" t="e">
        <f>IF(S87="-","-",VLOOKUP($A87,AMAPit!$A$10:$AY$122,BL$9,FALSE)-S87)</f>
        <v>#N/A</v>
      </c>
      <c r="BM87" s="306" t="e">
        <f>IF(T87="-","-",VLOOKUP($A87,AMAPit!$A$10:$AY$122,BM$9,FALSE)-T87)</f>
        <v>#N/A</v>
      </c>
      <c r="BN87" s="306" t="e">
        <f>IF(U87="-","-",VLOOKUP($A87,AMAPit!$A$10:$AY$122,BN$9,FALSE)-U87)</f>
        <v>#N/A</v>
      </c>
      <c r="BO87" s="306" t="e">
        <f>IF(V87="-","-",VLOOKUP($A87,AMAPit!$A$10:$AY$122,BO$9,FALSE)-V87)</f>
        <v>#N/A</v>
      </c>
      <c r="BP87" s="306" t="e">
        <f>IF(W87="-","-",VLOOKUP($A87,AMAPit!$A$10:$AY$122,BP$9,FALSE)-W87)</f>
        <v>#N/A</v>
      </c>
      <c r="BQ87" s="306" t="e">
        <f>IF(X87="-","-",VLOOKUP($A87,AMAPit!$A$10:$AY$122,BQ$9,FALSE)-X87)</f>
        <v>#N/A</v>
      </c>
      <c r="BR87" s="306" t="str">
        <f>IF(Y87="-","-",VLOOKUP($A87,AMAPit!$A$10:$AY$122,BR$9,FALSE)-Y87)</f>
        <v>-</v>
      </c>
      <c r="BS87" s="306" t="str">
        <f>IF(Z87="-","-",VLOOKUP($A87,AMAPit!$A$10:$AY$122,BS$9,FALSE)-Z87)</f>
        <v>-</v>
      </c>
      <c r="BT87" s="306" t="str">
        <f>IF(AA87="-","-",VLOOKUP($A87,AMAPit!$A$10:$AY$122,BT$9,FALSE)-AA87)</f>
        <v>-</v>
      </c>
      <c r="BU87" s="306" t="str">
        <f>IF(AB87="-","-",VLOOKUP($A87,AMAPit!$A$10:$AY$122,BU$9,FALSE)-AB87)</f>
        <v>-</v>
      </c>
      <c r="BV87" s="306" t="e">
        <f>IF(AC87="-","-",VLOOKUP($A87,AMAPit!$A$10:$AY$122,BV$9,FALSE)-AC87)</f>
        <v>#N/A</v>
      </c>
      <c r="BW87" s="306" t="e">
        <f>IF(AD87="-","-",VLOOKUP($A87,AMAPit!$A$10:$AY$122,BW$9,FALSE)-AD87)</f>
        <v>#N/A</v>
      </c>
      <c r="BX87" s="306" t="str">
        <f>IF(AE87="-","-",VLOOKUP($A87,AMAPit!$A$10:$AY$122,BX$9,FALSE)-AE87)</f>
        <v>-</v>
      </c>
      <c r="BY87" s="306" t="str">
        <f>IF(AF87="-","-",VLOOKUP($A87,AMAPit!$A$10:$AY$122,BY$9,FALSE)-AF87)</f>
        <v>-</v>
      </c>
      <c r="BZ87" s="306" t="str">
        <f>IF(AG87="-","-",VLOOKUP($A87,AMAPit!$A$10:$AY$122,BZ$9,FALSE)-AG87)</f>
        <v>-</v>
      </c>
      <c r="CA87" s="306" t="str">
        <f>IF(AH87="-","-",VLOOKUP($A87,AMAPit!$A$10:$AY$122,CA$9,FALSE)-AH87)</f>
        <v>-</v>
      </c>
      <c r="CB87" s="306" t="str">
        <f>IF(AI87="-","-",VLOOKUP($A87,AMAPit!$A$10:$AY$122,CB$9,FALSE)-AI87)</f>
        <v>-</v>
      </c>
      <c r="CC87" s="306" t="str">
        <f>IF(AJ87="-","-",VLOOKUP($A87,AMAPit!$A$10:$AY$122,CC$9,FALSE)-AJ87)</f>
        <v>-</v>
      </c>
      <c r="CD87" s="306" t="str">
        <f>IF(AK87="-","-",VLOOKUP($A87,AMAPit!$A$10:$AY$122,CD$9,FALSE)-AK87)</f>
        <v>-</v>
      </c>
      <c r="CE87" s="306" t="str">
        <f>IF(AL87="-","-",VLOOKUP($A87,AMAPit!$A$10:$AY$122,CE$9,FALSE)-AL87)</f>
        <v>-</v>
      </c>
      <c r="CF87" s="306" t="str">
        <f>IF(AM87="-","-",VLOOKUP($A87,AMAPit!$A$10:$AY$122,CF$9,FALSE)-AM87)</f>
        <v>-</v>
      </c>
      <c r="CG87" s="306" t="str">
        <f>IF(AN87="-","-",VLOOKUP($A87,AMAPit!$A$10:$AY$122,CG$9,FALSE)-AN87)</f>
        <v>-</v>
      </c>
      <c r="CH87" s="306" t="str">
        <f>IF(AO87="-","-",VLOOKUP($A87,AMAPit!$A$10:$AY$122,CH$9,FALSE)-AO87)</f>
        <v>-</v>
      </c>
      <c r="CI87" s="306" t="str">
        <f>IF(AP87="-","-",VLOOKUP($A87,AMAPit!$A$10:$AY$122,CI$9,FALSE)-AP87)</f>
        <v>-</v>
      </c>
      <c r="CJ87" s="306" t="str">
        <f>IF(AQ87="-","-",VLOOKUP($A87,AMAPit!$A$10:$AY$122,CJ$9,FALSE)-AQ87)</f>
        <v>-</v>
      </c>
      <c r="CK87" s="306" t="str">
        <f>IF(AR87="-","-",VLOOKUP($A87,AMAPit!$A$10:$AY$122,CK$9,FALSE)-AR87)</f>
        <v>-</v>
      </c>
      <c r="CL87" s="306" t="str">
        <f>IF(AS87="-","-",VLOOKUP($A87,AMAPit!$A$10:$AY$122,CL$9,FALSE)-AS87)</f>
        <v>-</v>
      </c>
      <c r="CM87" s="306" t="str">
        <f>IF(AT87="-","-",VLOOKUP($A87,AMAPit!$A$10:$AY$122,CM$9,FALSE)-AT87)</f>
        <v>-</v>
      </c>
      <c r="CN87" s="305" t="e">
        <f t="shared" si="51"/>
        <v>#N/A</v>
      </c>
    </row>
    <row r="88" spans="1:92" x14ac:dyDescent="0.25">
      <c r="A88" s="305" t="s">
        <v>600</v>
      </c>
      <c r="B88" s="305" t="s">
        <v>534</v>
      </c>
      <c r="C88" s="305"/>
      <c r="D88" s="305" t="s">
        <v>81</v>
      </c>
      <c r="E88" t="s">
        <v>11</v>
      </c>
      <c r="F88" t="s">
        <v>957</v>
      </c>
      <c r="G88" s="305" t="s">
        <v>974</v>
      </c>
      <c r="H88" t="s">
        <v>802</v>
      </c>
      <c r="I88" t="s">
        <v>277</v>
      </c>
      <c r="J88" s="3">
        <v>21</v>
      </c>
      <c r="K88" t="s">
        <v>83</v>
      </c>
      <c r="L88" t="s">
        <v>83</v>
      </c>
      <c r="M88" t="s">
        <v>816</v>
      </c>
      <c r="N88" s="3" t="s">
        <v>816</v>
      </c>
      <c r="O88" t="s">
        <v>200</v>
      </c>
      <c r="P88" t="s">
        <v>201</v>
      </c>
      <c r="Q88" s="3">
        <v>4</v>
      </c>
      <c r="R88">
        <v>2</v>
      </c>
      <c r="S88">
        <v>1</v>
      </c>
      <c r="T88" s="3">
        <v>5</v>
      </c>
      <c r="U88">
        <v>3</v>
      </c>
      <c r="V88">
        <v>1</v>
      </c>
      <c r="W88">
        <v>6</v>
      </c>
      <c r="X88">
        <v>6</v>
      </c>
      <c r="Y88">
        <v>5</v>
      </c>
      <c r="Z88">
        <v>7</v>
      </c>
      <c r="AA88">
        <v>4</v>
      </c>
      <c r="AB88">
        <v>6</v>
      </c>
      <c r="AC88" t="s">
        <v>32</v>
      </c>
      <c r="AD88" t="s">
        <v>32</v>
      </c>
      <c r="AE88" t="s">
        <v>32</v>
      </c>
      <c r="AF88" t="s">
        <v>32</v>
      </c>
      <c r="AG88" t="s">
        <v>32</v>
      </c>
      <c r="AH88" t="s">
        <v>32</v>
      </c>
      <c r="AI88" t="s">
        <v>32</v>
      </c>
      <c r="AJ88" t="s">
        <v>32</v>
      </c>
      <c r="AK88" t="s">
        <v>32</v>
      </c>
      <c r="AL88" t="s">
        <v>32</v>
      </c>
      <c r="AM88" t="s">
        <v>32</v>
      </c>
      <c r="AN88" t="s">
        <v>32</v>
      </c>
      <c r="AO88" t="s">
        <v>32</v>
      </c>
      <c r="AP88" t="s">
        <v>32</v>
      </c>
      <c r="AQ88" t="s">
        <v>32</v>
      </c>
      <c r="AR88" s="3" t="s">
        <v>32</v>
      </c>
      <c r="AS88" t="s">
        <v>32</v>
      </c>
      <c r="AT88" t="s">
        <v>32</v>
      </c>
      <c r="AU88" s="3" t="s">
        <v>8</v>
      </c>
      <c r="AV88">
        <v>7</v>
      </c>
      <c r="AW88" s="3" t="s">
        <v>393</v>
      </c>
      <c r="AX88" t="s">
        <v>32</v>
      </c>
      <c r="AY88" s="5" t="s">
        <v>33</v>
      </c>
      <c r="AZ88" s="372" t="s">
        <v>199</v>
      </c>
      <c r="BA88" s="6">
        <f t="shared" si="42"/>
        <v>2.8333333333333335</v>
      </c>
      <c r="BB88" s="9" t="str">
        <f t="shared" si="43"/>
        <v>Minors</v>
      </c>
      <c r="BC88" s="9">
        <f t="shared" si="44"/>
        <v>3.5</v>
      </c>
      <c r="BD88" s="9" t="str">
        <f t="shared" si="45"/>
        <v>Minors</v>
      </c>
      <c r="BE88" s="9">
        <f t="shared" si="46"/>
        <v>3.5</v>
      </c>
      <c r="BF88" s="9" t="str">
        <f t="shared" si="47"/>
        <v>Minors</v>
      </c>
      <c r="BG88" s="77">
        <f t="shared" si="48"/>
        <v>3</v>
      </c>
      <c r="BH88" s="76">
        <f t="shared" si="49"/>
        <v>2</v>
      </c>
      <c r="BI88" s="305" t="str">
        <f t="shared" si="50"/>
        <v/>
      </c>
      <c r="BJ88" s="306" t="e">
        <f>IF(Q88="-","-",VLOOKUP($A88,AMAPit!$A$10:$AY$122,BJ$9,FALSE)-Q88)</f>
        <v>#N/A</v>
      </c>
      <c r="BK88" s="306" t="e">
        <f>IF(R88="-","-",VLOOKUP($A88,AMAPit!$A$10:$AY$122,BK$9,FALSE)-R88)</f>
        <v>#N/A</v>
      </c>
      <c r="BL88" s="306" t="e">
        <f>IF(S88="-","-",VLOOKUP($A88,AMAPit!$A$10:$AY$122,BL$9,FALSE)-S88)</f>
        <v>#N/A</v>
      </c>
      <c r="BM88" s="306" t="e">
        <f>IF(T88="-","-",VLOOKUP($A88,AMAPit!$A$10:$AY$122,BM$9,FALSE)-T88)</f>
        <v>#N/A</v>
      </c>
      <c r="BN88" s="306" t="e">
        <f>IF(U88="-","-",VLOOKUP($A88,AMAPit!$A$10:$AY$122,BN$9,FALSE)-U88)</f>
        <v>#N/A</v>
      </c>
      <c r="BO88" s="306" t="e">
        <f>IF(V88="-","-",VLOOKUP($A88,AMAPit!$A$10:$AY$122,BO$9,FALSE)-V88)</f>
        <v>#N/A</v>
      </c>
      <c r="BP88" s="306" t="e">
        <f>IF(W88="-","-",VLOOKUP($A88,AMAPit!$A$10:$AY$122,BP$9,FALSE)-W88)</f>
        <v>#N/A</v>
      </c>
      <c r="BQ88" s="306" t="e">
        <f>IF(X88="-","-",VLOOKUP($A88,AMAPit!$A$10:$AY$122,BQ$9,FALSE)-X88)</f>
        <v>#N/A</v>
      </c>
      <c r="BR88" s="306" t="e">
        <f>IF(Y88="-","-",VLOOKUP($A88,AMAPit!$A$10:$AY$122,BR$9,FALSE)-Y88)</f>
        <v>#N/A</v>
      </c>
      <c r="BS88" s="306" t="e">
        <f>IF(Z88="-","-",VLOOKUP($A88,AMAPit!$A$10:$AY$122,BS$9,FALSE)-Z88)</f>
        <v>#N/A</v>
      </c>
      <c r="BT88" s="306" t="e">
        <f>IF(AA88="-","-",VLOOKUP($A88,AMAPit!$A$10:$AY$122,BT$9,FALSE)-AA88)</f>
        <v>#N/A</v>
      </c>
      <c r="BU88" s="306" t="e">
        <f>IF(AB88="-","-",VLOOKUP($A88,AMAPit!$A$10:$AY$122,BU$9,FALSE)-AB88)</f>
        <v>#N/A</v>
      </c>
      <c r="BV88" s="306" t="str">
        <f>IF(AC88="-","-",VLOOKUP($A88,AMAPit!$A$10:$AY$122,BV$9,FALSE)-AC88)</f>
        <v>-</v>
      </c>
      <c r="BW88" s="306" t="str">
        <f>IF(AD88="-","-",VLOOKUP($A88,AMAPit!$A$10:$AY$122,BW$9,FALSE)-AD88)</f>
        <v>-</v>
      </c>
      <c r="BX88" s="306" t="str">
        <f>IF(AE88="-","-",VLOOKUP($A88,AMAPit!$A$10:$AY$122,BX$9,FALSE)-AE88)</f>
        <v>-</v>
      </c>
      <c r="BY88" s="306" t="str">
        <f>IF(AF88="-","-",VLOOKUP($A88,AMAPit!$A$10:$AY$122,BY$9,FALSE)-AF88)</f>
        <v>-</v>
      </c>
      <c r="BZ88" s="306" t="str">
        <f>IF(AG88="-","-",VLOOKUP($A88,AMAPit!$A$10:$AY$122,BZ$9,FALSE)-AG88)</f>
        <v>-</v>
      </c>
      <c r="CA88" s="306" t="str">
        <f>IF(AH88="-","-",VLOOKUP($A88,AMAPit!$A$10:$AY$122,CA$9,FALSE)-AH88)</f>
        <v>-</v>
      </c>
      <c r="CB88" s="306" t="str">
        <f>IF(AI88="-","-",VLOOKUP($A88,AMAPit!$A$10:$AY$122,CB$9,FALSE)-AI88)</f>
        <v>-</v>
      </c>
      <c r="CC88" s="306" t="str">
        <f>IF(AJ88="-","-",VLOOKUP($A88,AMAPit!$A$10:$AY$122,CC$9,FALSE)-AJ88)</f>
        <v>-</v>
      </c>
      <c r="CD88" s="306" t="str">
        <f>IF(AK88="-","-",VLOOKUP($A88,AMAPit!$A$10:$AY$122,CD$9,FALSE)-AK88)</f>
        <v>-</v>
      </c>
      <c r="CE88" s="306" t="str">
        <f>IF(AL88="-","-",VLOOKUP($A88,AMAPit!$A$10:$AY$122,CE$9,FALSE)-AL88)</f>
        <v>-</v>
      </c>
      <c r="CF88" s="306" t="str">
        <f>IF(AM88="-","-",VLOOKUP($A88,AMAPit!$A$10:$AY$122,CF$9,FALSE)-AM88)</f>
        <v>-</v>
      </c>
      <c r="CG88" s="306" t="str">
        <f>IF(AN88="-","-",VLOOKUP($A88,AMAPit!$A$10:$AY$122,CG$9,FALSE)-AN88)</f>
        <v>-</v>
      </c>
      <c r="CH88" s="306" t="str">
        <f>IF(AO88="-","-",VLOOKUP($A88,AMAPit!$A$10:$AY$122,CH$9,FALSE)-AO88)</f>
        <v>-</v>
      </c>
      <c r="CI88" s="306" t="str">
        <f>IF(AP88="-","-",VLOOKUP($A88,AMAPit!$A$10:$AY$122,CI$9,FALSE)-AP88)</f>
        <v>-</v>
      </c>
      <c r="CJ88" s="306" t="str">
        <f>IF(AQ88="-","-",VLOOKUP($A88,AMAPit!$A$10:$AY$122,CJ$9,FALSE)-AQ88)</f>
        <v>-</v>
      </c>
      <c r="CK88" s="306" t="str">
        <f>IF(AR88="-","-",VLOOKUP($A88,AMAPit!$A$10:$AY$122,CK$9,FALSE)-AR88)</f>
        <v>-</v>
      </c>
      <c r="CL88" s="306" t="str">
        <f>IF(AS88="-","-",VLOOKUP($A88,AMAPit!$A$10:$AY$122,CL$9,FALSE)-AS88)</f>
        <v>-</v>
      </c>
      <c r="CM88" s="306" t="str">
        <f>IF(AT88="-","-",VLOOKUP($A88,AMAPit!$A$10:$AY$122,CM$9,FALSE)-AT88)</f>
        <v>-</v>
      </c>
      <c r="CN88" s="305" t="e">
        <f t="shared" si="51"/>
        <v>#N/A</v>
      </c>
    </row>
    <row r="89" spans="1:92" x14ac:dyDescent="0.25">
      <c r="A89" s="305" t="s">
        <v>601</v>
      </c>
      <c r="B89" s="305" t="s">
        <v>534</v>
      </c>
      <c r="C89" s="305"/>
      <c r="D89" s="305" t="s">
        <v>72</v>
      </c>
      <c r="E89" t="s">
        <v>87</v>
      </c>
      <c r="F89" t="s">
        <v>996</v>
      </c>
      <c r="G89" s="305" t="s">
        <v>997</v>
      </c>
      <c r="H89" t="s">
        <v>802</v>
      </c>
      <c r="I89" t="s">
        <v>277</v>
      </c>
      <c r="J89" s="3">
        <v>22</v>
      </c>
      <c r="K89" t="s">
        <v>82</v>
      </c>
      <c r="L89" t="s">
        <v>82</v>
      </c>
      <c r="M89" t="s">
        <v>816</v>
      </c>
      <c r="N89" s="3" t="s">
        <v>816</v>
      </c>
      <c r="O89" t="s">
        <v>201</v>
      </c>
      <c r="P89" t="s">
        <v>201</v>
      </c>
      <c r="Q89" s="3">
        <v>3</v>
      </c>
      <c r="R89">
        <v>2</v>
      </c>
      <c r="S89">
        <v>2</v>
      </c>
      <c r="T89" s="3">
        <v>5</v>
      </c>
      <c r="U89">
        <v>2</v>
      </c>
      <c r="V89">
        <v>2</v>
      </c>
      <c r="W89">
        <v>7</v>
      </c>
      <c r="X89">
        <v>8</v>
      </c>
      <c r="Y89" t="s">
        <v>32</v>
      </c>
      <c r="Z89" t="s">
        <v>32</v>
      </c>
      <c r="AA89" t="s">
        <v>32</v>
      </c>
      <c r="AB89" t="s">
        <v>32</v>
      </c>
      <c r="AC89">
        <v>3</v>
      </c>
      <c r="AD89">
        <v>7</v>
      </c>
      <c r="AE89" t="s">
        <v>32</v>
      </c>
      <c r="AF89" t="s">
        <v>32</v>
      </c>
      <c r="AG89" t="s">
        <v>32</v>
      </c>
      <c r="AH89" t="s">
        <v>32</v>
      </c>
      <c r="AI89" t="s">
        <v>32</v>
      </c>
      <c r="AJ89" t="s">
        <v>32</v>
      </c>
      <c r="AK89">
        <v>4</v>
      </c>
      <c r="AL89">
        <v>6</v>
      </c>
      <c r="AM89" t="s">
        <v>32</v>
      </c>
      <c r="AN89" t="s">
        <v>32</v>
      </c>
      <c r="AO89" t="s">
        <v>32</v>
      </c>
      <c r="AP89" t="s">
        <v>32</v>
      </c>
      <c r="AQ89" t="s">
        <v>32</v>
      </c>
      <c r="AR89" s="3" t="s">
        <v>32</v>
      </c>
      <c r="AS89" t="s">
        <v>32</v>
      </c>
      <c r="AT89" t="s">
        <v>32</v>
      </c>
      <c r="AU89" s="3" t="s">
        <v>8</v>
      </c>
      <c r="AV89">
        <v>8</v>
      </c>
      <c r="AW89" s="3" t="s">
        <v>393</v>
      </c>
      <c r="AX89" t="s">
        <v>32</v>
      </c>
      <c r="AY89" s="5">
        <v>0</v>
      </c>
      <c r="AZ89" s="372" t="s">
        <v>529</v>
      </c>
      <c r="BA89" s="6">
        <f t="shared" si="42"/>
        <v>2.8333333333333335</v>
      </c>
      <c r="BB89" s="9" t="str">
        <f t="shared" si="43"/>
        <v>Minors</v>
      </c>
      <c r="BC89" s="9">
        <f t="shared" si="44"/>
        <v>3.5</v>
      </c>
      <c r="BD89" s="9" t="str">
        <f t="shared" si="45"/>
        <v>Minors</v>
      </c>
      <c r="BE89" s="9">
        <f t="shared" si="46"/>
        <v>3.5</v>
      </c>
      <c r="BF89" s="9" t="str">
        <f t="shared" si="47"/>
        <v>Minors</v>
      </c>
      <c r="BG89" s="77">
        <f t="shared" si="48"/>
        <v>3</v>
      </c>
      <c r="BH89" s="76">
        <f t="shared" si="49"/>
        <v>2</v>
      </c>
      <c r="BI89" s="305" t="str">
        <f t="shared" si="50"/>
        <v/>
      </c>
      <c r="BJ89" s="306" t="e">
        <f>IF(Q89="-","-",VLOOKUP($A89,AMAPit!$A$10:$AY$122,BJ$9,FALSE)-Q89)</f>
        <v>#N/A</v>
      </c>
      <c r="BK89" s="306" t="e">
        <f>IF(R89="-","-",VLOOKUP($A89,AMAPit!$A$10:$AY$122,BK$9,FALSE)-R89)</f>
        <v>#N/A</v>
      </c>
      <c r="BL89" s="306" t="e">
        <f>IF(S89="-","-",VLOOKUP($A89,AMAPit!$A$10:$AY$122,BL$9,FALSE)-S89)</f>
        <v>#N/A</v>
      </c>
      <c r="BM89" s="306" t="e">
        <f>IF(T89="-","-",VLOOKUP($A89,AMAPit!$A$10:$AY$122,BM$9,FALSE)-T89)</f>
        <v>#N/A</v>
      </c>
      <c r="BN89" s="306" t="e">
        <f>IF(U89="-","-",VLOOKUP($A89,AMAPit!$A$10:$AY$122,BN$9,FALSE)-U89)</f>
        <v>#N/A</v>
      </c>
      <c r="BO89" s="306" t="e">
        <f>IF(V89="-","-",VLOOKUP($A89,AMAPit!$A$10:$AY$122,BO$9,FALSE)-V89)</f>
        <v>#N/A</v>
      </c>
      <c r="BP89" s="306" t="e">
        <f>IF(W89="-","-",VLOOKUP($A89,AMAPit!$A$10:$AY$122,BP$9,FALSE)-W89)</f>
        <v>#N/A</v>
      </c>
      <c r="BQ89" s="306" t="e">
        <f>IF(X89="-","-",VLOOKUP($A89,AMAPit!$A$10:$AY$122,BQ$9,FALSE)-X89)</f>
        <v>#N/A</v>
      </c>
      <c r="BR89" s="306" t="str">
        <f>IF(Y89="-","-",VLOOKUP($A89,AMAPit!$A$10:$AY$122,BR$9,FALSE)-Y89)</f>
        <v>-</v>
      </c>
      <c r="BS89" s="306" t="str">
        <f>IF(Z89="-","-",VLOOKUP($A89,AMAPit!$A$10:$AY$122,BS$9,FALSE)-Z89)</f>
        <v>-</v>
      </c>
      <c r="BT89" s="306" t="str">
        <f>IF(AA89="-","-",VLOOKUP($A89,AMAPit!$A$10:$AY$122,BT$9,FALSE)-AA89)</f>
        <v>-</v>
      </c>
      <c r="BU89" s="306" t="str">
        <f>IF(AB89="-","-",VLOOKUP($A89,AMAPit!$A$10:$AY$122,BU$9,FALSE)-AB89)</f>
        <v>-</v>
      </c>
      <c r="BV89" s="306" t="e">
        <f>IF(AC89="-","-",VLOOKUP($A89,AMAPit!$A$10:$AY$122,BV$9,FALSE)-AC89)</f>
        <v>#N/A</v>
      </c>
      <c r="BW89" s="306" t="e">
        <f>IF(AD89="-","-",VLOOKUP($A89,AMAPit!$A$10:$AY$122,BW$9,FALSE)-AD89)</f>
        <v>#N/A</v>
      </c>
      <c r="BX89" s="306" t="str">
        <f>IF(AE89="-","-",VLOOKUP($A89,AMAPit!$A$10:$AY$122,BX$9,FALSE)-AE89)</f>
        <v>-</v>
      </c>
      <c r="BY89" s="306" t="str">
        <f>IF(AF89="-","-",VLOOKUP($A89,AMAPit!$A$10:$AY$122,BY$9,FALSE)-AF89)</f>
        <v>-</v>
      </c>
      <c r="BZ89" s="306" t="str">
        <f>IF(AG89="-","-",VLOOKUP($A89,AMAPit!$A$10:$AY$122,BZ$9,FALSE)-AG89)</f>
        <v>-</v>
      </c>
      <c r="CA89" s="306" t="str">
        <f>IF(AH89="-","-",VLOOKUP($A89,AMAPit!$A$10:$AY$122,CA$9,FALSE)-AH89)</f>
        <v>-</v>
      </c>
      <c r="CB89" s="306" t="str">
        <f>IF(AI89="-","-",VLOOKUP($A89,AMAPit!$A$10:$AY$122,CB$9,FALSE)-AI89)</f>
        <v>-</v>
      </c>
      <c r="CC89" s="306" t="str">
        <f>IF(AJ89="-","-",VLOOKUP($A89,AMAPit!$A$10:$AY$122,CC$9,FALSE)-AJ89)</f>
        <v>-</v>
      </c>
      <c r="CD89" s="306" t="e">
        <f>IF(AK89="-","-",VLOOKUP($A89,AMAPit!$A$10:$AY$122,CD$9,FALSE)-AK89)</f>
        <v>#N/A</v>
      </c>
      <c r="CE89" s="306" t="e">
        <f>IF(AL89="-","-",VLOOKUP($A89,AMAPit!$A$10:$AY$122,CE$9,FALSE)-AL89)</f>
        <v>#N/A</v>
      </c>
      <c r="CF89" s="306" t="str">
        <f>IF(AM89="-","-",VLOOKUP($A89,AMAPit!$A$10:$AY$122,CF$9,FALSE)-AM89)</f>
        <v>-</v>
      </c>
      <c r="CG89" s="306" t="str">
        <f>IF(AN89="-","-",VLOOKUP($A89,AMAPit!$A$10:$AY$122,CG$9,FALSE)-AN89)</f>
        <v>-</v>
      </c>
      <c r="CH89" s="306" t="str">
        <f>IF(AO89="-","-",VLOOKUP($A89,AMAPit!$A$10:$AY$122,CH$9,FALSE)-AO89)</f>
        <v>-</v>
      </c>
      <c r="CI89" s="306" t="str">
        <f>IF(AP89="-","-",VLOOKUP($A89,AMAPit!$A$10:$AY$122,CI$9,FALSE)-AP89)</f>
        <v>-</v>
      </c>
      <c r="CJ89" s="306" t="str">
        <f>IF(AQ89="-","-",VLOOKUP($A89,AMAPit!$A$10:$AY$122,CJ$9,FALSE)-AQ89)</f>
        <v>-</v>
      </c>
      <c r="CK89" s="306" t="str">
        <f>IF(AR89="-","-",VLOOKUP($A89,AMAPit!$A$10:$AY$122,CK$9,FALSE)-AR89)</f>
        <v>-</v>
      </c>
      <c r="CL89" s="306" t="str">
        <f>IF(AS89="-","-",VLOOKUP($A89,AMAPit!$A$10:$AY$122,CL$9,FALSE)-AS89)</f>
        <v>-</v>
      </c>
      <c r="CM89" s="306" t="str">
        <f>IF(AT89="-","-",VLOOKUP($A89,AMAPit!$A$10:$AY$122,CM$9,FALSE)-AT89)</f>
        <v>-</v>
      </c>
      <c r="CN89" s="305" t="e">
        <f t="shared" si="51"/>
        <v>#N/A</v>
      </c>
    </row>
    <row r="90" spans="1:92" x14ac:dyDescent="0.25">
      <c r="A90" s="305" t="s">
        <v>602</v>
      </c>
      <c r="B90" s="305" t="s">
        <v>534</v>
      </c>
      <c r="C90" s="305"/>
      <c r="D90" s="305" t="s">
        <v>72</v>
      </c>
      <c r="E90" t="s">
        <v>11</v>
      </c>
      <c r="F90" t="s">
        <v>503</v>
      </c>
      <c r="G90" s="305" t="s">
        <v>470</v>
      </c>
      <c r="H90" t="s">
        <v>814</v>
      </c>
      <c r="I90" t="s">
        <v>187</v>
      </c>
      <c r="J90" s="3">
        <v>24</v>
      </c>
      <c r="K90" t="s">
        <v>83</v>
      </c>
      <c r="L90" t="s">
        <v>83</v>
      </c>
      <c r="M90" t="s">
        <v>816</v>
      </c>
      <c r="N90" s="3" t="s">
        <v>816</v>
      </c>
      <c r="O90" t="s">
        <v>200</v>
      </c>
      <c r="P90" t="s">
        <v>199</v>
      </c>
      <c r="Q90" s="3">
        <v>4</v>
      </c>
      <c r="R90">
        <v>2</v>
      </c>
      <c r="S90">
        <v>1</v>
      </c>
      <c r="T90" s="3">
        <v>5</v>
      </c>
      <c r="U90">
        <v>2</v>
      </c>
      <c r="V90">
        <v>1</v>
      </c>
      <c r="W90">
        <v>6</v>
      </c>
      <c r="X90">
        <v>7</v>
      </c>
      <c r="Y90">
        <v>4</v>
      </c>
      <c r="Z90">
        <v>5</v>
      </c>
      <c r="AA90" t="s">
        <v>32</v>
      </c>
      <c r="AB90" t="s">
        <v>32</v>
      </c>
      <c r="AC90">
        <v>3</v>
      </c>
      <c r="AD90">
        <v>4</v>
      </c>
      <c r="AE90" t="s">
        <v>32</v>
      </c>
      <c r="AF90" t="s">
        <v>32</v>
      </c>
      <c r="AG90" t="s">
        <v>32</v>
      </c>
      <c r="AH90" t="s">
        <v>32</v>
      </c>
      <c r="AI90" t="s">
        <v>32</v>
      </c>
      <c r="AJ90" t="s">
        <v>32</v>
      </c>
      <c r="AK90" t="s">
        <v>32</v>
      </c>
      <c r="AL90" t="s">
        <v>32</v>
      </c>
      <c r="AM90" t="s">
        <v>32</v>
      </c>
      <c r="AN90" t="s">
        <v>32</v>
      </c>
      <c r="AO90" t="s">
        <v>32</v>
      </c>
      <c r="AP90" t="s">
        <v>32</v>
      </c>
      <c r="AQ90" t="s">
        <v>32</v>
      </c>
      <c r="AR90" s="3" t="s">
        <v>32</v>
      </c>
      <c r="AS90" t="s">
        <v>32</v>
      </c>
      <c r="AT90" t="s">
        <v>32</v>
      </c>
      <c r="AU90" s="3" t="s">
        <v>4</v>
      </c>
      <c r="AV90">
        <v>4</v>
      </c>
      <c r="AW90" s="3" t="s">
        <v>393</v>
      </c>
      <c r="AX90" t="s">
        <v>32</v>
      </c>
      <c r="AY90" s="5">
        <v>0</v>
      </c>
      <c r="AZ90" s="372" t="s">
        <v>199</v>
      </c>
      <c r="BA90" s="6">
        <f t="shared" si="42"/>
        <v>2.8333333333333335</v>
      </c>
      <c r="BB90" s="9" t="str">
        <f t="shared" si="43"/>
        <v>Minors</v>
      </c>
      <c r="BC90" s="9">
        <f t="shared" si="44"/>
        <v>3.1666666666666665</v>
      </c>
      <c r="BD90" s="9" t="str">
        <f t="shared" si="45"/>
        <v>Minors</v>
      </c>
      <c r="BE90" s="9">
        <f t="shared" si="46"/>
        <v>3.1666666666666665</v>
      </c>
      <c r="BF90" s="9" t="str">
        <f t="shared" si="47"/>
        <v>Minors</v>
      </c>
      <c r="BG90" s="77">
        <f t="shared" si="48"/>
        <v>3</v>
      </c>
      <c r="BH90" s="76">
        <f t="shared" si="49"/>
        <v>1</v>
      </c>
      <c r="BI90" s="305" t="str">
        <f t="shared" si="50"/>
        <v/>
      </c>
      <c r="BJ90" s="306" t="e">
        <f>IF(Q90="-","-",VLOOKUP($A90,AMAPit!$A$10:$AY$122,BJ$9,FALSE)-Q90)</f>
        <v>#N/A</v>
      </c>
      <c r="BK90" s="306" t="e">
        <f>IF(R90="-","-",VLOOKUP($A90,AMAPit!$A$10:$AY$122,BK$9,FALSE)-R90)</f>
        <v>#N/A</v>
      </c>
      <c r="BL90" s="306" t="e">
        <f>IF(S90="-","-",VLOOKUP($A90,AMAPit!$A$10:$AY$122,BL$9,FALSE)-S90)</f>
        <v>#N/A</v>
      </c>
      <c r="BM90" s="306" t="e">
        <f>IF(T90="-","-",VLOOKUP($A90,AMAPit!$A$10:$AY$122,BM$9,FALSE)-T90)</f>
        <v>#N/A</v>
      </c>
      <c r="BN90" s="306" t="e">
        <f>IF(U90="-","-",VLOOKUP($A90,AMAPit!$A$10:$AY$122,BN$9,FALSE)-U90)</f>
        <v>#N/A</v>
      </c>
      <c r="BO90" s="306" t="e">
        <f>IF(V90="-","-",VLOOKUP($A90,AMAPit!$A$10:$AY$122,BO$9,FALSE)-V90)</f>
        <v>#N/A</v>
      </c>
      <c r="BP90" s="306" t="e">
        <f>IF(W90="-","-",VLOOKUP($A90,AMAPit!$A$10:$AY$122,BP$9,FALSE)-W90)</f>
        <v>#N/A</v>
      </c>
      <c r="BQ90" s="306" t="e">
        <f>IF(X90="-","-",VLOOKUP($A90,AMAPit!$A$10:$AY$122,BQ$9,FALSE)-X90)</f>
        <v>#N/A</v>
      </c>
      <c r="BR90" s="306" t="e">
        <f>IF(Y90="-","-",VLOOKUP($A90,AMAPit!$A$10:$AY$122,BR$9,FALSE)-Y90)</f>
        <v>#N/A</v>
      </c>
      <c r="BS90" s="306" t="e">
        <f>IF(Z90="-","-",VLOOKUP($A90,AMAPit!$A$10:$AY$122,BS$9,FALSE)-Z90)</f>
        <v>#N/A</v>
      </c>
      <c r="BT90" s="306" t="str">
        <f>IF(AA90="-","-",VLOOKUP($A90,AMAPit!$A$10:$AY$122,BT$9,FALSE)-AA90)</f>
        <v>-</v>
      </c>
      <c r="BU90" s="306" t="str">
        <f>IF(AB90="-","-",VLOOKUP($A90,AMAPit!$A$10:$AY$122,BU$9,FALSE)-AB90)</f>
        <v>-</v>
      </c>
      <c r="BV90" s="306" t="e">
        <f>IF(AC90="-","-",VLOOKUP($A90,AMAPit!$A$10:$AY$122,BV$9,FALSE)-AC90)</f>
        <v>#N/A</v>
      </c>
      <c r="BW90" s="306" t="e">
        <f>IF(AD90="-","-",VLOOKUP($A90,AMAPit!$A$10:$AY$122,BW$9,FALSE)-AD90)</f>
        <v>#N/A</v>
      </c>
      <c r="BX90" s="306" t="str">
        <f>IF(AE90="-","-",VLOOKUP($A90,AMAPit!$A$10:$AY$122,BX$9,FALSE)-AE90)</f>
        <v>-</v>
      </c>
      <c r="BY90" s="306" t="str">
        <f>IF(AF90="-","-",VLOOKUP($A90,AMAPit!$A$10:$AY$122,BY$9,FALSE)-AF90)</f>
        <v>-</v>
      </c>
      <c r="BZ90" s="306" t="str">
        <f>IF(AG90="-","-",VLOOKUP($A90,AMAPit!$A$10:$AY$122,BZ$9,FALSE)-AG90)</f>
        <v>-</v>
      </c>
      <c r="CA90" s="306" t="str">
        <f>IF(AH90="-","-",VLOOKUP($A90,AMAPit!$A$10:$AY$122,CA$9,FALSE)-AH90)</f>
        <v>-</v>
      </c>
      <c r="CB90" s="306" t="str">
        <f>IF(AI90="-","-",VLOOKUP($A90,AMAPit!$A$10:$AY$122,CB$9,FALSE)-AI90)</f>
        <v>-</v>
      </c>
      <c r="CC90" s="306" t="str">
        <f>IF(AJ90="-","-",VLOOKUP($A90,AMAPit!$A$10:$AY$122,CC$9,FALSE)-AJ90)</f>
        <v>-</v>
      </c>
      <c r="CD90" s="306" t="str">
        <f>IF(AK90="-","-",VLOOKUP($A90,AMAPit!$A$10:$AY$122,CD$9,FALSE)-AK90)</f>
        <v>-</v>
      </c>
      <c r="CE90" s="306" t="str">
        <f>IF(AL90="-","-",VLOOKUP($A90,AMAPit!$A$10:$AY$122,CE$9,FALSE)-AL90)</f>
        <v>-</v>
      </c>
      <c r="CF90" s="306" t="str">
        <f>IF(AM90="-","-",VLOOKUP($A90,AMAPit!$A$10:$AY$122,CF$9,FALSE)-AM90)</f>
        <v>-</v>
      </c>
      <c r="CG90" s="306" t="str">
        <f>IF(AN90="-","-",VLOOKUP($A90,AMAPit!$A$10:$AY$122,CG$9,FALSE)-AN90)</f>
        <v>-</v>
      </c>
      <c r="CH90" s="306" t="str">
        <f>IF(AO90="-","-",VLOOKUP($A90,AMAPit!$A$10:$AY$122,CH$9,FALSE)-AO90)</f>
        <v>-</v>
      </c>
      <c r="CI90" s="306" t="str">
        <f>IF(AP90="-","-",VLOOKUP($A90,AMAPit!$A$10:$AY$122,CI$9,FALSE)-AP90)</f>
        <v>-</v>
      </c>
      <c r="CJ90" s="306" t="str">
        <f>IF(AQ90="-","-",VLOOKUP($A90,AMAPit!$A$10:$AY$122,CJ$9,FALSE)-AQ90)</f>
        <v>-</v>
      </c>
      <c r="CK90" s="306" t="str">
        <f>IF(AR90="-","-",VLOOKUP($A90,AMAPit!$A$10:$AY$122,CK$9,FALSE)-AR90)</f>
        <v>-</v>
      </c>
      <c r="CL90" s="306" t="str">
        <f>IF(AS90="-","-",VLOOKUP($A90,AMAPit!$A$10:$AY$122,CL$9,FALSE)-AS90)</f>
        <v>-</v>
      </c>
      <c r="CM90" s="306" t="str">
        <f>IF(AT90="-","-",VLOOKUP($A90,AMAPit!$A$10:$AY$122,CM$9,FALSE)-AT90)</f>
        <v>-</v>
      </c>
      <c r="CN90" s="305" t="e">
        <f t="shared" si="51"/>
        <v>#N/A</v>
      </c>
    </row>
    <row r="91" spans="1:92" x14ac:dyDescent="0.25">
      <c r="A91" s="305" t="s">
        <v>603</v>
      </c>
      <c r="B91" s="305" t="s">
        <v>534</v>
      </c>
      <c r="C91" s="305"/>
      <c r="D91" s="305" t="s">
        <v>81</v>
      </c>
      <c r="E91" t="s">
        <v>87</v>
      </c>
      <c r="F91" t="s">
        <v>866</v>
      </c>
      <c r="G91" s="305" t="s">
        <v>985</v>
      </c>
      <c r="H91" t="s">
        <v>802</v>
      </c>
      <c r="I91" t="s">
        <v>277</v>
      </c>
      <c r="J91" s="3">
        <v>21</v>
      </c>
      <c r="K91" t="s">
        <v>83</v>
      </c>
      <c r="L91" t="s">
        <v>83</v>
      </c>
      <c r="M91" t="s">
        <v>816</v>
      </c>
      <c r="N91" s="3" t="s">
        <v>816</v>
      </c>
      <c r="O91" t="s">
        <v>199</v>
      </c>
      <c r="P91" t="s">
        <v>200</v>
      </c>
      <c r="Q91" s="3">
        <v>3</v>
      </c>
      <c r="R91">
        <v>2</v>
      </c>
      <c r="S91">
        <v>2</v>
      </c>
      <c r="T91" s="3">
        <v>4</v>
      </c>
      <c r="U91">
        <v>2</v>
      </c>
      <c r="V91">
        <v>2</v>
      </c>
      <c r="W91">
        <v>6</v>
      </c>
      <c r="X91">
        <v>6</v>
      </c>
      <c r="Y91" t="s">
        <v>32</v>
      </c>
      <c r="Z91" t="s">
        <v>32</v>
      </c>
      <c r="AA91">
        <v>3</v>
      </c>
      <c r="AB91">
        <v>6</v>
      </c>
      <c r="AC91">
        <v>5</v>
      </c>
      <c r="AD91">
        <v>7</v>
      </c>
      <c r="AE91" t="s">
        <v>32</v>
      </c>
      <c r="AF91" t="s">
        <v>32</v>
      </c>
      <c r="AG91" t="s">
        <v>32</v>
      </c>
      <c r="AH91" t="s">
        <v>32</v>
      </c>
      <c r="AI91" t="s">
        <v>32</v>
      </c>
      <c r="AJ91" t="s">
        <v>32</v>
      </c>
      <c r="AK91" t="s">
        <v>32</v>
      </c>
      <c r="AL91" t="s">
        <v>32</v>
      </c>
      <c r="AM91" t="s">
        <v>32</v>
      </c>
      <c r="AN91" t="s">
        <v>32</v>
      </c>
      <c r="AO91" t="s">
        <v>32</v>
      </c>
      <c r="AP91" t="s">
        <v>32</v>
      </c>
      <c r="AQ91" t="s">
        <v>32</v>
      </c>
      <c r="AR91" s="3" t="s">
        <v>32</v>
      </c>
      <c r="AS91" t="s">
        <v>32</v>
      </c>
      <c r="AT91" t="s">
        <v>32</v>
      </c>
      <c r="AU91" s="3" t="s">
        <v>8</v>
      </c>
      <c r="AV91">
        <v>9</v>
      </c>
      <c r="AW91" s="3" t="s">
        <v>393</v>
      </c>
      <c r="AX91" t="s">
        <v>32</v>
      </c>
      <c r="AY91" s="5">
        <v>0</v>
      </c>
      <c r="AZ91" s="372" t="s">
        <v>529</v>
      </c>
      <c r="BA91" s="6">
        <f t="shared" si="42"/>
        <v>2.8333333333333335</v>
      </c>
      <c r="BB91" s="9" t="str">
        <f t="shared" si="43"/>
        <v>Minors</v>
      </c>
      <c r="BC91" s="9">
        <f t="shared" si="44"/>
        <v>3.1666666666666665</v>
      </c>
      <c r="BD91" s="9" t="str">
        <f t="shared" si="45"/>
        <v>Minors</v>
      </c>
      <c r="BE91" s="9">
        <f t="shared" si="46"/>
        <v>3.1666666666666665</v>
      </c>
      <c r="BF91" s="9" t="str">
        <f t="shared" si="47"/>
        <v>Minors</v>
      </c>
      <c r="BG91" s="77">
        <f t="shared" si="48"/>
        <v>3</v>
      </c>
      <c r="BH91" s="76">
        <f t="shared" si="49"/>
        <v>2</v>
      </c>
      <c r="BI91" s="305" t="str">
        <f t="shared" si="50"/>
        <v/>
      </c>
      <c r="BJ91" s="306" t="e">
        <f>IF(Q91="-","-",VLOOKUP($A91,AMAPit!$A$10:$AY$122,BJ$9,FALSE)-Q91)</f>
        <v>#N/A</v>
      </c>
      <c r="BK91" s="306" t="e">
        <f>IF(R91="-","-",VLOOKUP($A91,AMAPit!$A$10:$AY$122,BK$9,FALSE)-R91)</f>
        <v>#N/A</v>
      </c>
      <c r="BL91" s="306" t="e">
        <f>IF(S91="-","-",VLOOKUP($A91,AMAPit!$A$10:$AY$122,BL$9,FALSE)-S91)</f>
        <v>#N/A</v>
      </c>
      <c r="BM91" s="306" t="e">
        <f>IF(T91="-","-",VLOOKUP($A91,AMAPit!$A$10:$AY$122,BM$9,FALSE)-T91)</f>
        <v>#N/A</v>
      </c>
      <c r="BN91" s="306" t="e">
        <f>IF(U91="-","-",VLOOKUP($A91,AMAPit!$A$10:$AY$122,BN$9,FALSE)-U91)</f>
        <v>#N/A</v>
      </c>
      <c r="BO91" s="306" t="e">
        <f>IF(V91="-","-",VLOOKUP($A91,AMAPit!$A$10:$AY$122,BO$9,FALSE)-V91)</f>
        <v>#N/A</v>
      </c>
      <c r="BP91" s="306" t="e">
        <f>IF(W91="-","-",VLOOKUP($A91,AMAPit!$A$10:$AY$122,BP$9,FALSE)-W91)</f>
        <v>#N/A</v>
      </c>
      <c r="BQ91" s="306" t="e">
        <f>IF(X91="-","-",VLOOKUP($A91,AMAPit!$A$10:$AY$122,BQ$9,FALSE)-X91)</f>
        <v>#N/A</v>
      </c>
      <c r="BR91" s="306" t="str">
        <f>IF(Y91="-","-",VLOOKUP($A91,AMAPit!$A$10:$AY$122,BR$9,FALSE)-Y91)</f>
        <v>-</v>
      </c>
      <c r="BS91" s="306" t="str">
        <f>IF(Z91="-","-",VLOOKUP($A91,AMAPit!$A$10:$AY$122,BS$9,FALSE)-Z91)</f>
        <v>-</v>
      </c>
      <c r="BT91" s="306" t="e">
        <f>IF(AA91="-","-",VLOOKUP($A91,AMAPit!$A$10:$AY$122,BT$9,FALSE)-AA91)</f>
        <v>#N/A</v>
      </c>
      <c r="BU91" s="306" t="e">
        <f>IF(AB91="-","-",VLOOKUP($A91,AMAPit!$A$10:$AY$122,BU$9,FALSE)-AB91)</f>
        <v>#N/A</v>
      </c>
      <c r="BV91" s="306" t="e">
        <f>IF(AC91="-","-",VLOOKUP($A91,AMAPit!$A$10:$AY$122,BV$9,FALSE)-AC91)</f>
        <v>#N/A</v>
      </c>
      <c r="BW91" s="306" t="e">
        <f>IF(AD91="-","-",VLOOKUP($A91,AMAPit!$A$10:$AY$122,BW$9,FALSE)-AD91)</f>
        <v>#N/A</v>
      </c>
      <c r="BX91" s="306" t="str">
        <f>IF(AE91="-","-",VLOOKUP($A91,AMAPit!$A$10:$AY$122,BX$9,FALSE)-AE91)</f>
        <v>-</v>
      </c>
      <c r="BY91" s="306" t="str">
        <f>IF(AF91="-","-",VLOOKUP($A91,AMAPit!$A$10:$AY$122,BY$9,FALSE)-AF91)</f>
        <v>-</v>
      </c>
      <c r="BZ91" s="306" t="str">
        <f>IF(AG91="-","-",VLOOKUP($A91,AMAPit!$A$10:$AY$122,BZ$9,FALSE)-AG91)</f>
        <v>-</v>
      </c>
      <c r="CA91" s="306" t="str">
        <f>IF(AH91="-","-",VLOOKUP($A91,AMAPit!$A$10:$AY$122,CA$9,FALSE)-AH91)</f>
        <v>-</v>
      </c>
      <c r="CB91" s="306" t="str">
        <f>IF(AI91="-","-",VLOOKUP($A91,AMAPit!$A$10:$AY$122,CB$9,FALSE)-AI91)</f>
        <v>-</v>
      </c>
      <c r="CC91" s="306" t="str">
        <f>IF(AJ91="-","-",VLOOKUP($A91,AMAPit!$A$10:$AY$122,CC$9,FALSE)-AJ91)</f>
        <v>-</v>
      </c>
      <c r="CD91" s="306" t="str">
        <f>IF(AK91="-","-",VLOOKUP($A91,AMAPit!$A$10:$AY$122,CD$9,FALSE)-AK91)</f>
        <v>-</v>
      </c>
      <c r="CE91" s="306" t="str">
        <f>IF(AL91="-","-",VLOOKUP($A91,AMAPit!$A$10:$AY$122,CE$9,FALSE)-AL91)</f>
        <v>-</v>
      </c>
      <c r="CF91" s="306" t="str">
        <f>IF(AM91="-","-",VLOOKUP($A91,AMAPit!$A$10:$AY$122,CF$9,FALSE)-AM91)</f>
        <v>-</v>
      </c>
      <c r="CG91" s="306" t="str">
        <f>IF(AN91="-","-",VLOOKUP($A91,AMAPit!$A$10:$AY$122,CG$9,FALSE)-AN91)</f>
        <v>-</v>
      </c>
      <c r="CH91" s="306" t="str">
        <f>IF(AO91="-","-",VLOOKUP($A91,AMAPit!$A$10:$AY$122,CH$9,FALSE)-AO91)</f>
        <v>-</v>
      </c>
      <c r="CI91" s="306" t="str">
        <f>IF(AP91="-","-",VLOOKUP($A91,AMAPit!$A$10:$AY$122,CI$9,FALSE)-AP91)</f>
        <v>-</v>
      </c>
      <c r="CJ91" s="306" t="str">
        <f>IF(AQ91="-","-",VLOOKUP($A91,AMAPit!$A$10:$AY$122,CJ$9,FALSE)-AQ91)</f>
        <v>-</v>
      </c>
      <c r="CK91" s="306" t="str">
        <f>IF(AR91="-","-",VLOOKUP($A91,AMAPit!$A$10:$AY$122,CK$9,FALSE)-AR91)</f>
        <v>-</v>
      </c>
      <c r="CL91" s="306" t="str">
        <f>IF(AS91="-","-",VLOOKUP($A91,AMAPit!$A$10:$AY$122,CL$9,FALSE)-AS91)</f>
        <v>-</v>
      </c>
      <c r="CM91" s="306" t="str">
        <f>IF(AT91="-","-",VLOOKUP($A91,AMAPit!$A$10:$AY$122,CM$9,FALSE)-AT91)</f>
        <v>-</v>
      </c>
      <c r="CN91" s="305" t="e">
        <f t="shared" si="51"/>
        <v>#N/A</v>
      </c>
    </row>
    <row r="92" spans="1:92" x14ac:dyDescent="0.25">
      <c r="A92" s="305" t="s">
        <v>604</v>
      </c>
      <c r="B92" s="305" t="s">
        <v>534</v>
      </c>
      <c r="C92" s="305"/>
      <c r="D92" s="305" t="s">
        <v>72</v>
      </c>
      <c r="E92" t="s">
        <v>11</v>
      </c>
      <c r="F92" t="s">
        <v>718</v>
      </c>
      <c r="G92" s="305" t="s">
        <v>437</v>
      </c>
      <c r="H92" t="s">
        <v>810</v>
      </c>
      <c r="I92" t="s">
        <v>83</v>
      </c>
      <c r="J92" s="3">
        <v>18</v>
      </c>
      <c r="K92" t="s">
        <v>82</v>
      </c>
      <c r="L92" t="s">
        <v>83</v>
      </c>
      <c r="M92" t="s">
        <v>816</v>
      </c>
      <c r="N92" s="3" t="s">
        <v>816</v>
      </c>
      <c r="O92" t="s">
        <v>199</v>
      </c>
      <c r="P92" t="s">
        <v>200</v>
      </c>
      <c r="Q92" s="3">
        <v>3</v>
      </c>
      <c r="R92">
        <v>2</v>
      </c>
      <c r="S92">
        <v>1</v>
      </c>
      <c r="T92" s="3">
        <v>4</v>
      </c>
      <c r="U92">
        <v>2</v>
      </c>
      <c r="V92">
        <v>2</v>
      </c>
      <c r="W92">
        <v>5</v>
      </c>
      <c r="X92">
        <v>5</v>
      </c>
      <c r="Y92">
        <v>1</v>
      </c>
      <c r="Z92">
        <v>2</v>
      </c>
      <c r="AA92">
        <v>2</v>
      </c>
      <c r="AB92">
        <v>4</v>
      </c>
      <c r="AC92" t="s">
        <v>32</v>
      </c>
      <c r="AD92" t="s">
        <v>32</v>
      </c>
      <c r="AE92" t="s">
        <v>32</v>
      </c>
      <c r="AF92" t="s">
        <v>32</v>
      </c>
      <c r="AG92">
        <v>4</v>
      </c>
      <c r="AH92">
        <v>4</v>
      </c>
      <c r="AI92" t="s">
        <v>32</v>
      </c>
      <c r="AJ92" t="s">
        <v>32</v>
      </c>
      <c r="AK92">
        <v>4</v>
      </c>
      <c r="AL92">
        <v>4</v>
      </c>
      <c r="AM92" t="s">
        <v>32</v>
      </c>
      <c r="AN92" t="s">
        <v>32</v>
      </c>
      <c r="AO92" t="s">
        <v>32</v>
      </c>
      <c r="AP92" t="s">
        <v>32</v>
      </c>
      <c r="AQ92" t="s">
        <v>32</v>
      </c>
      <c r="AR92" s="3" t="s">
        <v>32</v>
      </c>
      <c r="AS92" t="s">
        <v>32</v>
      </c>
      <c r="AT92" t="s">
        <v>32</v>
      </c>
      <c r="AU92" s="3" t="s">
        <v>6</v>
      </c>
      <c r="AV92">
        <v>7</v>
      </c>
      <c r="AW92" s="3" t="s">
        <v>393</v>
      </c>
      <c r="AX92" t="s">
        <v>32</v>
      </c>
      <c r="AY92" s="5" t="s">
        <v>33</v>
      </c>
      <c r="AZ92" s="372" t="s">
        <v>199</v>
      </c>
      <c r="BA92" s="6">
        <f t="shared" si="42"/>
        <v>2.75</v>
      </c>
      <c r="BB92" s="9" t="str">
        <f t="shared" si="43"/>
        <v>Minors</v>
      </c>
      <c r="BC92" s="9">
        <f t="shared" si="44"/>
        <v>3.4166666666666665</v>
      </c>
      <c r="BD92" s="9" t="str">
        <f t="shared" si="45"/>
        <v>Minors</v>
      </c>
      <c r="BE92" s="9">
        <f t="shared" si="46"/>
        <v>3.4166666666666665</v>
      </c>
      <c r="BF92" s="9" t="str">
        <f t="shared" si="47"/>
        <v>Minors</v>
      </c>
      <c r="BG92" s="77">
        <f t="shared" si="48"/>
        <v>5</v>
      </c>
      <c r="BH92" s="76">
        <f t="shared" si="49"/>
        <v>0</v>
      </c>
      <c r="BI92" s="305" t="str">
        <f t="shared" si="50"/>
        <v/>
      </c>
      <c r="BJ92" s="306" t="e">
        <f>IF(Q92="-","-",VLOOKUP($A92,AMAPit!$A$10:$AY$122,BJ$9,FALSE)-Q92)</f>
        <v>#N/A</v>
      </c>
      <c r="BK92" s="306" t="e">
        <f>IF(R92="-","-",VLOOKUP($A92,AMAPit!$A$10:$AY$122,BK$9,FALSE)-R92)</f>
        <v>#N/A</v>
      </c>
      <c r="BL92" s="306" t="e">
        <f>IF(S92="-","-",VLOOKUP($A92,AMAPit!$A$10:$AY$122,BL$9,FALSE)-S92)</f>
        <v>#N/A</v>
      </c>
      <c r="BM92" s="306" t="e">
        <f>IF(T92="-","-",VLOOKUP($A92,AMAPit!$A$10:$AY$122,BM$9,FALSE)-T92)</f>
        <v>#N/A</v>
      </c>
      <c r="BN92" s="306" t="e">
        <f>IF(U92="-","-",VLOOKUP($A92,AMAPit!$A$10:$AY$122,BN$9,FALSE)-U92)</f>
        <v>#N/A</v>
      </c>
      <c r="BO92" s="306" t="e">
        <f>IF(V92="-","-",VLOOKUP($A92,AMAPit!$A$10:$AY$122,BO$9,FALSE)-V92)</f>
        <v>#N/A</v>
      </c>
      <c r="BP92" s="306" t="e">
        <f>IF(W92="-","-",VLOOKUP($A92,AMAPit!$A$10:$AY$122,BP$9,FALSE)-W92)</f>
        <v>#N/A</v>
      </c>
      <c r="BQ92" s="306" t="e">
        <f>IF(X92="-","-",VLOOKUP($A92,AMAPit!$A$10:$AY$122,BQ$9,FALSE)-X92)</f>
        <v>#N/A</v>
      </c>
      <c r="BR92" s="306" t="e">
        <f>IF(Y92="-","-",VLOOKUP($A92,AMAPit!$A$10:$AY$122,BR$9,FALSE)-Y92)</f>
        <v>#N/A</v>
      </c>
      <c r="BS92" s="306" t="e">
        <f>IF(Z92="-","-",VLOOKUP($A92,AMAPit!$A$10:$AY$122,BS$9,FALSE)-Z92)</f>
        <v>#N/A</v>
      </c>
      <c r="BT92" s="306" t="e">
        <f>IF(AA92="-","-",VLOOKUP($A92,AMAPit!$A$10:$AY$122,BT$9,FALSE)-AA92)</f>
        <v>#N/A</v>
      </c>
      <c r="BU92" s="306" t="e">
        <f>IF(AB92="-","-",VLOOKUP($A92,AMAPit!$A$10:$AY$122,BU$9,FALSE)-AB92)</f>
        <v>#N/A</v>
      </c>
      <c r="BV92" s="306" t="str">
        <f>IF(AC92="-","-",VLOOKUP($A92,AMAPit!$A$10:$AY$122,BV$9,FALSE)-AC92)</f>
        <v>-</v>
      </c>
      <c r="BW92" s="306" t="str">
        <f>IF(AD92="-","-",VLOOKUP($A92,AMAPit!$A$10:$AY$122,BW$9,FALSE)-AD92)</f>
        <v>-</v>
      </c>
      <c r="BX92" s="306" t="str">
        <f>IF(AE92="-","-",VLOOKUP($A92,AMAPit!$A$10:$AY$122,BX$9,FALSE)-AE92)</f>
        <v>-</v>
      </c>
      <c r="BY92" s="306" t="str">
        <f>IF(AF92="-","-",VLOOKUP($A92,AMAPit!$A$10:$AY$122,BY$9,FALSE)-AF92)</f>
        <v>-</v>
      </c>
      <c r="BZ92" s="306" t="e">
        <f>IF(AG92="-","-",VLOOKUP($A92,AMAPit!$A$10:$AY$122,BZ$9,FALSE)-AG92)</f>
        <v>#N/A</v>
      </c>
      <c r="CA92" s="306" t="e">
        <f>IF(AH92="-","-",VLOOKUP($A92,AMAPit!$A$10:$AY$122,CA$9,FALSE)-AH92)</f>
        <v>#N/A</v>
      </c>
      <c r="CB92" s="306" t="str">
        <f>IF(AI92="-","-",VLOOKUP($A92,AMAPit!$A$10:$AY$122,CB$9,FALSE)-AI92)</f>
        <v>-</v>
      </c>
      <c r="CC92" s="306" t="str">
        <f>IF(AJ92="-","-",VLOOKUP($A92,AMAPit!$A$10:$AY$122,CC$9,FALSE)-AJ92)</f>
        <v>-</v>
      </c>
      <c r="CD92" s="306" t="e">
        <f>IF(AK92="-","-",VLOOKUP($A92,AMAPit!$A$10:$AY$122,CD$9,FALSE)-AK92)</f>
        <v>#N/A</v>
      </c>
      <c r="CE92" s="306" t="e">
        <f>IF(AL92="-","-",VLOOKUP($A92,AMAPit!$A$10:$AY$122,CE$9,FALSE)-AL92)</f>
        <v>#N/A</v>
      </c>
      <c r="CF92" s="306" t="str">
        <f>IF(AM92="-","-",VLOOKUP($A92,AMAPit!$A$10:$AY$122,CF$9,FALSE)-AM92)</f>
        <v>-</v>
      </c>
      <c r="CG92" s="306" t="str">
        <f>IF(AN92="-","-",VLOOKUP($A92,AMAPit!$A$10:$AY$122,CG$9,FALSE)-AN92)</f>
        <v>-</v>
      </c>
      <c r="CH92" s="306" t="str">
        <f>IF(AO92="-","-",VLOOKUP($A92,AMAPit!$A$10:$AY$122,CH$9,FALSE)-AO92)</f>
        <v>-</v>
      </c>
      <c r="CI92" s="306" t="str">
        <f>IF(AP92="-","-",VLOOKUP($A92,AMAPit!$A$10:$AY$122,CI$9,FALSE)-AP92)</f>
        <v>-</v>
      </c>
      <c r="CJ92" s="306" t="str">
        <f>IF(AQ92="-","-",VLOOKUP($A92,AMAPit!$A$10:$AY$122,CJ$9,FALSE)-AQ92)</f>
        <v>-</v>
      </c>
      <c r="CK92" s="306" t="str">
        <f>IF(AR92="-","-",VLOOKUP($A92,AMAPit!$A$10:$AY$122,CK$9,FALSE)-AR92)</f>
        <v>-</v>
      </c>
      <c r="CL92" s="306" t="str">
        <f>IF(AS92="-","-",VLOOKUP($A92,AMAPit!$A$10:$AY$122,CL$9,FALSE)-AS92)</f>
        <v>-</v>
      </c>
      <c r="CM92" s="306" t="str">
        <f>IF(AT92="-","-",VLOOKUP($A92,AMAPit!$A$10:$AY$122,CM$9,FALSE)-AT92)</f>
        <v>-</v>
      </c>
      <c r="CN92" s="305" t="e">
        <f t="shared" si="51"/>
        <v>#N/A</v>
      </c>
    </row>
    <row r="93" spans="1:92" x14ac:dyDescent="0.25">
      <c r="A93" s="305" t="s">
        <v>605</v>
      </c>
      <c r="B93" s="305" t="s">
        <v>534</v>
      </c>
      <c r="C93" s="305"/>
      <c r="D93" s="305" t="s">
        <v>81</v>
      </c>
      <c r="E93" t="s">
        <v>88</v>
      </c>
      <c r="F93" t="s">
        <v>969</v>
      </c>
      <c r="G93" s="305" t="s">
        <v>1009</v>
      </c>
      <c r="H93" t="s">
        <v>802</v>
      </c>
      <c r="I93" t="s">
        <v>277</v>
      </c>
      <c r="J93" s="3">
        <v>23</v>
      </c>
      <c r="K93" t="s">
        <v>83</v>
      </c>
      <c r="L93" t="s">
        <v>83</v>
      </c>
      <c r="M93" t="s">
        <v>816</v>
      </c>
      <c r="N93" s="3" t="s">
        <v>816</v>
      </c>
      <c r="O93" t="s">
        <v>199</v>
      </c>
      <c r="P93" t="s">
        <v>199</v>
      </c>
      <c r="Q93" s="3">
        <v>3</v>
      </c>
      <c r="R93">
        <v>2</v>
      </c>
      <c r="S93">
        <v>2</v>
      </c>
      <c r="T93" s="3">
        <v>5</v>
      </c>
      <c r="U93">
        <v>2</v>
      </c>
      <c r="V93">
        <v>3</v>
      </c>
      <c r="W93">
        <v>5</v>
      </c>
      <c r="X93">
        <v>6</v>
      </c>
      <c r="Y93">
        <v>1</v>
      </c>
      <c r="Z93">
        <v>2</v>
      </c>
      <c r="AA93">
        <v>4</v>
      </c>
      <c r="AB93">
        <v>7</v>
      </c>
      <c r="AC93" t="s">
        <v>32</v>
      </c>
      <c r="AD93" t="s">
        <v>32</v>
      </c>
      <c r="AE93" t="s">
        <v>32</v>
      </c>
      <c r="AF93" t="s">
        <v>32</v>
      </c>
      <c r="AG93" t="s">
        <v>32</v>
      </c>
      <c r="AH93" t="s">
        <v>32</v>
      </c>
      <c r="AI93" t="s">
        <v>32</v>
      </c>
      <c r="AJ93" t="s">
        <v>32</v>
      </c>
      <c r="AK93" t="s">
        <v>32</v>
      </c>
      <c r="AL93" t="s">
        <v>32</v>
      </c>
      <c r="AM93" t="s">
        <v>32</v>
      </c>
      <c r="AN93" t="s">
        <v>32</v>
      </c>
      <c r="AO93" t="s">
        <v>32</v>
      </c>
      <c r="AP93" t="s">
        <v>32</v>
      </c>
      <c r="AQ93" t="s">
        <v>32</v>
      </c>
      <c r="AR93" s="3" t="s">
        <v>32</v>
      </c>
      <c r="AS93" t="s">
        <v>32</v>
      </c>
      <c r="AT93" t="s">
        <v>32</v>
      </c>
      <c r="AU93" s="3" t="s">
        <v>5</v>
      </c>
      <c r="AV93">
        <v>8</v>
      </c>
      <c r="AW93" s="3" t="s">
        <v>393</v>
      </c>
      <c r="AX93" t="s">
        <v>32</v>
      </c>
      <c r="AY93" s="5" t="s">
        <v>33</v>
      </c>
      <c r="AZ93" s="372" t="s">
        <v>779</v>
      </c>
      <c r="BA93" s="6">
        <f t="shared" si="42"/>
        <v>2.5833333333333335</v>
      </c>
      <c r="BB93" s="9" t="str">
        <f t="shared" si="43"/>
        <v>Minors</v>
      </c>
      <c r="BC93" s="9">
        <f t="shared" si="44"/>
        <v>3.8333333333333335</v>
      </c>
      <c r="BD93" s="9" t="str">
        <f t="shared" si="45"/>
        <v>Minors</v>
      </c>
      <c r="BE93" s="9">
        <f t="shared" si="46"/>
        <v>3.8333333333333335</v>
      </c>
      <c r="BF93" s="9" t="str">
        <f t="shared" si="47"/>
        <v>Minors</v>
      </c>
      <c r="BG93" s="77">
        <f t="shared" si="48"/>
        <v>3</v>
      </c>
      <c r="BH93" s="76">
        <f t="shared" si="49"/>
        <v>1</v>
      </c>
      <c r="BI93" s="305" t="str">
        <f t="shared" si="50"/>
        <v/>
      </c>
      <c r="BJ93" s="306" t="e">
        <f>IF(Q93="-","-",VLOOKUP($A93,AMAPit!$A$10:$AY$122,BJ$9,FALSE)-Q93)</f>
        <v>#N/A</v>
      </c>
      <c r="BK93" s="306" t="e">
        <f>IF(R93="-","-",VLOOKUP($A93,AMAPit!$A$10:$AY$122,BK$9,FALSE)-R93)</f>
        <v>#N/A</v>
      </c>
      <c r="BL93" s="306" t="e">
        <f>IF(S93="-","-",VLOOKUP($A93,AMAPit!$A$10:$AY$122,BL$9,FALSE)-S93)</f>
        <v>#N/A</v>
      </c>
      <c r="BM93" s="306" t="e">
        <f>IF(T93="-","-",VLOOKUP($A93,AMAPit!$A$10:$AY$122,BM$9,FALSE)-T93)</f>
        <v>#N/A</v>
      </c>
      <c r="BN93" s="306" t="e">
        <f>IF(U93="-","-",VLOOKUP($A93,AMAPit!$A$10:$AY$122,BN$9,FALSE)-U93)</f>
        <v>#N/A</v>
      </c>
      <c r="BO93" s="306" t="e">
        <f>IF(V93="-","-",VLOOKUP($A93,AMAPit!$A$10:$AY$122,BO$9,FALSE)-V93)</f>
        <v>#N/A</v>
      </c>
      <c r="BP93" s="306" t="e">
        <f>IF(W93="-","-",VLOOKUP($A93,AMAPit!$A$10:$AY$122,BP$9,FALSE)-W93)</f>
        <v>#N/A</v>
      </c>
      <c r="BQ93" s="306" t="e">
        <f>IF(X93="-","-",VLOOKUP($A93,AMAPit!$A$10:$AY$122,BQ$9,FALSE)-X93)</f>
        <v>#N/A</v>
      </c>
      <c r="BR93" s="306" t="e">
        <f>IF(Y93="-","-",VLOOKUP($A93,AMAPit!$A$10:$AY$122,BR$9,FALSE)-Y93)</f>
        <v>#N/A</v>
      </c>
      <c r="BS93" s="306" t="e">
        <f>IF(Z93="-","-",VLOOKUP($A93,AMAPit!$A$10:$AY$122,BS$9,FALSE)-Z93)</f>
        <v>#N/A</v>
      </c>
      <c r="BT93" s="306" t="e">
        <f>IF(AA93="-","-",VLOOKUP($A93,AMAPit!$A$10:$AY$122,BT$9,FALSE)-AA93)</f>
        <v>#N/A</v>
      </c>
      <c r="BU93" s="306" t="e">
        <f>IF(AB93="-","-",VLOOKUP($A93,AMAPit!$A$10:$AY$122,BU$9,FALSE)-AB93)</f>
        <v>#N/A</v>
      </c>
      <c r="BV93" s="306" t="str">
        <f>IF(AC93="-","-",VLOOKUP($A93,AMAPit!$A$10:$AY$122,BV$9,FALSE)-AC93)</f>
        <v>-</v>
      </c>
      <c r="BW93" s="306" t="str">
        <f>IF(AD93="-","-",VLOOKUP($A93,AMAPit!$A$10:$AY$122,BW$9,FALSE)-AD93)</f>
        <v>-</v>
      </c>
      <c r="BX93" s="306" t="str">
        <f>IF(AE93="-","-",VLOOKUP($A93,AMAPit!$A$10:$AY$122,BX$9,FALSE)-AE93)</f>
        <v>-</v>
      </c>
      <c r="BY93" s="306" t="str">
        <f>IF(AF93="-","-",VLOOKUP($A93,AMAPit!$A$10:$AY$122,BY$9,FALSE)-AF93)</f>
        <v>-</v>
      </c>
      <c r="BZ93" s="306" t="str">
        <f>IF(AG93="-","-",VLOOKUP($A93,AMAPit!$A$10:$AY$122,BZ$9,FALSE)-AG93)</f>
        <v>-</v>
      </c>
      <c r="CA93" s="306" t="str">
        <f>IF(AH93="-","-",VLOOKUP($A93,AMAPit!$A$10:$AY$122,CA$9,FALSE)-AH93)</f>
        <v>-</v>
      </c>
      <c r="CB93" s="306" t="str">
        <f>IF(AI93="-","-",VLOOKUP($A93,AMAPit!$A$10:$AY$122,CB$9,FALSE)-AI93)</f>
        <v>-</v>
      </c>
      <c r="CC93" s="306" t="str">
        <f>IF(AJ93="-","-",VLOOKUP($A93,AMAPit!$A$10:$AY$122,CC$9,FALSE)-AJ93)</f>
        <v>-</v>
      </c>
      <c r="CD93" s="306" t="str">
        <f>IF(AK93="-","-",VLOOKUP($A93,AMAPit!$A$10:$AY$122,CD$9,FALSE)-AK93)</f>
        <v>-</v>
      </c>
      <c r="CE93" s="306" t="str">
        <f>IF(AL93="-","-",VLOOKUP($A93,AMAPit!$A$10:$AY$122,CE$9,FALSE)-AL93)</f>
        <v>-</v>
      </c>
      <c r="CF93" s="306" t="str">
        <f>IF(AM93="-","-",VLOOKUP($A93,AMAPit!$A$10:$AY$122,CF$9,FALSE)-AM93)</f>
        <v>-</v>
      </c>
      <c r="CG93" s="306" t="str">
        <f>IF(AN93="-","-",VLOOKUP($A93,AMAPit!$A$10:$AY$122,CG$9,FALSE)-AN93)</f>
        <v>-</v>
      </c>
      <c r="CH93" s="306" t="str">
        <f>IF(AO93="-","-",VLOOKUP($A93,AMAPit!$A$10:$AY$122,CH$9,FALSE)-AO93)</f>
        <v>-</v>
      </c>
      <c r="CI93" s="306" t="str">
        <f>IF(AP93="-","-",VLOOKUP($A93,AMAPit!$A$10:$AY$122,CI$9,FALSE)-AP93)</f>
        <v>-</v>
      </c>
      <c r="CJ93" s="306" t="str">
        <f>IF(AQ93="-","-",VLOOKUP($A93,AMAPit!$A$10:$AY$122,CJ$9,FALSE)-AQ93)</f>
        <v>-</v>
      </c>
      <c r="CK93" s="306" t="str">
        <f>IF(AR93="-","-",VLOOKUP($A93,AMAPit!$A$10:$AY$122,CK$9,FALSE)-AR93)</f>
        <v>-</v>
      </c>
      <c r="CL93" s="306" t="str">
        <f>IF(AS93="-","-",VLOOKUP($A93,AMAPit!$A$10:$AY$122,CL$9,FALSE)-AS93)</f>
        <v>-</v>
      </c>
      <c r="CM93" s="306" t="str">
        <f>IF(AT93="-","-",VLOOKUP($A93,AMAPit!$A$10:$AY$122,CM$9,FALSE)-AT93)</f>
        <v>-</v>
      </c>
      <c r="CN93" s="305" t="e">
        <f t="shared" si="51"/>
        <v>#N/A</v>
      </c>
    </row>
    <row r="94" spans="1:92" x14ac:dyDescent="0.25">
      <c r="A94" s="305" t="s">
        <v>606</v>
      </c>
      <c r="B94" s="305" t="s">
        <v>534</v>
      </c>
      <c r="C94" s="305"/>
      <c r="D94" s="305" t="s">
        <v>81</v>
      </c>
      <c r="E94" t="s">
        <v>87</v>
      </c>
      <c r="F94" t="s">
        <v>717</v>
      </c>
      <c r="G94" s="305" t="s">
        <v>410</v>
      </c>
      <c r="H94" t="s">
        <v>810</v>
      </c>
      <c r="I94" t="s">
        <v>83</v>
      </c>
      <c r="J94" s="3">
        <v>18</v>
      </c>
      <c r="K94" t="s">
        <v>82</v>
      </c>
      <c r="L94" t="s">
        <v>83</v>
      </c>
      <c r="M94" t="s">
        <v>816</v>
      </c>
      <c r="N94" s="3" t="s">
        <v>816</v>
      </c>
      <c r="O94" t="s">
        <v>200</v>
      </c>
      <c r="P94" t="s">
        <v>200</v>
      </c>
      <c r="Q94" s="3">
        <v>2</v>
      </c>
      <c r="R94">
        <v>2</v>
      </c>
      <c r="S94">
        <v>3</v>
      </c>
      <c r="T94" s="3">
        <v>4</v>
      </c>
      <c r="U94">
        <v>3</v>
      </c>
      <c r="V94">
        <v>3</v>
      </c>
      <c r="W94">
        <v>4</v>
      </c>
      <c r="X94">
        <v>6</v>
      </c>
      <c r="Y94" t="s">
        <v>32</v>
      </c>
      <c r="Z94" t="s">
        <v>32</v>
      </c>
      <c r="AA94">
        <v>3</v>
      </c>
      <c r="AB94">
        <v>5</v>
      </c>
      <c r="AC94" t="s">
        <v>32</v>
      </c>
      <c r="AD94" t="s">
        <v>32</v>
      </c>
      <c r="AE94" t="s">
        <v>32</v>
      </c>
      <c r="AF94" t="s">
        <v>32</v>
      </c>
      <c r="AG94">
        <v>3</v>
      </c>
      <c r="AH94">
        <v>5</v>
      </c>
      <c r="AI94" t="s">
        <v>32</v>
      </c>
      <c r="AJ94" t="s">
        <v>32</v>
      </c>
      <c r="AK94" t="s">
        <v>32</v>
      </c>
      <c r="AL94" t="s">
        <v>32</v>
      </c>
      <c r="AM94" t="s">
        <v>32</v>
      </c>
      <c r="AN94" t="s">
        <v>32</v>
      </c>
      <c r="AO94" t="s">
        <v>32</v>
      </c>
      <c r="AP94" t="s">
        <v>32</v>
      </c>
      <c r="AQ94" t="s">
        <v>32</v>
      </c>
      <c r="AR94" s="3" t="s">
        <v>32</v>
      </c>
      <c r="AS94" t="s">
        <v>32</v>
      </c>
      <c r="AT94" t="s">
        <v>32</v>
      </c>
      <c r="AU94" s="3" t="s">
        <v>1</v>
      </c>
      <c r="AV94">
        <v>5</v>
      </c>
      <c r="AW94" s="3" t="s">
        <v>393</v>
      </c>
      <c r="AX94" t="s">
        <v>32</v>
      </c>
      <c r="AY94" s="5" t="s">
        <v>33</v>
      </c>
      <c r="AZ94" s="372" t="s">
        <v>199</v>
      </c>
      <c r="BA94" s="6">
        <f t="shared" si="42"/>
        <v>2.5833333333333335</v>
      </c>
      <c r="BB94" s="9" t="str">
        <f t="shared" si="43"/>
        <v>Minors</v>
      </c>
      <c r="BC94" s="9">
        <f t="shared" si="44"/>
        <v>3.8333333333333335</v>
      </c>
      <c r="BD94" s="9" t="str">
        <f t="shared" si="45"/>
        <v>Minors</v>
      </c>
      <c r="BE94" s="9">
        <f t="shared" si="46"/>
        <v>3.8333333333333335</v>
      </c>
      <c r="BF94" s="9" t="str">
        <f t="shared" si="47"/>
        <v>Minors</v>
      </c>
      <c r="BG94" s="77">
        <f t="shared" si="48"/>
        <v>3</v>
      </c>
      <c r="BH94" s="76">
        <f t="shared" si="49"/>
        <v>0.5</v>
      </c>
      <c r="BI94" s="305" t="str">
        <f t="shared" si="50"/>
        <v/>
      </c>
      <c r="BJ94" s="306" t="e">
        <f>IF(Q94="-","-",VLOOKUP($A94,AMAPit!$A$10:$AY$122,BJ$9,FALSE)-Q94)</f>
        <v>#N/A</v>
      </c>
      <c r="BK94" s="306" t="e">
        <f>IF(R94="-","-",VLOOKUP($A94,AMAPit!$A$10:$AY$122,BK$9,FALSE)-R94)</f>
        <v>#N/A</v>
      </c>
      <c r="BL94" s="306" t="e">
        <f>IF(S94="-","-",VLOOKUP($A94,AMAPit!$A$10:$AY$122,BL$9,FALSE)-S94)</f>
        <v>#N/A</v>
      </c>
      <c r="BM94" s="306" t="e">
        <f>IF(T94="-","-",VLOOKUP($A94,AMAPit!$A$10:$AY$122,BM$9,FALSE)-T94)</f>
        <v>#N/A</v>
      </c>
      <c r="BN94" s="306" t="e">
        <f>IF(U94="-","-",VLOOKUP($A94,AMAPit!$A$10:$AY$122,BN$9,FALSE)-U94)</f>
        <v>#N/A</v>
      </c>
      <c r="BO94" s="306" t="e">
        <f>IF(V94="-","-",VLOOKUP($A94,AMAPit!$A$10:$AY$122,BO$9,FALSE)-V94)</f>
        <v>#N/A</v>
      </c>
      <c r="BP94" s="306" t="e">
        <f>IF(W94="-","-",VLOOKUP($A94,AMAPit!$A$10:$AY$122,BP$9,FALSE)-W94)</f>
        <v>#N/A</v>
      </c>
      <c r="BQ94" s="306" t="e">
        <f>IF(X94="-","-",VLOOKUP($A94,AMAPit!$A$10:$AY$122,BQ$9,FALSE)-X94)</f>
        <v>#N/A</v>
      </c>
      <c r="BR94" s="306" t="str">
        <f>IF(Y94="-","-",VLOOKUP($A94,AMAPit!$A$10:$AY$122,BR$9,FALSE)-Y94)</f>
        <v>-</v>
      </c>
      <c r="BS94" s="306" t="str">
        <f>IF(Z94="-","-",VLOOKUP($A94,AMAPit!$A$10:$AY$122,BS$9,FALSE)-Z94)</f>
        <v>-</v>
      </c>
      <c r="BT94" s="306" t="e">
        <f>IF(AA94="-","-",VLOOKUP($A94,AMAPit!$A$10:$AY$122,BT$9,FALSE)-AA94)</f>
        <v>#N/A</v>
      </c>
      <c r="BU94" s="306" t="e">
        <f>IF(AB94="-","-",VLOOKUP($A94,AMAPit!$A$10:$AY$122,BU$9,FALSE)-AB94)</f>
        <v>#N/A</v>
      </c>
      <c r="BV94" s="306" t="str">
        <f>IF(AC94="-","-",VLOOKUP($A94,AMAPit!$A$10:$AY$122,BV$9,FALSE)-AC94)</f>
        <v>-</v>
      </c>
      <c r="BW94" s="306" t="str">
        <f>IF(AD94="-","-",VLOOKUP($A94,AMAPit!$A$10:$AY$122,BW$9,FALSE)-AD94)</f>
        <v>-</v>
      </c>
      <c r="BX94" s="306" t="str">
        <f>IF(AE94="-","-",VLOOKUP($A94,AMAPit!$A$10:$AY$122,BX$9,FALSE)-AE94)</f>
        <v>-</v>
      </c>
      <c r="BY94" s="306" t="str">
        <f>IF(AF94="-","-",VLOOKUP($A94,AMAPit!$A$10:$AY$122,BY$9,FALSE)-AF94)</f>
        <v>-</v>
      </c>
      <c r="BZ94" s="306" t="e">
        <f>IF(AG94="-","-",VLOOKUP($A94,AMAPit!$A$10:$AY$122,BZ$9,FALSE)-AG94)</f>
        <v>#N/A</v>
      </c>
      <c r="CA94" s="306" t="e">
        <f>IF(AH94="-","-",VLOOKUP($A94,AMAPit!$A$10:$AY$122,CA$9,FALSE)-AH94)</f>
        <v>#N/A</v>
      </c>
      <c r="CB94" s="306" t="str">
        <f>IF(AI94="-","-",VLOOKUP($A94,AMAPit!$A$10:$AY$122,CB$9,FALSE)-AI94)</f>
        <v>-</v>
      </c>
      <c r="CC94" s="306" t="str">
        <f>IF(AJ94="-","-",VLOOKUP($A94,AMAPit!$A$10:$AY$122,CC$9,FALSE)-AJ94)</f>
        <v>-</v>
      </c>
      <c r="CD94" s="306" t="str">
        <f>IF(AK94="-","-",VLOOKUP($A94,AMAPit!$A$10:$AY$122,CD$9,FALSE)-AK94)</f>
        <v>-</v>
      </c>
      <c r="CE94" s="306" t="str">
        <f>IF(AL94="-","-",VLOOKUP($A94,AMAPit!$A$10:$AY$122,CE$9,FALSE)-AL94)</f>
        <v>-</v>
      </c>
      <c r="CF94" s="306" t="str">
        <f>IF(AM94="-","-",VLOOKUP($A94,AMAPit!$A$10:$AY$122,CF$9,FALSE)-AM94)</f>
        <v>-</v>
      </c>
      <c r="CG94" s="306" t="str">
        <f>IF(AN94="-","-",VLOOKUP($A94,AMAPit!$A$10:$AY$122,CG$9,FALSE)-AN94)</f>
        <v>-</v>
      </c>
      <c r="CH94" s="306" t="str">
        <f>IF(AO94="-","-",VLOOKUP($A94,AMAPit!$A$10:$AY$122,CH$9,FALSE)-AO94)</f>
        <v>-</v>
      </c>
      <c r="CI94" s="306" t="str">
        <f>IF(AP94="-","-",VLOOKUP($A94,AMAPit!$A$10:$AY$122,CI$9,FALSE)-AP94)</f>
        <v>-</v>
      </c>
      <c r="CJ94" s="306" t="str">
        <f>IF(AQ94="-","-",VLOOKUP($A94,AMAPit!$A$10:$AY$122,CJ$9,FALSE)-AQ94)</f>
        <v>-</v>
      </c>
      <c r="CK94" s="306" t="str">
        <f>IF(AR94="-","-",VLOOKUP($A94,AMAPit!$A$10:$AY$122,CK$9,FALSE)-AR94)</f>
        <v>-</v>
      </c>
      <c r="CL94" s="306" t="str">
        <f>IF(AS94="-","-",VLOOKUP($A94,AMAPit!$A$10:$AY$122,CL$9,FALSE)-AS94)</f>
        <v>-</v>
      </c>
      <c r="CM94" s="306" t="str">
        <f>IF(AT94="-","-",VLOOKUP($A94,AMAPit!$A$10:$AY$122,CM$9,FALSE)-AT94)</f>
        <v>-</v>
      </c>
      <c r="CN94" s="305" t="e">
        <f t="shared" si="51"/>
        <v>#N/A</v>
      </c>
    </row>
    <row r="95" spans="1:92" x14ac:dyDescent="0.25">
      <c r="A95" s="305" t="s">
        <v>607</v>
      </c>
      <c r="B95" s="305" t="s">
        <v>534</v>
      </c>
      <c r="C95" s="305"/>
      <c r="D95" s="305" t="s">
        <v>72</v>
      </c>
      <c r="E95" t="s">
        <v>11</v>
      </c>
      <c r="F95" t="s">
        <v>994</v>
      </c>
      <c r="G95" s="305" t="s">
        <v>995</v>
      </c>
      <c r="H95" t="s">
        <v>810</v>
      </c>
      <c r="I95" t="s">
        <v>83</v>
      </c>
      <c r="J95" s="3">
        <v>18</v>
      </c>
      <c r="K95" t="s">
        <v>83</v>
      </c>
      <c r="L95" t="s">
        <v>83</v>
      </c>
      <c r="M95" t="s">
        <v>816</v>
      </c>
      <c r="N95" s="3" t="s">
        <v>816</v>
      </c>
      <c r="O95" t="s">
        <v>200</v>
      </c>
      <c r="P95" t="s">
        <v>200</v>
      </c>
      <c r="Q95" s="3">
        <v>3</v>
      </c>
      <c r="R95">
        <v>2</v>
      </c>
      <c r="S95">
        <v>2</v>
      </c>
      <c r="T95" s="3">
        <v>4</v>
      </c>
      <c r="U95">
        <v>2</v>
      </c>
      <c r="V95">
        <v>3</v>
      </c>
      <c r="W95">
        <v>4</v>
      </c>
      <c r="X95">
        <v>5</v>
      </c>
      <c r="Y95">
        <v>2</v>
      </c>
      <c r="Z95">
        <v>4</v>
      </c>
      <c r="AA95">
        <v>4</v>
      </c>
      <c r="AB95">
        <v>6</v>
      </c>
      <c r="AC95" t="s">
        <v>32</v>
      </c>
      <c r="AD95" t="s">
        <v>32</v>
      </c>
      <c r="AE95" t="s">
        <v>32</v>
      </c>
      <c r="AF95" t="s">
        <v>32</v>
      </c>
      <c r="AG95" t="s">
        <v>32</v>
      </c>
      <c r="AH95" t="s">
        <v>32</v>
      </c>
      <c r="AI95" t="s">
        <v>32</v>
      </c>
      <c r="AJ95" t="s">
        <v>32</v>
      </c>
      <c r="AK95" t="s">
        <v>32</v>
      </c>
      <c r="AL95" t="s">
        <v>32</v>
      </c>
      <c r="AM95" t="s">
        <v>32</v>
      </c>
      <c r="AN95" t="s">
        <v>32</v>
      </c>
      <c r="AO95" t="s">
        <v>32</v>
      </c>
      <c r="AP95" t="s">
        <v>32</v>
      </c>
      <c r="AQ95" t="s">
        <v>32</v>
      </c>
      <c r="AR95" s="3" t="s">
        <v>32</v>
      </c>
      <c r="AS95" t="s">
        <v>32</v>
      </c>
      <c r="AT95" t="s">
        <v>32</v>
      </c>
      <c r="AU95" s="3" t="s">
        <v>0</v>
      </c>
      <c r="AV95">
        <v>10</v>
      </c>
      <c r="AW95" s="3" t="s">
        <v>40</v>
      </c>
      <c r="AX95" t="s">
        <v>32</v>
      </c>
      <c r="AY95" s="5" t="s">
        <v>33</v>
      </c>
      <c r="AZ95" s="372" t="s">
        <v>199</v>
      </c>
      <c r="BA95" s="6">
        <f t="shared" si="42"/>
        <v>2.5833333333333335</v>
      </c>
      <c r="BB95" s="9" t="str">
        <f t="shared" si="43"/>
        <v>Minors</v>
      </c>
      <c r="BC95" s="9">
        <f t="shared" si="44"/>
        <v>3.5</v>
      </c>
      <c r="BD95" s="9" t="str">
        <f t="shared" si="45"/>
        <v>Minors</v>
      </c>
      <c r="BE95" s="9">
        <f t="shared" si="46"/>
        <v>3.5</v>
      </c>
      <c r="BF95" s="9" t="str">
        <f t="shared" si="47"/>
        <v>Minors</v>
      </c>
      <c r="BG95" s="77">
        <f t="shared" si="48"/>
        <v>3</v>
      </c>
      <c r="BH95" s="76">
        <f t="shared" si="49"/>
        <v>0.5</v>
      </c>
      <c r="BI95" s="305" t="str">
        <f t="shared" si="50"/>
        <v/>
      </c>
      <c r="BJ95" s="306" t="e">
        <f>IF(Q95="-","-",VLOOKUP($A95,AMAPit!$A$10:$AY$122,BJ$9,FALSE)-Q95)</f>
        <v>#N/A</v>
      </c>
      <c r="BK95" s="306" t="e">
        <f>IF(R95="-","-",VLOOKUP($A95,AMAPit!$A$10:$AY$122,BK$9,FALSE)-R95)</f>
        <v>#N/A</v>
      </c>
      <c r="BL95" s="306" t="e">
        <f>IF(S95="-","-",VLOOKUP($A95,AMAPit!$A$10:$AY$122,BL$9,FALSE)-S95)</f>
        <v>#N/A</v>
      </c>
      <c r="BM95" s="306" t="e">
        <f>IF(T95="-","-",VLOOKUP($A95,AMAPit!$A$10:$AY$122,BM$9,FALSE)-T95)</f>
        <v>#N/A</v>
      </c>
      <c r="BN95" s="306" t="e">
        <f>IF(U95="-","-",VLOOKUP($A95,AMAPit!$A$10:$AY$122,BN$9,FALSE)-U95)</f>
        <v>#N/A</v>
      </c>
      <c r="BO95" s="306" t="e">
        <f>IF(V95="-","-",VLOOKUP($A95,AMAPit!$A$10:$AY$122,BO$9,FALSE)-V95)</f>
        <v>#N/A</v>
      </c>
      <c r="BP95" s="306" t="e">
        <f>IF(W95="-","-",VLOOKUP($A95,AMAPit!$A$10:$AY$122,BP$9,FALSE)-W95)</f>
        <v>#N/A</v>
      </c>
      <c r="BQ95" s="306" t="e">
        <f>IF(X95="-","-",VLOOKUP($A95,AMAPit!$A$10:$AY$122,BQ$9,FALSE)-X95)</f>
        <v>#N/A</v>
      </c>
      <c r="BR95" s="306" t="e">
        <f>IF(Y95="-","-",VLOOKUP($A95,AMAPit!$A$10:$AY$122,BR$9,FALSE)-Y95)</f>
        <v>#N/A</v>
      </c>
      <c r="BS95" s="306" t="e">
        <f>IF(Z95="-","-",VLOOKUP($A95,AMAPit!$A$10:$AY$122,BS$9,FALSE)-Z95)</f>
        <v>#N/A</v>
      </c>
      <c r="BT95" s="306" t="e">
        <f>IF(AA95="-","-",VLOOKUP($A95,AMAPit!$A$10:$AY$122,BT$9,FALSE)-AA95)</f>
        <v>#N/A</v>
      </c>
      <c r="BU95" s="306" t="e">
        <f>IF(AB95="-","-",VLOOKUP($A95,AMAPit!$A$10:$AY$122,BU$9,FALSE)-AB95)</f>
        <v>#N/A</v>
      </c>
      <c r="BV95" s="306" t="str">
        <f>IF(AC95="-","-",VLOOKUP($A95,AMAPit!$A$10:$AY$122,BV$9,FALSE)-AC95)</f>
        <v>-</v>
      </c>
      <c r="BW95" s="306" t="str">
        <f>IF(AD95="-","-",VLOOKUP($A95,AMAPit!$A$10:$AY$122,BW$9,FALSE)-AD95)</f>
        <v>-</v>
      </c>
      <c r="BX95" s="306" t="str">
        <f>IF(AE95="-","-",VLOOKUP($A95,AMAPit!$A$10:$AY$122,BX$9,FALSE)-AE95)</f>
        <v>-</v>
      </c>
      <c r="BY95" s="306" t="str">
        <f>IF(AF95="-","-",VLOOKUP($A95,AMAPit!$A$10:$AY$122,BY$9,FALSE)-AF95)</f>
        <v>-</v>
      </c>
      <c r="BZ95" s="306" t="str">
        <f>IF(AG95="-","-",VLOOKUP($A95,AMAPit!$A$10:$AY$122,BZ$9,FALSE)-AG95)</f>
        <v>-</v>
      </c>
      <c r="CA95" s="306" t="str">
        <f>IF(AH95="-","-",VLOOKUP($A95,AMAPit!$A$10:$AY$122,CA$9,FALSE)-AH95)</f>
        <v>-</v>
      </c>
      <c r="CB95" s="306" t="str">
        <f>IF(AI95="-","-",VLOOKUP($A95,AMAPit!$A$10:$AY$122,CB$9,FALSE)-AI95)</f>
        <v>-</v>
      </c>
      <c r="CC95" s="306" t="str">
        <f>IF(AJ95="-","-",VLOOKUP($A95,AMAPit!$A$10:$AY$122,CC$9,FALSE)-AJ95)</f>
        <v>-</v>
      </c>
      <c r="CD95" s="306" t="str">
        <f>IF(AK95="-","-",VLOOKUP($A95,AMAPit!$A$10:$AY$122,CD$9,FALSE)-AK95)</f>
        <v>-</v>
      </c>
      <c r="CE95" s="306" t="str">
        <f>IF(AL95="-","-",VLOOKUP($A95,AMAPit!$A$10:$AY$122,CE$9,FALSE)-AL95)</f>
        <v>-</v>
      </c>
      <c r="CF95" s="306" t="str">
        <f>IF(AM95="-","-",VLOOKUP($A95,AMAPit!$A$10:$AY$122,CF$9,FALSE)-AM95)</f>
        <v>-</v>
      </c>
      <c r="CG95" s="306" t="str">
        <f>IF(AN95="-","-",VLOOKUP($A95,AMAPit!$A$10:$AY$122,CG$9,FALSE)-AN95)</f>
        <v>-</v>
      </c>
      <c r="CH95" s="306" t="str">
        <f>IF(AO95="-","-",VLOOKUP($A95,AMAPit!$A$10:$AY$122,CH$9,FALSE)-AO95)</f>
        <v>-</v>
      </c>
      <c r="CI95" s="306" t="str">
        <f>IF(AP95="-","-",VLOOKUP($A95,AMAPit!$A$10:$AY$122,CI$9,FALSE)-AP95)</f>
        <v>-</v>
      </c>
      <c r="CJ95" s="306" t="str">
        <f>IF(AQ95="-","-",VLOOKUP($A95,AMAPit!$A$10:$AY$122,CJ$9,FALSE)-AQ95)</f>
        <v>-</v>
      </c>
      <c r="CK95" s="306" t="str">
        <f>IF(AR95="-","-",VLOOKUP($A95,AMAPit!$A$10:$AY$122,CK$9,FALSE)-AR95)</f>
        <v>-</v>
      </c>
      <c r="CL95" s="306" t="str">
        <f>IF(AS95="-","-",VLOOKUP($A95,AMAPit!$A$10:$AY$122,CL$9,FALSE)-AS95)</f>
        <v>-</v>
      </c>
      <c r="CM95" s="306" t="str">
        <f>IF(AT95="-","-",VLOOKUP($A95,AMAPit!$A$10:$AY$122,CM$9,FALSE)-AT95)</f>
        <v>-</v>
      </c>
      <c r="CN95" s="305" t="e">
        <f t="shared" si="51"/>
        <v>#N/A</v>
      </c>
    </row>
    <row r="96" spans="1:92" x14ac:dyDescent="0.25">
      <c r="A96" s="305" t="s">
        <v>608</v>
      </c>
      <c r="B96" s="305" t="s">
        <v>534</v>
      </c>
      <c r="C96" s="305"/>
      <c r="D96" s="305" t="s">
        <v>81</v>
      </c>
      <c r="E96" t="s">
        <v>87</v>
      </c>
      <c r="F96" t="s">
        <v>1012</v>
      </c>
      <c r="G96" s="305" t="s">
        <v>1013</v>
      </c>
      <c r="H96" t="s">
        <v>810</v>
      </c>
      <c r="I96" t="s">
        <v>83</v>
      </c>
      <c r="J96" s="3">
        <v>20</v>
      </c>
      <c r="K96" t="s">
        <v>83</v>
      </c>
      <c r="L96" t="s">
        <v>83</v>
      </c>
      <c r="M96" t="s">
        <v>816</v>
      </c>
      <c r="N96" s="3" t="s">
        <v>816</v>
      </c>
      <c r="O96" t="s">
        <v>200</v>
      </c>
      <c r="P96" t="s">
        <v>199</v>
      </c>
      <c r="Q96" s="3">
        <v>3</v>
      </c>
      <c r="R96">
        <v>2</v>
      </c>
      <c r="S96">
        <v>2</v>
      </c>
      <c r="T96" s="3">
        <v>5</v>
      </c>
      <c r="U96">
        <v>2</v>
      </c>
      <c r="V96">
        <v>2</v>
      </c>
      <c r="W96">
        <v>5</v>
      </c>
      <c r="X96">
        <v>7</v>
      </c>
      <c r="Y96" t="s">
        <v>32</v>
      </c>
      <c r="Z96" t="s">
        <v>32</v>
      </c>
      <c r="AA96" t="s">
        <v>32</v>
      </c>
      <c r="AB96" t="s">
        <v>32</v>
      </c>
      <c r="AC96">
        <v>4</v>
      </c>
      <c r="AD96">
        <v>7</v>
      </c>
      <c r="AE96">
        <v>4</v>
      </c>
      <c r="AF96">
        <v>6</v>
      </c>
      <c r="AG96" t="s">
        <v>32</v>
      </c>
      <c r="AH96" t="s">
        <v>32</v>
      </c>
      <c r="AI96" t="s">
        <v>32</v>
      </c>
      <c r="AJ96" t="s">
        <v>32</v>
      </c>
      <c r="AK96" t="s">
        <v>32</v>
      </c>
      <c r="AL96" t="s">
        <v>32</v>
      </c>
      <c r="AM96" t="s">
        <v>32</v>
      </c>
      <c r="AN96" t="s">
        <v>32</v>
      </c>
      <c r="AO96" t="s">
        <v>32</v>
      </c>
      <c r="AP96" t="s">
        <v>32</v>
      </c>
      <c r="AQ96" t="s">
        <v>32</v>
      </c>
      <c r="AR96" s="3" t="s">
        <v>32</v>
      </c>
      <c r="AS96" t="s">
        <v>32</v>
      </c>
      <c r="AT96" t="s">
        <v>32</v>
      </c>
      <c r="AU96" s="3" t="s">
        <v>4</v>
      </c>
      <c r="AV96">
        <v>6</v>
      </c>
      <c r="AW96" s="3" t="s">
        <v>393</v>
      </c>
      <c r="AX96" t="s">
        <v>32</v>
      </c>
      <c r="AY96" s="5" t="s">
        <v>33</v>
      </c>
      <c r="AZ96" s="372" t="s">
        <v>199</v>
      </c>
      <c r="BA96" s="6">
        <f t="shared" si="42"/>
        <v>2.5833333333333335</v>
      </c>
      <c r="BB96" s="9" t="str">
        <f t="shared" si="43"/>
        <v>Minors</v>
      </c>
      <c r="BC96" s="9">
        <f t="shared" si="44"/>
        <v>3.5</v>
      </c>
      <c r="BD96" s="9" t="str">
        <f t="shared" si="45"/>
        <v>Minors</v>
      </c>
      <c r="BE96" s="9">
        <f t="shared" si="46"/>
        <v>3.5</v>
      </c>
      <c r="BF96" s="9" t="str">
        <f t="shared" si="47"/>
        <v>Minors</v>
      </c>
      <c r="BG96" s="77">
        <f t="shared" si="48"/>
        <v>3</v>
      </c>
      <c r="BH96" s="76">
        <f t="shared" si="49"/>
        <v>1.5</v>
      </c>
      <c r="BI96" s="305" t="str">
        <f t="shared" si="50"/>
        <v/>
      </c>
      <c r="BJ96" s="306" t="e">
        <f>IF(Q96="-","-",VLOOKUP($A96,AMAPit!$A$10:$AY$122,BJ$9,FALSE)-Q96)</f>
        <v>#N/A</v>
      </c>
      <c r="BK96" s="306" t="e">
        <f>IF(R96="-","-",VLOOKUP($A96,AMAPit!$A$10:$AY$122,BK$9,FALSE)-R96)</f>
        <v>#N/A</v>
      </c>
      <c r="BL96" s="306" t="e">
        <f>IF(S96="-","-",VLOOKUP($A96,AMAPit!$A$10:$AY$122,BL$9,FALSE)-S96)</f>
        <v>#N/A</v>
      </c>
      <c r="BM96" s="306" t="e">
        <f>IF(T96="-","-",VLOOKUP($A96,AMAPit!$A$10:$AY$122,BM$9,FALSE)-T96)</f>
        <v>#N/A</v>
      </c>
      <c r="BN96" s="306" t="e">
        <f>IF(U96="-","-",VLOOKUP($A96,AMAPit!$A$10:$AY$122,BN$9,FALSE)-U96)</f>
        <v>#N/A</v>
      </c>
      <c r="BO96" s="306" t="e">
        <f>IF(V96="-","-",VLOOKUP($A96,AMAPit!$A$10:$AY$122,BO$9,FALSE)-V96)</f>
        <v>#N/A</v>
      </c>
      <c r="BP96" s="306" t="e">
        <f>IF(W96="-","-",VLOOKUP($A96,AMAPit!$A$10:$AY$122,BP$9,FALSE)-W96)</f>
        <v>#N/A</v>
      </c>
      <c r="BQ96" s="306" t="e">
        <f>IF(X96="-","-",VLOOKUP($A96,AMAPit!$A$10:$AY$122,BQ$9,FALSE)-X96)</f>
        <v>#N/A</v>
      </c>
      <c r="BR96" s="306" t="str">
        <f>IF(Y96="-","-",VLOOKUP($A96,AMAPit!$A$10:$AY$122,BR$9,FALSE)-Y96)</f>
        <v>-</v>
      </c>
      <c r="BS96" s="306" t="str">
        <f>IF(Z96="-","-",VLOOKUP($A96,AMAPit!$A$10:$AY$122,BS$9,FALSE)-Z96)</f>
        <v>-</v>
      </c>
      <c r="BT96" s="306" t="str">
        <f>IF(AA96="-","-",VLOOKUP($A96,AMAPit!$A$10:$AY$122,BT$9,FALSE)-AA96)</f>
        <v>-</v>
      </c>
      <c r="BU96" s="306" t="str">
        <f>IF(AB96="-","-",VLOOKUP($A96,AMAPit!$A$10:$AY$122,BU$9,FALSE)-AB96)</f>
        <v>-</v>
      </c>
      <c r="BV96" s="306" t="e">
        <f>IF(AC96="-","-",VLOOKUP($A96,AMAPit!$A$10:$AY$122,BV$9,FALSE)-AC96)</f>
        <v>#N/A</v>
      </c>
      <c r="BW96" s="306" t="e">
        <f>IF(AD96="-","-",VLOOKUP($A96,AMAPit!$A$10:$AY$122,BW$9,FALSE)-AD96)</f>
        <v>#N/A</v>
      </c>
      <c r="BX96" s="306" t="e">
        <f>IF(AE96="-","-",VLOOKUP($A96,AMAPit!$A$10:$AY$122,BX$9,FALSE)-AE96)</f>
        <v>#N/A</v>
      </c>
      <c r="BY96" s="306" t="e">
        <f>IF(AF96="-","-",VLOOKUP($A96,AMAPit!$A$10:$AY$122,BY$9,FALSE)-AF96)</f>
        <v>#N/A</v>
      </c>
      <c r="BZ96" s="306" t="str">
        <f>IF(AG96="-","-",VLOOKUP($A96,AMAPit!$A$10:$AY$122,BZ$9,FALSE)-AG96)</f>
        <v>-</v>
      </c>
      <c r="CA96" s="306" t="str">
        <f>IF(AH96="-","-",VLOOKUP($A96,AMAPit!$A$10:$AY$122,CA$9,FALSE)-AH96)</f>
        <v>-</v>
      </c>
      <c r="CB96" s="306" t="str">
        <f>IF(AI96="-","-",VLOOKUP($A96,AMAPit!$A$10:$AY$122,CB$9,FALSE)-AI96)</f>
        <v>-</v>
      </c>
      <c r="CC96" s="306" t="str">
        <f>IF(AJ96="-","-",VLOOKUP($A96,AMAPit!$A$10:$AY$122,CC$9,FALSE)-AJ96)</f>
        <v>-</v>
      </c>
      <c r="CD96" s="306" t="str">
        <f>IF(AK96="-","-",VLOOKUP($A96,AMAPit!$A$10:$AY$122,CD$9,FALSE)-AK96)</f>
        <v>-</v>
      </c>
      <c r="CE96" s="306" t="str">
        <f>IF(AL96="-","-",VLOOKUP($A96,AMAPit!$A$10:$AY$122,CE$9,FALSE)-AL96)</f>
        <v>-</v>
      </c>
      <c r="CF96" s="306" t="str">
        <f>IF(AM96="-","-",VLOOKUP($A96,AMAPit!$A$10:$AY$122,CF$9,FALSE)-AM96)</f>
        <v>-</v>
      </c>
      <c r="CG96" s="306" t="str">
        <f>IF(AN96="-","-",VLOOKUP($A96,AMAPit!$A$10:$AY$122,CG$9,FALSE)-AN96)</f>
        <v>-</v>
      </c>
      <c r="CH96" s="306" t="str">
        <f>IF(AO96="-","-",VLOOKUP($A96,AMAPit!$A$10:$AY$122,CH$9,FALSE)-AO96)</f>
        <v>-</v>
      </c>
      <c r="CI96" s="306" t="str">
        <f>IF(AP96="-","-",VLOOKUP($A96,AMAPit!$A$10:$AY$122,CI$9,FALSE)-AP96)</f>
        <v>-</v>
      </c>
      <c r="CJ96" s="306" t="str">
        <f>IF(AQ96="-","-",VLOOKUP($A96,AMAPit!$A$10:$AY$122,CJ$9,FALSE)-AQ96)</f>
        <v>-</v>
      </c>
      <c r="CK96" s="306" t="str">
        <f>IF(AR96="-","-",VLOOKUP($A96,AMAPit!$A$10:$AY$122,CK$9,FALSE)-AR96)</f>
        <v>-</v>
      </c>
      <c r="CL96" s="306" t="str">
        <f>IF(AS96="-","-",VLOOKUP($A96,AMAPit!$A$10:$AY$122,CL$9,FALSE)-AS96)</f>
        <v>-</v>
      </c>
      <c r="CM96" s="306" t="str">
        <f>IF(AT96="-","-",VLOOKUP($A96,AMAPit!$A$10:$AY$122,CM$9,FALSE)-AT96)</f>
        <v>-</v>
      </c>
      <c r="CN96" s="305" t="e">
        <f t="shared" si="51"/>
        <v>#N/A</v>
      </c>
    </row>
    <row r="97" spans="1:92" x14ac:dyDescent="0.25">
      <c r="A97" s="305" t="s">
        <v>609</v>
      </c>
      <c r="B97" s="305" t="s">
        <v>534</v>
      </c>
      <c r="C97" s="305"/>
      <c r="D97" s="305" t="s">
        <v>81</v>
      </c>
      <c r="E97" t="s">
        <v>11</v>
      </c>
      <c r="F97" t="s">
        <v>1153</v>
      </c>
      <c r="G97" s="305" t="s">
        <v>1154</v>
      </c>
      <c r="H97" t="s">
        <v>810</v>
      </c>
      <c r="I97" t="s">
        <v>83</v>
      </c>
      <c r="J97" s="3">
        <v>19</v>
      </c>
      <c r="K97" t="s">
        <v>85</v>
      </c>
      <c r="L97" t="s">
        <v>83</v>
      </c>
      <c r="M97" t="s">
        <v>816</v>
      </c>
      <c r="N97" s="3" t="s">
        <v>816</v>
      </c>
      <c r="O97" t="s">
        <v>200</v>
      </c>
      <c r="P97" t="s">
        <v>199</v>
      </c>
      <c r="Q97" s="3">
        <v>4</v>
      </c>
      <c r="R97">
        <v>2</v>
      </c>
      <c r="S97">
        <v>1</v>
      </c>
      <c r="T97" s="3">
        <v>4</v>
      </c>
      <c r="U97">
        <v>3</v>
      </c>
      <c r="V97">
        <v>1</v>
      </c>
      <c r="W97">
        <v>5</v>
      </c>
      <c r="X97">
        <v>5</v>
      </c>
      <c r="Y97" t="s">
        <v>32</v>
      </c>
      <c r="Z97" t="s">
        <v>32</v>
      </c>
      <c r="AA97" t="s">
        <v>32</v>
      </c>
      <c r="AB97" t="s">
        <v>32</v>
      </c>
      <c r="AC97" t="s">
        <v>32</v>
      </c>
      <c r="AD97" t="s">
        <v>32</v>
      </c>
      <c r="AE97" t="s">
        <v>32</v>
      </c>
      <c r="AF97" t="s">
        <v>32</v>
      </c>
      <c r="AG97">
        <v>4</v>
      </c>
      <c r="AH97">
        <v>5</v>
      </c>
      <c r="AI97" t="s">
        <v>32</v>
      </c>
      <c r="AJ97" t="s">
        <v>32</v>
      </c>
      <c r="AK97" t="s">
        <v>32</v>
      </c>
      <c r="AL97" t="s">
        <v>32</v>
      </c>
      <c r="AM97">
        <v>2</v>
      </c>
      <c r="AN97">
        <v>5</v>
      </c>
      <c r="AO97" t="s">
        <v>32</v>
      </c>
      <c r="AP97" t="s">
        <v>32</v>
      </c>
      <c r="AQ97" t="s">
        <v>32</v>
      </c>
      <c r="AR97" s="3" t="s">
        <v>32</v>
      </c>
      <c r="AS97" t="s">
        <v>32</v>
      </c>
      <c r="AT97" t="s">
        <v>32</v>
      </c>
      <c r="AU97" s="3" t="s">
        <v>4</v>
      </c>
      <c r="AV97">
        <v>6</v>
      </c>
      <c r="AW97" s="3" t="s">
        <v>393</v>
      </c>
      <c r="AX97" t="s">
        <v>32</v>
      </c>
      <c r="AY97" s="5" t="s">
        <v>33</v>
      </c>
      <c r="AZ97" s="372" t="s">
        <v>199</v>
      </c>
      <c r="BA97" s="6">
        <f t="shared" si="42"/>
        <v>2.5833333333333335</v>
      </c>
      <c r="BB97" s="9" t="str">
        <f t="shared" si="43"/>
        <v>Minors</v>
      </c>
      <c r="BC97" s="9">
        <f t="shared" si="44"/>
        <v>2.9166666666666665</v>
      </c>
      <c r="BD97" s="9" t="str">
        <f t="shared" si="45"/>
        <v>Minors</v>
      </c>
      <c r="BE97" s="9">
        <f t="shared" si="46"/>
        <v>2.9166666666666665</v>
      </c>
      <c r="BF97" s="9" t="str">
        <f t="shared" si="47"/>
        <v>Minors</v>
      </c>
      <c r="BG97" s="77">
        <f t="shared" si="48"/>
        <v>3</v>
      </c>
      <c r="BH97" s="76">
        <f t="shared" si="49"/>
        <v>0</v>
      </c>
      <c r="BI97" s="305" t="str">
        <f t="shared" si="50"/>
        <v/>
      </c>
      <c r="BJ97" s="306" t="e">
        <f>IF(Q97="-","-",VLOOKUP($A97,AMAPit!$A$10:$AY$122,BJ$9,FALSE)-Q97)</f>
        <v>#N/A</v>
      </c>
      <c r="BK97" s="306" t="e">
        <f>IF(R97="-","-",VLOOKUP($A97,AMAPit!$A$10:$AY$122,BK$9,FALSE)-R97)</f>
        <v>#N/A</v>
      </c>
      <c r="BL97" s="306" t="e">
        <f>IF(S97="-","-",VLOOKUP($A97,AMAPit!$A$10:$AY$122,BL$9,FALSE)-S97)</f>
        <v>#N/A</v>
      </c>
      <c r="BM97" s="306" t="e">
        <f>IF(T97="-","-",VLOOKUP($A97,AMAPit!$A$10:$AY$122,BM$9,FALSE)-T97)</f>
        <v>#N/A</v>
      </c>
      <c r="BN97" s="306" t="e">
        <f>IF(U97="-","-",VLOOKUP($A97,AMAPit!$A$10:$AY$122,BN$9,FALSE)-U97)</f>
        <v>#N/A</v>
      </c>
      <c r="BO97" s="306" t="e">
        <f>IF(V97="-","-",VLOOKUP($A97,AMAPit!$A$10:$AY$122,BO$9,FALSE)-V97)</f>
        <v>#N/A</v>
      </c>
      <c r="BP97" s="306" t="e">
        <f>IF(W97="-","-",VLOOKUP($A97,AMAPit!$A$10:$AY$122,BP$9,FALSE)-W97)</f>
        <v>#N/A</v>
      </c>
      <c r="BQ97" s="306" t="e">
        <f>IF(X97="-","-",VLOOKUP($A97,AMAPit!$A$10:$AY$122,BQ$9,FALSE)-X97)</f>
        <v>#N/A</v>
      </c>
      <c r="BR97" s="306" t="str">
        <f>IF(Y97="-","-",VLOOKUP($A97,AMAPit!$A$10:$AY$122,BR$9,FALSE)-Y97)</f>
        <v>-</v>
      </c>
      <c r="BS97" s="306" t="str">
        <f>IF(Z97="-","-",VLOOKUP($A97,AMAPit!$A$10:$AY$122,BS$9,FALSE)-Z97)</f>
        <v>-</v>
      </c>
      <c r="BT97" s="306" t="str">
        <f>IF(AA97="-","-",VLOOKUP($A97,AMAPit!$A$10:$AY$122,BT$9,FALSE)-AA97)</f>
        <v>-</v>
      </c>
      <c r="BU97" s="306" t="str">
        <f>IF(AB97="-","-",VLOOKUP($A97,AMAPit!$A$10:$AY$122,BU$9,FALSE)-AB97)</f>
        <v>-</v>
      </c>
      <c r="BV97" s="306" t="str">
        <f>IF(AC97="-","-",VLOOKUP($A97,AMAPit!$A$10:$AY$122,BV$9,FALSE)-AC97)</f>
        <v>-</v>
      </c>
      <c r="BW97" s="306" t="str">
        <f>IF(AD97="-","-",VLOOKUP($A97,AMAPit!$A$10:$AY$122,BW$9,FALSE)-AD97)</f>
        <v>-</v>
      </c>
      <c r="BX97" s="306" t="str">
        <f>IF(AE97="-","-",VLOOKUP($A97,AMAPit!$A$10:$AY$122,BX$9,FALSE)-AE97)</f>
        <v>-</v>
      </c>
      <c r="BY97" s="306" t="str">
        <f>IF(AF97="-","-",VLOOKUP($A97,AMAPit!$A$10:$AY$122,BY$9,FALSE)-AF97)</f>
        <v>-</v>
      </c>
      <c r="BZ97" s="306" t="e">
        <f>IF(AG97="-","-",VLOOKUP($A97,AMAPit!$A$10:$AY$122,BZ$9,FALSE)-AG97)</f>
        <v>#N/A</v>
      </c>
      <c r="CA97" s="306" t="e">
        <f>IF(AH97="-","-",VLOOKUP($A97,AMAPit!$A$10:$AY$122,CA$9,FALSE)-AH97)</f>
        <v>#N/A</v>
      </c>
      <c r="CB97" s="306" t="str">
        <f>IF(AI97="-","-",VLOOKUP($A97,AMAPit!$A$10:$AY$122,CB$9,FALSE)-AI97)</f>
        <v>-</v>
      </c>
      <c r="CC97" s="306" t="str">
        <f>IF(AJ97="-","-",VLOOKUP($A97,AMAPit!$A$10:$AY$122,CC$9,FALSE)-AJ97)</f>
        <v>-</v>
      </c>
      <c r="CD97" s="306" t="str">
        <f>IF(AK97="-","-",VLOOKUP($A97,AMAPit!$A$10:$AY$122,CD$9,FALSE)-AK97)</f>
        <v>-</v>
      </c>
      <c r="CE97" s="306" t="str">
        <f>IF(AL97="-","-",VLOOKUP($A97,AMAPit!$A$10:$AY$122,CE$9,FALSE)-AL97)</f>
        <v>-</v>
      </c>
      <c r="CF97" s="306" t="e">
        <f>IF(AM97="-","-",VLOOKUP($A97,AMAPit!$A$10:$AY$122,CF$9,FALSE)-AM97)</f>
        <v>#N/A</v>
      </c>
      <c r="CG97" s="306" t="e">
        <f>IF(AN97="-","-",VLOOKUP($A97,AMAPit!$A$10:$AY$122,CG$9,FALSE)-AN97)</f>
        <v>#N/A</v>
      </c>
      <c r="CH97" s="306" t="str">
        <f>IF(AO97="-","-",VLOOKUP($A97,AMAPit!$A$10:$AY$122,CH$9,FALSE)-AO97)</f>
        <v>-</v>
      </c>
      <c r="CI97" s="306" t="str">
        <f>IF(AP97="-","-",VLOOKUP($A97,AMAPit!$A$10:$AY$122,CI$9,FALSE)-AP97)</f>
        <v>-</v>
      </c>
      <c r="CJ97" s="306" t="str">
        <f>IF(AQ97="-","-",VLOOKUP($A97,AMAPit!$A$10:$AY$122,CJ$9,FALSE)-AQ97)</f>
        <v>-</v>
      </c>
      <c r="CK97" s="306" t="str">
        <f>IF(AR97="-","-",VLOOKUP($A97,AMAPit!$A$10:$AY$122,CK$9,FALSE)-AR97)</f>
        <v>-</v>
      </c>
      <c r="CL97" s="306" t="str">
        <f>IF(AS97="-","-",VLOOKUP($A97,AMAPit!$A$10:$AY$122,CL$9,FALSE)-AS97)</f>
        <v>-</v>
      </c>
      <c r="CM97" s="306" t="str">
        <f>IF(AT97="-","-",VLOOKUP($A97,AMAPit!$A$10:$AY$122,CM$9,FALSE)-AT97)</f>
        <v>-</v>
      </c>
      <c r="CN97" s="305" t="e">
        <f t="shared" si="51"/>
        <v>#N/A</v>
      </c>
    </row>
    <row r="98" spans="1:92" x14ac:dyDescent="0.25">
      <c r="A98" s="305" t="s">
        <v>610</v>
      </c>
      <c r="B98" s="305" t="s">
        <v>534</v>
      </c>
      <c r="C98" s="305"/>
      <c r="D98" s="305" t="s">
        <v>72</v>
      </c>
      <c r="E98" t="s">
        <v>87</v>
      </c>
      <c r="F98" t="s">
        <v>501</v>
      </c>
      <c r="G98" s="305" t="s">
        <v>1016</v>
      </c>
      <c r="H98" t="s">
        <v>763</v>
      </c>
      <c r="I98" t="s">
        <v>16</v>
      </c>
      <c r="J98" s="3">
        <v>19</v>
      </c>
      <c r="K98" t="s">
        <v>83</v>
      </c>
      <c r="L98" t="s">
        <v>83</v>
      </c>
      <c r="M98" t="s">
        <v>816</v>
      </c>
      <c r="N98" s="3" t="s">
        <v>808</v>
      </c>
      <c r="O98" t="s">
        <v>200</v>
      </c>
      <c r="P98" t="s">
        <v>200</v>
      </c>
      <c r="Q98" s="3">
        <v>3</v>
      </c>
      <c r="R98">
        <v>2</v>
      </c>
      <c r="S98">
        <v>1</v>
      </c>
      <c r="T98" s="3">
        <v>5</v>
      </c>
      <c r="U98">
        <v>4</v>
      </c>
      <c r="V98">
        <v>3</v>
      </c>
      <c r="W98">
        <v>5</v>
      </c>
      <c r="X98">
        <v>6</v>
      </c>
      <c r="Y98">
        <v>2</v>
      </c>
      <c r="Z98">
        <v>3</v>
      </c>
      <c r="AA98">
        <v>4</v>
      </c>
      <c r="AB98">
        <v>8</v>
      </c>
      <c r="AC98" t="s">
        <v>32</v>
      </c>
      <c r="AD98" t="s">
        <v>32</v>
      </c>
      <c r="AE98" t="s">
        <v>32</v>
      </c>
      <c r="AF98" t="s">
        <v>32</v>
      </c>
      <c r="AG98" t="s">
        <v>32</v>
      </c>
      <c r="AH98" t="s">
        <v>32</v>
      </c>
      <c r="AI98">
        <v>4</v>
      </c>
      <c r="AJ98">
        <v>5</v>
      </c>
      <c r="AK98" t="s">
        <v>32</v>
      </c>
      <c r="AL98" t="s">
        <v>32</v>
      </c>
      <c r="AM98" t="s">
        <v>32</v>
      </c>
      <c r="AN98" t="s">
        <v>32</v>
      </c>
      <c r="AO98" t="s">
        <v>32</v>
      </c>
      <c r="AP98" t="s">
        <v>32</v>
      </c>
      <c r="AQ98" t="s">
        <v>32</v>
      </c>
      <c r="AR98" s="3" t="s">
        <v>32</v>
      </c>
      <c r="AS98" t="s">
        <v>32</v>
      </c>
      <c r="AT98" t="s">
        <v>32</v>
      </c>
      <c r="AU98" s="3" t="s">
        <v>5</v>
      </c>
      <c r="AV98">
        <v>9</v>
      </c>
      <c r="AW98" s="3" t="s">
        <v>393</v>
      </c>
      <c r="AX98" t="s">
        <v>32</v>
      </c>
      <c r="AY98" s="5">
        <v>0</v>
      </c>
      <c r="AZ98" s="372" t="s">
        <v>199</v>
      </c>
      <c r="BA98" s="6">
        <f t="shared" si="42"/>
        <v>2.5</v>
      </c>
      <c r="BB98" s="9" t="str">
        <f t="shared" si="43"/>
        <v>Minors</v>
      </c>
      <c r="BC98" s="9">
        <f t="shared" si="44"/>
        <v>4.75</v>
      </c>
      <c r="BD98" s="9" t="str">
        <f t="shared" si="45"/>
        <v>Bench</v>
      </c>
      <c r="BE98" s="9">
        <f t="shared" si="46"/>
        <v>4.75</v>
      </c>
      <c r="BF98" s="9" t="str">
        <f t="shared" si="47"/>
        <v>Bench</v>
      </c>
      <c r="BG98" s="77">
        <f t="shared" si="48"/>
        <v>4</v>
      </c>
      <c r="BH98" s="76">
        <f t="shared" si="49"/>
        <v>1</v>
      </c>
      <c r="BI98" s="305" t="str">
        <f t="shared" si="50"/>
        <v/>
      </c>
      <c r="BJ98" s="306">
        <f>IF(Q98="-","-",VLOOKUP($A98,AMAPit!$A$10:$AY$122,BJ$9,FALSE)-Q98)</f>
        <v>2</v>
      </c>
      <c r="BK98" s="306">
        <f>IF(R98="-","-",VLOOKUP($A98,AMAPit!$A$10:$AY$122,BK$9,FALSE)-R98)</f>
        <v>0</v>
      </c>
      <c r="BL98" s="306">
        <f>IF(S98="-","-",VLOOKUP($A98,AMAPit!$A$10:$AY$122,BL$9,FALSE)-S98)</f>
        <v>1</v>
      </c>
      <c r="BM98" s="306">
        <f>IF(T98="-","-",VLOOKUP($A98,AMAPit!$A$10:$AY$122,BM$9,FALSE)-T98)</f>
        <v>0</v>
      </c>
      <c r="BN98" s="306">
        <f>IF(U98="-","-",VLOOKUP($A98,AMAPit!$A$10:$AY$122,BN$9,FALSE)-U98)</f>
        <v>-2</v>
      </c>
      <c r="BO98" s="306">
        <f>IF(V98="-","-",VLOOKUP($A98,AMAPit!$A$10:$AY$122,BO$9,FALSE)-V98)</f>
        <v>-1</v>
      </c>
      <c r="BP98" s="306">
        <f>IF(W98="-","-",VLOOKUP($A98,AMAPit!$A$10:$AY$122,BP$9,FALSE)-W98)</f>
        <v>1</v>
      </c>
      <c r="BQ98" s="306">
        <f>IF(X98="-","-",VLOOKUP($A98,AMAPit!$A$10:$AY$122,BQ$9,FALSE)-X98)</f>
        <v>0</v>
      </c>
      <c r="BR98" s="306">
        <f>IF(Y98="-","-",VLOOKUP($A98,AMAPit!$A$10:$AY$122,BR$9,FALSE)-Y98)</f>
        <v>5</v>
      </c>
      <c r="BS98" s="306">
        <f>IF(Z98="-","-",VLOOKUP($A98,AMAPit!$A$10:$AY$122,BS$9,FALSE)-Z98)</f>
        <v>5</v>
      </c>
      <c r="BT98" s="306" t="e">
        <f>IF(AA98="-","-",VLOOKUP($A98,AMAPit!$A$10:$AY$122,BT$9,FALSE)-AA98)</f>
        <v>#VALUE!</v>
      </c>
      <c r="BU98" s="306" t="e">
        <f>IF(AB98="-","-",VLOOKUP($A98,AMAPit!$A$10:$AY$122,BU$9,FALSE)-AB98)</f>
        <v>#VALUE!</v>
      </c>
      <c r="BV98" s="306" t="str">
        <f>IF(AC98="-","-",VLOOKUP($A98,AMAPit!$A$10:$AY$122,BV$9,FALSE)-AC98)</f>
        <v>-</v>
      </c>
      <c r="BW98" s="306" t="str">
        <f>IF(AD98="-","-",VLOOKUP($A98,AMAPit!$A$10:$AY$122,BW$9,FALSE)-AD98)</f>
        <v>-</v>
      </c>
      <c r="BX98" s="306" t="str">
        <f>IF(AE98="-","-",VLOOKUP($A98,AMAPit!$A$10:$AY$122,BX$9,FALSE)-AE98)</f>
        <v>-</v>
      </c>
      <c r="BY98" s="306" t="str">
        <f>IF(AF98="-","-",VLOOKUP($A98,AMAPit!$A$10:$AY$122,BY$9,FALSE)-AF98)</f>
        <v>-</v>
      </c>
      <c r="BZ98" s="306" t="str">
        <f>IF(AG98="-","-",VLOOKUP($A98,AMAPit!$A$10:$AY$122,BZ$9,FALSE)-AG98)</f>
        <v>-</v>
      </c>
      <c r="CA98" s="306" t="str">
        <f>IF(AH98="-","-",VLOOKUP($A98,AMAPit!$A$10:$AY$122,CA$9,FALSE)-AH98)</f>
        <v>-</v>
      </c>
      <c r="CB98" s="306" t="e">
        <f>IF(AI98="-","-",VLOOKUP($A98,AMAPit!$A$10:$AY$122,CB$9,FALSE)-AI98)</f>
        <v>#VALUE!</v>
      </c>
      <c r="CC98" s="306" t="e">
        <f>IF(AJ98="-","-",VLOOKUP($A98,AMAPit!$A$10:$AY$122,CC$9,FALSE)-AJ98)</f>
        <v>#VALUE!</v>
      </c>
      <c r="CD98" s="306" t="str">
        <f>IF(AK98="-","-",VLOOKUP($A98,AMAPit!$A$10:$AY$122,CD$9,FALSE)-AK98)</f>
        <v>-</v>
      </c>
      <c r="CE98" s="306" t="str">
        <f>IF(AL98="-","-",VLOOKUP($A98,AMAPit!$A$10:$AY$122,CE$9,FALSE)-AL98)</f>
        <v>-</v>
      </c>
      <c r="CF98" s="306" t="str">
        <f>IF(AM98="-","-",VLOOKUP($A98,AMAPit!$A$10:$AY$122,CF$9,FALSE)-AM98)</f>
        <v>-</v>
      </c>
      <c r="CG98" s="306" t="str">
        <f>IF(AN98="-","-",VLOOKUP($A98,AMAPit!$A$10:$AY$122,CG$9,FALSE)-AN98)</f>
        <v>-</v>
      </c>
      <c r="CH98" s="306" t="str">
        <f>IF(AO98="-","-",VLOOKUP($A98,AMAPit!$A$10:$AY$122,CH$9,FALSE)-AO98)</f>
        <v>-</v>
      </c>
      <c r="CI98" s="306" t="str">
        <f>IF(AP98="-","-",VLOOKUP($A98,AMAPit!$A$10:$AY$122,CI$9,FALSE)-AP98)</f>
        <v>-</v>
      </c>
      <c r="CJ98" s="306" t="str">
        <f>IF(AQ98="-","-",VLOOKUP($A98,AMAPit!$A$10:$AY$122,CJ$9,FALSE)-AQ98)</f>
        <v>-</v>
      </c>
      <c r="CK98" s="306" t="str">
        <f>IF(AR98="-","-",VLOOKUP($A98,AMAPit!$A$10:$AY$122,CK$9,FALSE)-AR98)</f>
        <v>-</v>
      </c>
      <c r="CL98" s="306" t="str">
        <f>IF(AS98="-","-",VLOOKUP($A98,AMAPit!$A$10:$AY$122,CL$9,FALSE)-AS98)</f>
        <v>-</v>
      </c>
      <c r="CM98" s="306" t="str">
        <f>IF(AT98="-","-",VLOOKUP($A98,AMAPit!$A$10:$AY$122,CM$9,FALSE)-AT98)</f>
        <v>-</v>
      </c>
      <c r="CN98" s="305" t="e">
        <f t="shared" si="51"/>
        <v>#VALUE!</v>
      </c>
    </row>
    <row r="99" spans="1:92" x14ac:dyDescent="0.25">
      <c r="A99" s="305" t="s">
        <v>611</v>
      </c>
      <c r="B99" s="305" t="s">
        <v>534</v>
      </c>
      <c r="C99" s="305"/>
      <c r="D99" s="305" t="s">
        <v>72</v>
      </c>
      <c r="E99" t="s">
        <v>87</v>
      </c>
      <c r="F99" t="s">
        <v>1151</v>
      </c>
      <c r="G99" s="305" t="s">
        <v>1152</v>
      </c>
      <c r="H99" t="s">
        <v>802</v>
      </c>
      <c r="I99" t="s">
        <v>277</v>
      </c>
      <c r="J99" s="3">
        <v>22</v>
      </c>
      <c r="K99" t="s">
        <v>82</v>
      </c>
      <c r="L99" t="s">
        <v>82</v>
      </c>
      <c r="M99" t="s">
        <v>816</v>
      </c>
      <c r="N99" s="3" t="s">
        <v>816</v>
      </c>
      <c r="O99" t="s">
        <v>199</v>
      </c>
      <c r="P99" t="s">
        <v>200</v>
      </c>
      <c r="Q99" s="3">
        <v>4</v>
      </c>
      <c r="R99">
        <v>1</v>
      </c>
      <c r="S99">
        <v>1</v>
      </c>
      <c r="T99" s="3">
        <v>5</v>
      </c>
      <c r="U99">
        <v>2</v>
      </c>
      <c r="V99">
        <v>1</v>
      </c>
      <c r="W99">
        <v>6</v>
      </c>
      <c r="X99">
        <v>7</v>
      </c>
      <c r="Y99">
        <v>4</v>
      </c>
      <c r="Z99">
        <v>6</v>
      </c>
      <c r="AA99">
        <v>5</v>
      </c>
      <c r="AB99">
        <v>7</v>
      </c>
      <c r="AC99" t="s">
        <v>32</v>
      </c>
      <c r="AD99" t="s">
        <v>32</v>
      </c>
      <c r="AE99" t="s">
        <v>32</v>
      </c>
      <c r="AF99" t="s">
        <v>32</v>
      </c>
      <c r="AG99" t="s">
        <v>32</v>
      </c>
      <c r="AH99" t="s">
        <v>32</v>
      </c>
      <c r="AI99" t="s">
        <v>32</v>
      </c>
      <c r="AJ99" t="s">
        <v>32</v>
      </c>
      <c r="AK99" t="s">
        <v>32</v>
      </c>
      <c r="AL99" t="s">
        <v>32</v>
      </c>
      <c r="AM99" t="s">
        <v>32</v>
      </c>
      <c r="AN99" t="s">
        <v>32</v>
      </c>
      <c r="AO99" t="s">
        <v>32</v>
      </c>
      <c r="AP99" t="s">
        <v>32</v>
      </c>
      <c r="AQ99" t="s">
        <v>32</v>
      </c>
      <c r="AR99" s="3" t="s">
        <v>32</v>
      </c>
      <c r="AS99" t="s">
        <v>32</v>
      </c>
      <c r="AT99" t="s">
        <v>32</v>
      </c>
      <c r="AU99" s="3" t="s">
        <v>4</v>
      </c>
      <c r="AV99">
        <v>10</v>
      </c>
      <c r="AW99" s="3" t="s">
        <v>40</v>
      </c>
      <c r="AX99" t="s">
        <v>32</v>
      </c>
      <c r="AY99" s="5" t="s">
        <v>33</v>
      </c>
      <c r="AZ99" s="372" t="s">
        <v>529</v>
      </c>
      <c r="BA99" s="6">
        <f t="shared" si="42"/>
        <v>2.5</v>
      </c>
      <c r="BB99" s="9" t="str">
        <f t="shared" si="43"/>
        <v>Minors</v>
      </c>
      <c r="BC99" s="9">
        <f t="shared" si="44"/>
        <v>3.1666666666666665</v>
      </c>
      <c r="BD99" s="9" t="str">
        <f t="shared" si="45"/>
        <v>Minors</v>
      </c>
      <c r="BE99" s="9">
        <f t="shared" si="46"/>
        <v>3.1666666666666665</v>
      </c>
      <c r="BF99" s="9" t="str">
        <f t="shared" si="47"/>
        <v>Minors</v>
      </c>
      <c r="BG99" s="77">
        <f t="shared" si="48"/>
        <v>3</v>
      </c>
      <c r="BH99" s="76">
        <f t="shared" si="49"/>
        <v>2</v>
      </c>
      <c r="BI99" s="305" t="str">
        <f t="shared" si="50"/>
        <v/>
      </c>
      <c r="BJ99" s="306" t="e">
        <f>IF(Q99="-","-",VLOOKUP($A99,AMAPit!$A$10:$AY$122,BJ$9,FALSE)-Q99)</f>
        <v>#N/A</v>
      </c>
      <c r="BK99" s="306" t="e">
        <f>IF(R99="-","-",VLOOKUP($A99,AMAPit!$A$10:$AY$122,BK$9,FALSE)-R99)</f>
        <v>#N/A</v>
      </c>
      <c r="BL99" s="306" t="e">
        <f>IF(S99="-","-",VLOOKUP($A99,AMAPit!$A$10:$AY$122,BL$9,FALSE)-S99)</f>
        <v>#N/A</v>
      </c>
      <c r="BM99" s="306" t="e">
        <f>IF(T99="-","-",VLOOKUP($A99,AMAPit!$A$10:$AY$122,BM$9,FALSE)-T99)</f>
        <v>#N/A</v>
      </c>
      <c r="BN99" s="306" t="e">
        <f>IF(U99="-","-",VLOOKUP($A99,AMAPit!$A$10:$AY$122,BN$9,FALSE)-U99)</f>
        <v>#N/A</v>
      </c>
      <c r="BO99" s="306" t="e">
        <f>IF(V99="-","-",VLOOKUP($A99,AMAPit!$A$10:$AY$122,BO$9,FALSE)-V99)</f>
        <v>#N/A</v>
      </c>
      <c r="BP99" s="306" t="e">
        <f>IF(W99="-","-",VLOOKUP($A99,AMAPit!$A$10:$AY$122,BP$9,FALSE)-W99)</f>
        <v>#N/A</v>
      </c>
      <c r="BQ99" s="306" t="e">
        <f>IF(X99="-","-",VLOOKUP($A99,AMAPit!$A$10:$AY$122,BQ$9,FALSE)-X99)</f>
        <v>#N/A</v>
      </c>
      <c r="BR99" s="306" t="e">
        <f>IF(Y99="-","-",VLOOKUP($A99,AMAPit!$A$10:$AY$122,BR$9,FALSE)-Y99)</f>
        <v>#N/A</v>
      </c>
      <c r="BS99" s="306" t="e">
        <f>IF(Z99="-","-",VLOOKUP($A99,AMAPit!$A$10:$AY$122,BS$9,FALSE)-Z99)</f>
        <v>#N/A</v>
      </c>
      <c r="BT99" s="306" t="e">
        <f>IF(AA99="-","-",VLOOKUP($A99,AMAPit!$A$10:$AY$122,BT$9,FALSE)-AA99)</f>
        <v>#N/A</v>
      </c>
      <c r="BU99" s="306" t="e">
        <f>IF(AB99="-","-",VLOOKUP($A99,AMAPit!$A$10:$AY$122,BU$9,FALSE)-AB99)</f>
        <v>#N/A</v>
      </c>
      <c r="BV99" s="306" t="str">
        <f>IF(AC99="-","-",VLOOKUP($A99,AMAPit!$A$10:$AY$122,BV$9,FALSE)-AC99)</f>
        <v>-</v>
      </c>
      <c r="BW99" s="306" t="str">
        <f>IF(AD99="-","-",VLOOKUP($A99,AMAPit!$A$10:$AY$122,BW$9,FALSE)-AD99)</f>
        <v>-</v>
      </c>
      <c r="BX99" s="306" t="str">
        <f>IF(AE99="-","-",VLOOKUP($A99,AMAPit!$A$10:$AY$122,BX$9,FALSE)-AE99)</f>
        <v>-</v>
      </c>
      <c r="BY99" s="306" t="str">
        <f>IF(AF99="-","-",VLOOKUP($A99,AMAPit!$A$10:$AY$122,BY$9,FALSE)-AF99)</f>
        <v>-</v>
      </c>
      <c r="BZ99" s="306" t="str">
        <f>IF(AG99="-","-",VLOOKUP($A99,AMAPit!$A$10:$AY$122,BZ$9,FALSE)-AG99)</f>
        <v>-</v>
      </c>
      <c r="CA99" s="306" t="str">
        <f>IF(AH99="-","-",VLOOKUP($A99,AMAPit!$A$10:$AY$122,CA$9,FALSE)-AH99)</f>
        <v>-</v>
      </c>
      <c r="CB99" s="306" t="str">
        <f>IF(AI99="-","-",VLOOKUP($A99,AMAPit!$A$10:$AY$122,CB$9,FALSE)-AI99)</f>
        <v>-</v>
      </c>
      <c r="CC99" s="306" t="str">
        <f>IF(AJ99="-","-",VLOOKUP($A99,AMAPit!$A$10:$AY$122,CC$9,FALSE)-AJ99)</f>
        <v>-</v>
      </c>
      <c r="CD99" s="306" t="str">
        <f>IF(AK99="-","-",VLOOKUP($A99,AMAPit!$A$10:$AY$122,CD$9,FALSE)-AK99)</f>
        <v>-</v>
      </c>
      <c r="CE99" s="306" t="str">
        <f>IF(AL99="-","-",VLOOKUP($A99,AMAPit!$A$10:$AY$122,CE$9,FALSE)-AL99)</f>
        <v>-</v>
      </c>
      <c r="CF99" s="306" t="str">
        <f>IF(AM99="-","-",VLOOKUP($A99,AMAPit!$A$10:$AY$122,CF$9,FALSE)-AM99)</f>
        <v>-</v>
      </c>
      <c r="CG99" s="306" t="str">
        <f>IF(AN99="-","-",VLOOKUP($A99,AMAPit!$A$10:$AY$122,CG$9,FALSE)-AN99)</f>
        <v>-</v>
      </c>
      <c r="CH99" s="306" t="str">
        <f>IF(AO99="-","-",VLOOKUP($A99,AMAPit!$A$10:$AY$122,CH$9,FALSE)-AO99)</f>
        <v>-</v>
      </c>
      <c r="CI99" s="306" t="str">
        <f>IF(AP99="-","-",VLOOKUP($A99,AMAPit!$A$10:$AY$122,CI$9,FALSE)-AP99)</f>
        <v>-</v>
      </c>
      <c r="CJ99" s="306" t="str">
        <f>IF(AQ99="-","-",VLOOKUP($A99,AMAPit!$A$10:$AY$122,CJ$9,FALSE)-AQ99)</f>
        <v>-</v>
      </c>
      <c r="CK99" s="306" t="str">
        <f>IF(AR99="-","-",VLOOKUP($A99,AMAPit!$A$10:$AY$122,CK$9,FALSE)-AR99)</f>
        <v>-</v>
      </c>
      <c r="CL99" s="306" t="str">
        <f>IF(AS99="-","-",VLOOKUP($A99,AMAPit!$A$10:$AY$122,CL$9,FALSE)-AS99)</f>
        <v>-</v>
      </c>
      <c r="CM99" s="306" t="str">
        <f>IF(AT99="-","-",VLOOKUP($A99,AMAPit!$A$10:$AY$122,CM$9,FALSE)-AT99)</f>
        <v>-</v>
      </c>
      <c r="CN99" s="305" t="e">
        <f t="shared" si="51"/>
        <v>#N/A</v>
      </c>
    </row>
    <row r="100" spans="1:92" x14ac:dyDescent="0.25">
      <c r="A100" s="305" t="s">
        <v>612</v>
      </c>
      <c r="B100" s="305" t="s">
        <v>534</v>
      </c>
      <c r="C100" s="305"/>
      <c r="D100" s="305" t="s">
        <v>81</v>
      </c>
      <c r="E100" t="s">
        <v>87</v>
      </c>
      <c r="F100" t="s">
        <v>982</v>
      </c>
      <c r="G100" s="305" t="s">
        <v>983</v>
      </c>
      <c r="H100" t="s">
        <v>810</v>
      </c>
      <c r="I100" t="s">
        <v>83</v>
      </c>
      <c r="J100" s="3">
        <v>19</v>
      </c>
      <c r="K100" t="s">
        <v>83</v>
      </c>
      <c r="L100" t="s">
        <v>83</v>
      </c>
      <c r="M100" t="s">
        <v>816</v>
      </c>
      <c r="N100" s="3" t="s">
        <v>803</v>
      </c>
      <c r="O100" t="s">
        <v>199</v>
      </c>
      <c r="P100" t="s">
        <v>199</v>
      </c>
      <c r="Q100" s="3">
        <v>2</v>
      </c>
      <c r="R100">
        <v>2</v>
      </c>
      <c r="S100">
        <v>2</v>
      </c>
      <c r="T100" s="3">
        <v>5</v>
      </c>
      <c r="U100">
        <v>4</v>
      </c>
      <c r="V100">
        <v>3</v>
      </c>
      <c r="W100">
        <v>5</v>
      </c>
      <c r="X100">
        <v>9</v>
      </c>
      <c r="Y100" t="s">
        <v>32</v>
      </c>
      <c r="Z100" t="s">
        <v>32</v>
      </c>
      <c r="AA100">
        <v>2</v>
      </c>
      <c r="AB100">
        <v>7</v>
      </c>
      <c r="AC100" t="s">
        <v>32</v>
      </c>
      <c r="AD100" t="s">
        <v>32</v>
      </c>
      <c r="AE100" t="s">
        <v>32</v>
      </c>
      <c r="AF100" t="s">
        <v>32</v>
      </c>
      <c r="AG100" t="s">
        <v>32</v>
      </c>
      <c r="AH100" t="s">
        <v>32</v>
      </c>
      <c r="AI100" t="s">
        <v>32</v>
      </c>
      <c r="AJ100" t="s">
        <v>32</v>
      </c>
      <c r="AK100" t="s">
        <v>32</v>
      </c>
      <c r="AL100" t="s">
        <v>32</v>
      </c>
      <c r="AM100" t="s">
        <v>32</v>
      </c>
      <c r="AN100" t="s">
        <v>32</v>
      </c>
      <c r="AO100" t="s">
        <v>32</v>
      </c>
      <c r="AP100" t="s">
        <v>32</v>
      </c>
      <c r="AQ100" t="s">
        <v>32</v>
      </c>
      <c r="AR100" s="3" t="s">
        <v>32</v>
      </c>
      <c r="AS100" t="s">
        <v>32</v>
      </c>
      <c r="AT100" t="s">
        <v>32</v>
      </c>
      <c r="AU100" s="3" t="s">
        <v>4</v>
      </c>
      <c r="AV100">
        <v>6</v>
      </c>
      <c r="AW100" s="3" t="s">
        <v>393</v>
      </c>
      <c r="AX100" t="s">
        <v>32</v>
      </c>
      <c r="AY100" s="5" t="s">
        <v>33</v>
      </c>
      <c r="AZ100" s="372" t="s">
        <v>529</v>
      </c>
      <c r="BA100" s="6">
        <f t="shared" si="42"/>
        <v>2.25</v>
      </c>
      <c r="BB100" s="9" t="str">
        <f t="shared" si="43"/>
        <v>Minors</v>
      </c>
      <c r="BC100" s="9">
        <f t="shared" si="44"/>
        <v>4.5</v>
      </c>
      <c r="BD100" s="9" t="str">
        <f t="shared" si="45"/>
        <v>Bench</v>
      </c>
      <c r="BE100" s="9">
        <f t="shared" si="46"/>
        <v>4.5</v>
      </c>
      <c r="BF100" s="9" t="str">
        <f t="shared" si="47"/>
        <v>Bench</v>
      </c>
      <c r="BG100" s="77">
        <f t="shared" si="48"/>
        <v>2</v>
      </c>
      <c r="BH100" s="76">
        <f t="shared" si="49"/>
        <v>1</v>
      </c>
      <c r="BI100" s="305" t="str">
        <f t="shared" si="50"/>
        <v/>
      </c>
      <c r="BJ100" s="306" t="e">
        <f>IF(Q100="-","-",VLOOKUP($A100,AMAPit!$A$10:$AY$122,BJ$9,FALSE)-Q100)</f>
        <v>#N/A</v>
      </c>
      <c r="BK100" s="306" t="e">
        <f>IF(R100="-","-",VLOOKUP($A100,AMAPit!$A$10:$AY$122,BK$9,FALSE)-R100)</f>
        <v>#N/A</v>
      </c>
      <c r="BL100" s="306" t="e">
        <f>IF(S100="-","-",VLOOKUP($A100,AMAPit!$A$10:$AY$122,BL$9,FALSE)-S100)</f>
        <v>#N/A</v>
      </c>
      <c r="BM100" s="306" t="e">
        <f>IF(T100="-","-",VLOOKUP($A100,AMAPit!$A$10:$AY$122,BM$9,FALSE)-T100)</f>
        <v>#N/A</v>
      </c>
      <c r="BN100" s="306" t="e">
        <f>IF(U100="-","-",VLOOKUP($A100,AMAPit!$A$10:$AY$122,BN$9,FALSE)-U100)</f>
        <v>#N/A</v>
      </c>
      <c r="BO100" s="306" t="e">
        <f>IF(V100="-","-",VLOOKUP($A100,AMAPit!$A$10:$AY$122,BO$9,FALSE)-V100)</f>
        <v>#N/A</v>
      </c>
      <c r="BP100" s="306" t="e">
        <f>IF(W100="-","-",VLOOKUP($A100,AMAPit!$A$10:$AY$122,BP$9,FALSE)-W100)</f>
        <v>#N/A</v>
      </c>
      <c r="BQ100" s="306" t="e">
        <f>IF(X100="-","-",VLOOKUP($A100,AMAPit!$A$10:$AY$122,BQ$9,FALSE)-X100)</f>
        <v>#N/A</v>
      </c>
      <c r="BR100" s="306" t="str">
        <f>IF(Y100="-","-",VLOOKUP($A100,AMAPit!$A$10:$AY$122,BR$9,FALSE)-Y100)</f>
        <v>-</v>
      </c>
      <c r="BS100" s="306" t="str">
        <f>IF(Z100="-","-",VLOOKUP($A100,AMAPit!$A$10:$AY$122,BS$9,FALSE)-Z100)</f>
        <v>-</v>
      </c>
      <c r="BT100" s="306" t="e">
        <f>IF(AA100="-","-",VLOOKUP($A100,AMAPit!$A$10:$AY$122,BT$9,FALSE)-AA100)</f>
        <v>#N/A</v>
      </c>
      <c r="BU100" s="306" t="e">
        <f>IF(AB100="-","-",VLOOKUP($A100,AMAPit!$A$10:$AY$122,BU$9,FALSE)-AB100)</f>
        <v>#N/A</v>
      </c>
      <c r="BV100" s="306" t="str">
        <f>IF(AC100="-","-",VLOOKUP($A100,AMAPit!$A$10:$AY$122,BV$9,FALSE)-AC100)</f>
        <v>-</v>
      </c>
      <c r="BW100" s="306" t="str">
        <f>IF(AD100="-","-",VLOOKUP($A100,AMAPit!$A$10:$AY$122,BW$9,FALSE)-AD100)</f>
        <v>-</v>
      </c>
      <c r="BX100" s="306" t="str">
        <f>IF(AE100="-","-",VLOOKUP($A100,AMAPit!$A$10:$AY$122,BX$9,FALSE)-AE100)</f>
        <v>-</v>
      </c>
      <c r="BY100" s="306" t="str">
        <f>IF(AF100="-","-",VLOOKUP($A100,AMAPit!$A$10:$AY$122,BY$9,FALSE)-AF100)</f>
        <v>-</v>
      </c>
      <c r="BZ100" s="306" t="str">
        <f>IF(AG100="-","-",VLOOKUP($A100,AMAPit!$A$10:$AY$122,BZ$9,FALSE)-AG100)</f>
        <v>-</v>
      </c>
      <c r="CA100" s="306" t="str">
        <f>IF(AH100="-","-",VLOOKUP($A100,AMAPit!$A$10:$AY$122,CA$9,FALSE)-AH100)</f>
        <v>-</v>
      </c>
      <c r="CB100" s="306" t="str">
        <f>IF(AI100="-","-",VLOOKUP($A100,AMAPit!$A$10:$AY$122,CB$9,FALSE)-AI100)</f>
        <v>-</v>
      </c>
      <c r="CC100" s="306" t="str">
        <f>IF(AJ100="-","-",VLOOKUP($A100,AMAPit!$A$10:$AY$122,CC$9,FALSE)-AJ100)</f>
        <v>-</v>
      </c>
      <c r="CD100" s="306" t="str">
        <f>IF(AK100="-","-",VLOOKUP($A100,AMAPit!$A$10:$AY$122,CD$9,FALSE)-AK100)</f>
        <v>-</v>
      </c>
      <c r="CE100" s="306" t="str">
        <f>IF(AL100="-","-",VLOOKUP($A100,AMAPit!$A$10:$AY$122,CE$9,FALSE)-AL100)</f>
        <v>-</v>
      </c>
      <c r="CF100" s="306" t="str">
        <f>IF(AM100="-","-",VLOOKUP($A100,AMAPit!$A$10:$AY$122,CF$9,FALSE)-AM100)</f>
        <v>-</v>
      </c>
      <c r="CG100" s="306" t="str">
        <f>IF(AN100="-","-",VLOOKUP($A100,AMAPit!$A$10:$AY$122,CG$9,FALSE)-AN100)</f>
        <v>-</v>
      </c>
      <c r="CH100" s="306" t="str">
        <f>IF(AO100="-","-",VLOOKUP($A100,AMAPit!$A$10:$AY$122,CH$9,FALSE)-AO100)</f>
        <v>-</v>
      </c>
      <c r="CI100" s="306" t="str">
        <f>IF(AP100="-","-",VLOOKUP($A100,AMAPit!$A$10:$AY$122,CI$9,FALSE)-AP100)</f>
        <v>-</v>
      </c>
      <c r="CJ100" s="306" t="str">
        <f>IF(AQ100="-","-",VLOOKUP($A100,AMAPit!$A$10:$AY$122,CJ$9,FALSE)-AQ100)</f>
        <v>-</v>
      </c>
      <c r="CK100" s="306" t="str">
        <f>IF(AR100="-","-",VLOOKUP($A100,AMAPit!$A$10:$AY$122,CK$9,FALSE)-AR100)</f>
        <v>-</v>
      </c>
      <c r="CL100" s="306" t="str">
        <f>IF(AS100="-","-",VLOOKUP($A100,AMAPit!$A$10:$AY$122,CL$9,FALSE)-AS100)</f>
        <v>-</v>
      </c>
      <c r="CM100" s="306" t="str">
        <f>IF(AT100="-","-",VLOOKUP($A100,AMAPit!$A$10:$AY$122,CM$9,FALSE)-AT100)</f>
        <v>-</v>
      </c>
      <c r="CN100" s="305" t="e">
        <f t="shared" si="51"/>
        <v>#N/A</v>
      </c>
    </row>
    <row r="101" spans="1:92" x14ac:dyDescent="0.25">
      <c r="A101" s="305" t="s">
        <v>613</v>
      </c>
      <c r="B101" s="305" t="s">
        <v>534</v>
      </c>
      <c r="C101" s="305"/>
      <c r="D101" s="305" t="s">
        <v>81</v>
      </c>
      <c r="E101" t="s">
        <v>87</v>
      </c>
      <c r="F101" t="s">
        <v>1026</v>
      </c>
      <c r="G101" s="305" t="s">
        <v>1027</v>
      </c>
      <c r="H101" t="s">
        <v>763</v>
      </c>
      <c r="I101" t="s">
        <v>16</v>
      </c>
      <c r="J101" s="3">
        <v>18</v>
      </c>
      <c r="K101" t="s">
        <v>83</v>
      </c>
      <c r="L101" t="s">
        <v>83</v>
      </c>
      <c r="M101" t="s">
        <v>816</v>
      </c>
      <c r="N101" s="3" t="s">
        <v>816</v>
      </c>
      <c r="O101" t="s">
        <v>200</v>
      </c>
      <c r="P101" t="s">
        <v>200</v>
      </c>
      <c r="Q101" s="3">
        <v>2</v>
      </c>
      <c r="R101">
        <v>3</v>
      </c>
      <c r="S101">
        <v>1</v>
      </c>
      <c r="T101" s="3">
        <v>4</v>
      </c>
      <c r="U101">
        <v>5</v>
      </c>
      <c r="V101">
        <v>2</v>
      </c>
      <c r="W101">
        <v>4</v>
      </c>
      <c r="X101">
        <v>6</v>
      </c>
      <c r="Y101">
        <v>1</v>
      </c>
      <c r="Z101">
        <v>1</v>
      </c>
      <c r="AA101" t="s">
        <v>32</v>
      </c>
      <c r="AB101" t="s">
        <v>32</v>
      </c>
      <c r="AC101" t="s">
        <v>32</v>
      </c>
      <c r="AD101" t="s">
        <v>32</v>
      </c>
      <c r="AE101">
        <v>4</v>
      </c>
      <c r="AF101">
        <v>6</v>
      </c>
      <c r="AG101" t="s">
        <v>32</v>
      </c>
      <c r="AH101" t="s">
        <v>32</v>
      </c>
      <c r="AI101" t="s">
        <v>32</v>
      </c>
      <c r="AJ101" t="s">
        <v>32</v>
      </c>
      <c r="AK101" t="s">
        <v>32</v>
      </c>
      <c r="AL101" t="s">
        <v>32</v>
      </c>
      <c r="AM101" t="s">
        <v>32</v>
      </c>
      <c r="AN101" t="s">
        <v>32</v>
      </c>
      <c r="AO101" t="s">
        <v>32</v>
      </c>
      <c r="AP101" t="s">
        <v>32</v>
      </c>
      <c r="AQ101" t="s">
        <v>32</v>
      </c>
      <c r="AR101" s="3" t="s">
        <v>32</v>
      </c>
      <c r="AS101" t="s">
        <v>32</v>
      </c>
      <c r="AT101" t="s">
        <v>32</v>
      </c>
      <c r="AU101" s="3" t="s">
        <v>2</v>
      </c>
      <c r="AV101">
        <v>6</v>
      </c>
      <c r="AW101" s="3" t="s">
        <v>393</v>
      </c>
      <c r="AX101" t="s">
        <v>32</v>
      </c>
      <c r="AY101" s="5">
        <v>0</v>
      </c>
      <c r="AZ101" s="372" t="s">
        <v>199</v>
      </c>
      <c r="BA101" s="6">
        <f t="shared" si="42"/>
        <v>2.25</v>
      </c>
      <c r="BB101" s="9" t="str">
        <f t="shared" si="43"/>
        <v>Minors</v>
      </c>
      <c r="BC101" s="9">
        <f t="shared" si="44"/>
        <v>4.1666666666666661</v>
      </c>
      <c r="BD101" s="9" t="str">
        <f t="shared" si="45"/>
        <v>Bench</v>
      </c>
      <c r="BE101" s="9">
        <f t="shared" si="46"/>
        <v>4.1666666666666661</v>
      </c>
      <c r="BF101" s="9" t="str">
        <f t="shared" si="47"/>
        <v>Bench</v>
      </c>
      <c r="BG101" s="77">
        <f t="shared" si="48"/>
        <v>3</v>
      </c>
      <c r="BH101" s="76">
        <f t="shared" si="49"/>
        <v>1</v>
      </c>
      <c r="BI101" s="305" t="str">
        <f t="shared" si="50"/>
        <v/>
      </c>
      <c r="BJ101" s="306" t="e">
        <f>IF(Q101="-","-",VLOOKUP($A101,AMAPit!$A$10:$AY$122,BJ$9,FALSE)-Q101)</f>
        <v>#N/A</v>
      </c>
      <c r="BK101" s="306" t="e">
        <f>IF(R101="-","-",VLOOKUP($A101,AMAPit!$A$10:$AY$122,BK$9,FALSE)-R101)</f>
        <v>#N/A</v>
      </c>
      <c r="BL101" s="306" t="e">
        <f>IF(S101="-","-",VLOOKUP($A101,AMAPit!$A$10:$AY$122,BL$9,FALSE)-S101)</f>
        <v>#N/A</v>
      </c>
      <c r="BM101" s="306" t="e">
        <f>IF(T101="-","-",VLOOKUP($A101,AMAPit!$A$10:$AY$122,BM$9,FALSE)-T101)</f>
        <v>#N/A</v>
      </c>
      <c r="BN101" s="306" t="e">
        <f>IF(U101="-","-",VLOOKUP($A101,AMAPit!$A$10:$AY$122,BN$9,FALSE)-U101)</f>
        <v>#N/A</v>
      </c>
      <c r="BO101" s="306" t="e">
        <f>IF(V101="-","-",VLOOKUP($A101,AMAPit!$A$10:$AY$122,BO$9,FALSE)-V101)</f>
        <v>#N/A</v>
      </c>
      <c r="BP101" s="306" t="e">
        <f>IF(W101="-","-",VLOOKUP($A101,AMAPit!$A$10:$AY$122,BP$9,FALSE)-W101)</f>
        <v>#N/A</v>
      </c>
      <c r="BQ101" s="306" t="e">
        <f>IF(X101="-","-",VLOOKUP($A101,AMAPit!$A$10:$AY$122,BQ$9,FALSE)-X101)</f>
        <v>#N/A</v>
      </c>
      <c r="BR101" s="306" t="e">
        <f>IF(Y101="-","-",VLOOKUP($A101,AMAPit!$A$10:$AY$122,BR$9,FALSE)-Y101)</f>
        <v>#N/A</v>
      </c>
      <c r="BS101" s="306" t="e">
        <f>IF(Z101="-","-",VLOOKUP($A101,AMAPit!$A$10:$AY$122,BS$9,FALSE)-Z101)</f>
        <v>#N/A</v>
      </c>
      <c r="BT101" s="306" t="str">
        <f>IF(AA101="-","-",VLOOKUP($A101,AMAPit!$A$10:$AY$122,BT$9,FALSE)-AA101)</f>
        <v>-</v>
      </c>
      <c r="BU101" s="306" t="str">
        <f>IF(AB101="-","-",VLOOKUP($A101,AMAPit!$A$10:$AY$122,BU$9,FALSE)-AB101)</f>
        <v>-</v>
      </c>
      <c r="BV101" s="306" t="str">
        <f>IF(AC101="-","-",VLOOKUP($A101,AMAPit!$A$10:$AY$122,BV$9,FALSE)-AC101)</f>
        <v>-</v>
      </c>
      <c r="BW101" s="306" t="str">
        <f>IF(AD101="-","-",VLOOKUP($A101,AMAPit!$A$10:$AY$122,BW$9,FALSE)-AD101)</f>
        <v>-</v>
      </c>
      <c r="BX101" s="306" t="e">
        <f>IF(AE101="-","-",VLOOKUP($A101,AMAPit!$A$10:$AY$122,BX$9,FALSE)-AE101)</f>
        <v>#N/A</v>
      </c>
      <c r="BY101" s="306" t="e">
        <f>IF(AF101="-","-",VLOOKUP($A101,AMAPit!$A$10:$AY$122,BY$9,FALSE)-AF101)</f>
        <v>#N/A</v>
      </c>
      <c r="BZ101" s="306" t="str">
        <f>IF(AG101="-","-",VLOOKUP($A101,AMAPit!$A$10:$AY$122,BZ$9,FALSE)-AG101)</f>
        <v>-</v>
      </c>
      <c r="CA101" s="306" t="str">
        <f>IF(AH101="-","-",VLOOKUP($A101,AMAPit!$A$10:$AY$122,CA$9,FALSE)-AH101)</f>
        <v>-</v>
      </c>
      <c r="CB101" s="306" t="str">
        <f>IF(AI101="-","-",VLOOKUP($A101,AMAPit!$A$10:$AY$122,CB$9,FALSE)-AI101)</f>
        <v>-</v>
      </c>
      <c r="CC101" s="306" t="str">
        <f>IF(AJ101="-","-",VLOOKUP($A101,AMAPit!$A$10:$AY$122,CC$9,FALSE)-AJ101)</f>
        <v>-</v>
      </c>
      <c r="CD101" s="306" t="str">
        <f>IF(AK101="-","-",VLOOKUP($A101,AMAPit!$A$10:$AY$122,CD$9,FALSE)-AK101)</f>
        <v>-</v>
      </c>
      <c r="CE101" s="306" t="str">
        <f>IF(AL101="-","-",VLOOKUP($A101,AMAPit!$A$10:$AY$122,CE$9,FALSE)-AL101)</f>
        <v>-</v>
      </c>
      <c r="CF101" s="306" t="str">
        <f>IF(AM101="-","-",VLOOKUP($A101,AMAPit!$A$10:$AY$122,CF$9,FALSE)-AM101)</f>
        <v>-</v>
      </c>
      <c r="CG101" s="306" t="str">
        <f>IF(AN101="-","-",VLOOKUP($A101,AMAPit!$A$10:$AY$122,CG$9,FALSE)-AN101)</f>
        <v>-</v>
      </c>
      <c r="CH101" s="306" t="str">
        <f>IF(AO101="-","-",VLOOKUP($A101,AMAPit!$A$10:$AY$122,CH$9,FALSE)-AO101)</f>
        <v>-</v>
      </c>
      <c r="CI101" s="306" t="str">
        <f>IF(AP101="-","-",VLOOKUP($A101,AMAPit!$A$10:$AY$122,CI$9,FALSE)-AP101)</f>
        <v>-</v>
      </c>
      <c r="CJ101" s="306" t="str">
        <f>IF(AQ101="-","-",VLOOKUP($A101,AMAPit!$A$10:$AY$122,CJ$9,FALSE)-AQ101)</f>
        <v>-</v>
      </c>
      <c r="CK101" s="306" t="str">
        <f>IF(AR101="-","-",VLOOKUP($A101,AMAPit!$A$10:$AY$122,CK$9,FALSE)-AR101)</f>
        <v>-</v>
      </c>
      <c r="CL101" s="306" t="str">
        <f>IF(AS101="-","-",VLOOKUP($A101,AMAPit!$A$10:$AY$122,CL$9,FALSE)-AS101)</f>
        <v>-</v>
      </c>
      <c r="CM101" s="306" t="str">
        <f>IF(AT101="-","-",VLOOKUP($A101,AMAPit!$A$10:$AY$122,CM$9,FALSE)-AT101)</f>
        <v>-</v>
      </c>
      <c r="CN101" s="305" t="e">
        <f t="shared" si="51"/>
        <v>#N/A</v>
      </c>
    </row>
    <row r="102" spans="1:92" x14ac:dyDescent="0.25">
      <c r="A102" s="305" t="s">
        <v>614</v>
      </c>
      <c r="B102" s="305" t="s">
        <v>534</v>
      </c>
      <c r="C102" s="305"/>
      <c r="D102" s="305" t="s">
        <v>72</v>
      </c>
      <c r="E102" t="s">
        <v>87</v>
      </c>
      <c r="F102" t="s">
        <v>951</v>
      </c>
      <c r="G102" s="305" t="s">
        <v>952</v>
      </c>
      <c r="H102" t="s">
        <v>763</v>
      </c>
      <c r="I102" t="s">
        <v>16</v>
      </c>
      <c r="J102" s="3">
        <v>19</v>
      </c>
      <c r="K102" t="s">
        <v>83</v>
      </c>
      <c r="L102" t="s">
        <v>83</v>
      </c>
      <c r="M102" t="s">
        <v>816</v>
      </c>
      <c r="N102" s="3" t="s">
        <v>816</v>
      </c>
      <c r="O102" t="s">
        <v>200</v>
      </c>
      <c r="P102" t="s">
        <v>200</v>
      </c>
      <c r="Q102" s="3">
        <v>2</v>
      </c>
      <c r="R102">
        <v>3</v>
      </c>
      <c r="S102">
        <v>1</v>
      </c>
      <c r="T102" s="3">
        <v>2</v>
      </c>
      <c r="U102">
        <v>4</v>
      </c>
      <c r="V102">
        <v>1</v>
      </c>
      <c r="W102">
        <v>4</v>
      </c>
      <c r="X102">
        <v>4</v>
      </c>
      <c r="Y102">
        <v>1</v>
      </c>
      <c r="Z102">
        <v>1</v>
      </c>
      <c r="AA102" t="s">
        <v>32</v>
      </c>
      <c r="AB102" t="s">
        <v>32</v>
      </c>
      <c r="AC102" t="s">
        <v>32</v>
      </c>
      <c r="AD102" t="s">
        <v>32</v>
      </c>
      <c r="AE102">
        <v>4</v>
      </c>
      <c r="AF102">
        <v>4</v>
      </c>
      <c r="AG102" t="s">
        <v>32</v>
      </c>
      <c r="AH102" t="s">
        <v>32</v>
      </c>
      <c r="AI102" t="s">
        <v>32</v>
      </c>
      <c r="AJ102" t="s">
        <v>32</v>
      </c>
      <c r="AK102" t="s">
        <v>32</v>
      </c>
      <c r="AL102" t="s">
        <v>32</v>
      </c>
      <c r="AM102" t="s">
        <v>32</v>
      </c>
      <c r="AN102" t="s">
        <v>32</v>
      </c>
      <c r="AO102" t="s">
        <v>32</v>
      </c>
      <c r="AP102" t="s">
        <v>32</v>
      </c>
      <c r="AQ102" t="s">
        <v>32</v>
      </c>
      <c r="AR102" s="3" t="s">
        <v>32</v>
      </c>
      <c r="AS102" t="s">
        <v>32</v>
      </c>
      <c r="AT102" t="s">
        <v>32</v>
      </c>
      <c r="AU102" s="3" t="s">
        <v>397</v>
      </c>
      <c r="AV102">
        <v>10</v>
      </c>
      <c r="AW102" s="3" t="s">
        <v>393</v>
      </c>
      <c r="AX102" t="s">
        <v>32</v>
      </c>
      <c r="AY102" s="5">
        <v>0</v>
      </c>
      <c r="AZ102" s="372" t="s">
        <v>529</v>
      </c>
      <c r="BA102" s="6">
        <f t="shared" si="42"/>
        <v>2.25</v>
      </c>
      <c r="BB102" s="9" t="str">
        <f t="shared" si="43"/>
        <v>Minors</v>
      </c>
      <c r="BC102" s="9">
        <f t="shared" si="44"/>
        <v>2.5833333333333335</v>
      </c>
      <c r="BD102" s="9" t="str">
        <f t="shared" si="45"/>
        <v>Minors</v>
      </c>
      <c r="BE102" s="9">
        <f t="shared" si="46"/>
        <v>2.5833333333333335</v>
      </c>
      <c r="BF102" s="9" t="str">
        <f t="shared" si="47"/>
        <v>Minors</v>
      </c>
      <c r="BG102" s="77">
        <f t="shared" si="48"/>
        <v>3</v>
      </c>
      <c r="BH102" s="76">
        <f t="shared" si="49"/>
        <v>0</v>
      </c>
      <c r="BI102" s="305" t="str">
        <f t="shared" si="50"/>
        <v/>
      </c>
      <c r="BJ102" s="306" t="e">
        <f>IF(Q102="-","-",VLOOKUP($A102,AMAPit!$A$10:$AY$122,BJ$9,FALSE)-Q102)</f>
        <v>#N/A</v>
      </c>
      <c r="BK102" s="306" t="e">
        <f>IF(R102="-","-",VLOOKUP($A102,AMAPit!$A$10:$AY$122,BK$9,FALSE)-R102)</f>
        <v>#N/A</v>
      </c>
      <c r="BL102" s="306" t="e">
        <f>IF(S102="-","-",VLOOKUP($A102,AMAPit!$A$10:$AY$122,BL$9,FALSE)-S102)</f>
        <v>#N/A</v>
      </c>
      <c r="BM102" s="306" t="e">
        <f>IF(T102="-","-",VLOOKUP($A102,AMAPit!$A$10:$AY$122,BM$9,FALSE)-T102)</f>
        <v>#N/A</v>
      </c>
      <c r="BN102" s="306" t="e">
        <f>IF(U102="-","-",VLOOKUP($A102,AMAPit!$A$10:$AY$122,BN$9,FALSE)-U102)</f>
        <v>#N/A</v>
      </c>
      <c r="BO102" s="306" t="e">
        <f>IF(V102="-","-",VLOOKUP($A102,AMAPit!$A$10:$AY$122,BO$9,FALSE)-V102)</f>
        <v>#N/A</v>
      </c>
      <c r="BP102" s="306" t="e">
        <f>IF(W102="-","-",VLOOKUP($A102,AMAPit!$A$10:$AY$122,BP$9,FALSE)-W102)</f>
        <v>#N/A</v>
      </c>
      <c r="BQ102" s="306" t="e">
        <f>IF(X102="-","-",VLOOKUP($A102,AMAPit!$A$10:$AY$122,BQ$9,FALSE)-X102)</f>
        <v>#N/A</v>
      </c>
      <c r="BR102" s="306" t="e">
        <f>IF(Y102="-","-",VLOOKUP($A102,AMAPit!$A$10:$AY$122,BR$9,FALSE)-Y102)</f>
        <v>#N/A</v>
      </c>
      <c r="BS102" s="306" t="e">
        <f>IF(Z102="-","-",VLOOKUP($A102,AMAPit!$A$10:$AY$122,BS$9,FALSE)-Z102)</f>
        <v>#N/A</v>
      </c>
      <c r="BT102" s="306" t="str">
        <f>IF(AA102="-","-",VLOOKUP($A102,AMAPit!$A$10:$AY$122,BT$9,FALSE)-AA102)</f>
        <v>-</v>
      </c>
      <c r="BU102" s="306" t="str">
        <f>IF(AB102="-","-",VLOOKUP($A102,AMAPit!$A$10:$AY$122,BU$9,FALSE)-AB102)</f>
        <v>-</v>
      </c>
      <c r="BV102" s="306" t="str">
        <f>IF(AC102="-","-",VLOOKUP($A102,AMAPit!$A$10:$AY$122,BV$9,FALSE)-AC102)</f>
        <v>-</v>
      </c>
      <c r="BW102" s="306" t="str">
        <f>IF(AD102="-","-",VLOOKUP($A102,AMAPit!$A$10:$AY$122,BW$9,FALSE)-AD102)</f>
        <v>-</v>
      </c>
      <c r="BX102" s="306" t="e">
        <f>IF(AE102="-","-",VLOOKUP($A102,AMAPit!$A$10:$AY$122,BX$9,FALSE)-AE102)</f>
        <v>#N/A</v>
      </c>
      <c r="BY102" s="306" t="e">
        <f>IF(AF102="-","-",VLOOKUP($A102,AMAPit!$A$10:$AY$122,BY$9,FALSE)-AF102)</f>
        <v>#N/A</v>
      </c>
      <c r="BZ102" s="306" t="str">
        <f>IF(AG102="-","-",VLOOKUP($A102,AMAPit!$A$10:$AY$122,BZ$9,FALSE)-AG102)</f>
        <v>-</v>
      </c>
      <c r="CA102" s="306" t="str">
        <f>IF(AH102="-","-",VLOOKUP($A102,AMAPit!$A$10:$AY$122,CA$9,FALSE)-AH102)</f>
        <v>-</v>
      </c>
      <c r="CB102" s="306" t="str">
        <f>IF(AI102="-","-",VLOOKUP($A102,AMAPit!$A$10:$AY$122,CB$9,FALSE)-AI102)</f>
        <v>-</v>
      </c>
      <c r="CC102" s="306" t="str">
        <f>IF(AJ102="-","-",VLOOKUP($A102,AMAPit!$A$10:$AY$122,CC$9,FALSE)-AJ102)</f>
        <v>-</v>
      </c>
      <c r="CD102" s="306" t="str">
        <f>IF(AK102="-","-",VLOOKUP($A102,AMAPit!$A$10:$AY$122,CD$9,FALSE)-AK102)</f>
        <v>-</v>
      </c>
      <c r="CE102" s="306" t="str">
        <f>IF(AL102="-","-",VLOOKUP($A102,AMAPit!$A$10:$AY$122,CE$9,FALSE)-AL102)</f>
        <v>-</v>
      </c>
      <c r="CF102" s="306" t="str">
        <f>IF(AM102="-","-",VLOOKUP($A102,AMAPit!$A$10:$AY$122,CF$9,FALSE)-AM102)</f>
        <v>-</v>
      </c>
      <c r="CG102" s="306" t="str">
        <f>IF(AN102="-","-",VLOOKUP($A102,AMAPit!$A$10:$AY$122,CG$9,FALSE)-AN102)</f>
        <v>-</v>
      </c>
      <c r="CH102" s="306" t="str">
        <f>IF(AO102="-","-",VLOOKUP($A102,AMAPit!$A$10:$AY$122,CH$9,FALSE)-AO102)</f>
        <v>-</v>
      </c>
      <c r="CI102" s="306" t="str">
        <f>IF(AP102="-","-",VLOOKUP($A102,AMAPit!$A$10:$AY$122,CI$9,FALSE)-AP102)</f>
        <v>-</v>
      </c>
      <c r="CJ102" s="306" t="str">
        <f>IF(AQ102="-","-",VLOOKUP($A102,AMAPit!$A$10:$AY$122,CJ$9,FALSE)-AQ102)</f>
        <v>-</v>
      </c>
      <c r="CK102" s="306" t="str">
        <f>IF(AR102="-","-",VLOOKUP($A102,AMAPit!$A$10:$AY$122,CK$9,FALSE)-AR102)</f>
        <v>-</v>
      </c>
      <c r="CL102" s="306" t="str">
        <f>IF(AS102="-","-",VLOOKUP($A102,AMAPit!$A$10:$AY$122,CL$9,FALSE)-AS102)</f>
        <v>-</v>
      </c>
      <c r="CM102" s="306" t="str">
        <f>IF(AT102="-","-",VLOOKUP($A102,AMAPit!$A$10:$AY$122,CM$9,FALSE)-AT102)</f>
        <v>-</v>
      </c>
      <c r="CN102" s="305" t="e">
        <f t="shared" si="51"/>
        <v>#N/A</v>
      </c>
    </row>
    <row r="103" spans="1:92" x14ac:dyDescent="0.25">
      <c r="A103" s="305" t="s">
        <v>615</v>
      </c>
      <c r="B103" s="305" t="s">
        <v>534</v>
      </c>
      <c r="C103" s="305"/>
      <c r="D103" s="305" t="s">
        <v>81</v>
      </c>
      <c r="E103" t="s">
        <v>87</v>
      </c>
      <c r="F103" t="s">
        <v>981</v>
      </c>
      <c r="G103" s="305" t="s">
        <v>426</v>
      </c>
      <c r="H103" t="s">
        <v>763</v>
      </c>
      <c r="I103" t="s">
        <v>16</v>
      </c>
      <c r="J103" s="3">
        <v>18</v>
      </c>
      <c r="K103" t="s">
        <v>82</v>
      </c>
      <c r="L103" t="s">
        <v>82</v>
      </c>
      <c r="M103" t="s">
        <v>816</v>
      </c>
      <c r="N103" s="3" t="s">
        <v>816</v>
      </c>
      <c r="O103" t="s">
        <v>199</v>
      </c>
      <c r="P103" t="s">
        <v>200</v>
      </c>
      <c r="Q103" s="3">
        <v>2</v>
      </c>
      <c r="R103">
        <v>2</v>
      </c>
      <c r="S103">
        <v>1</v>
      </c>
      <c r="T103" s="3">
        <v>5</v>
      </c>
      <c r="U103">
        <v>2</v>
      </c>
      <c r="V103">
        <v>3</v>
      </c>
      <c r="W103" t="s">
        <v>32</v>
      </c>
      <c r="X103" t="s">
        <v>32</v>
      </c>
      <c r="Y103">
        <v>1</v>
      </c>
      <c r="Z103">
        <v>2</v>
      </c>
      <c r="AA103" t="s">
        <v>32</v>
      </c>
      <c r="AB103" t="s">
        <v>32</v>
      </c>
      <c r="AC103">
        <v>3</v>
      </c>
      <c r="AD103">
        <v>5</v>
      </c>
      <c r="AE103" t="s">
        <v>32</v>
      </c>
      <c r="AF103" t="s">
        <v>32</v>
      </c>
      <c r="AG103">
        <v>4</v>
      </c>
      <c r="AH103">
        <v>6</v>
      </c>
      <c r="AI103">
        <v>4</v>
      </c>
      <c r="AJ103">
        <v>7</v>
      </c>
      <c r="AK103" t="s">
        <v>32</v>
      </c>
      <c r="AL103" t="s">
        <v>32</v>
      </c>
      <c r="AM103" t="s">
        <v>32</v>
      </c>
      <c r="AN103" t="s">
        <v>32</v>
      </c>
      <c r="AO103" t="s">
        <v>32</v>
      </c>
      <c r="AP103" t="s">
        <v>32</v>
      </c>
      <c r="AQ103" t="s">
        <v>32</v>
      </c>
      <c r="AR103" s="3" t="s">
        <v>32</v>
      </c>
      <c r="AS103" t="s">
        <v>32</v>
      </c>
      <c r="AT103" t="s">
        <v>32</v>
      </c>
      <c r="AU103" s="3" t="s">
        <v>6</v>
      </c>
      <c r="AV103">
        <v>8</v>
      </c>
      <c r="AW103" s="3" t="s">
        <v>393</v>
      </c>
      <c r="AX103" t="s">
        <v>32</v>
      </c>
      <c r="AY103" s="5" t="s">
        <v>33</v>
      </c>
      <c r="AZ103" s="372" t="s">
        <v>199</v>
      </c>
      <c r="BA103" s="6">
        <f t="shared" si="42"/>
        <v>2.166666666666667</v>
      </c>
      <c r="BB103" s="9" t="str">
        <f t="shared" si="43"/>
        <v>Minors</v>
      </c>
      <c r="BC103" s="9">
        <f t="shared" si="44"/>
        <v>4.0833333333333339</v>
      </c>
      <c r="BD103" s="9" t="str">
        <f t="shared" si="45"/>
        <v>Bench</v>
      </c>
      <c r="BE103" s="9">
        <f t="shared" si="46"/>
        <v>4.0833333333333339</v>
      </c>
      <c r="BF103" s="9" t="str">
        <f t="shared" si="47"/>
        <v>Bench</v>
      </c>
      <c r="BG103" s="77">
        <f t="shared" si="48"/>
        <v>4</v>
      </c>
      <c r="BH103" s="76">
        <f t="shared" si="49"/>
        <v>1</v>
      </c>
      <c r="BI103" s="305" t="str">
        <f t="shared" si="50"/>
        <v/>
      </c>
      <c r="BJ103" s="306" t="e">
        <f>IF(Q103="-","-",VLOOKUP($A103,AMAPit!$A$10:$AY$122,BJ$9,FALSE)-Q103)</f>
        <v>#N/A</v>
      </c>
      <c r="BK103" s="306" t="e">
        <f>IF(R103="-","-",VLOOKUP($A103,AMAPit!$A$10:$AY$122,BK$9,FALSE)-R103)</f>
        <v>#N/A</v>
      </c>
      <c r="BL103" s="306" t="e">
        <f>IF(S103="-","-",VLOOKUP($A103,AMAPit!$A$10:$AY$122,BL$9,FALSE)-S103)</f>
        <v>#N/A</v>
      </c>
      <c r="BM103" s="306" t="e">
        <f>IF(T103="-","-",VLOOKUP($A103,AMAPit!$A$10:$AY$122,BM$9,FALSE)-T103)</f>
        <v>#N/A</v>
      </c>
      <c r="BN103" s="306" t="e">
        <f>IF(U103="-","-",VLOOKUP($A103,AMAPit!$A$10:$AY$122,BN$9,FALSE)-U103)</f>
        <v>#N/A</v>
      </c>
      <c r="BO103" s="306" t="e">
        <f>IF(V103="-","-",VLOOKUP($A103,AMAPit!$A$10:$AY$122,BO$9,FALSE)-V103)</f>
        <v>#N/A</v>
      </c>
      <c r="BP103" s="306" t="str">
        <f>IF(W103="-","-",VLOOKUP($A103,AMAPit!$A$10:$AY$122,BP$9,FALSE)-W103)</f>
        <v>-</v>
      </c>
      <c r="BQ103" s="306" t="str">
        <f>IF(X103="-","-",VLOOKUP($A103,AMAPit!$A$10:$AY$122,BQ$9,FALSE)-X103)</f>
        <v>-</v>
      </c>
      <c r="BR103" s="306" t="e">
        <f>IF(Y103="-","-",VLOOKUP($A103,AMAPit!$A$10:$AY$122,BR$9,FALSE)-Y103)</f>
        <v>#N/A</v>
      </c>
      <c r="BS103" s="306" t="e">
        <f>IF(Z103="-","-",VLOOKUP($A103,AMAPit!$A$10:$AY$122,BS$9,FALSE)-Z103)</f>
        <v>#N/A</v>
      </c>
      <c r="BT103" s="306" t="str">
        <f>IF(AA103="-","-",VLOOKUP($A103,AMAPit!$A$10:$AY$122,BT$9,FALSE)-AA103)</f>
        <v>-</v>
      </c>
      <c r="BU103" s="306" t="str">
        <f>IF(AB103="-","-",VLOOKUP($A103,AMAPit!$A$10:$AY$122,BU$9,FALSE)-AB103)</f>
        <v>-</v>
      </c>
      <c r="BV103" s="306" t="e">
        <f>IF(AC103="-","-",VLOOKUP($A103,AMAPit!$A$10:$AY$122,BV$9,FALSE)-AC103)</f>
        <v>#N/A</v>
      </c>
      <c r="BW103" s="306" t="e">
        <f>IF(AD103="-","-",VLOOKUP($A103,AMAPit!$A$10:$AY$122,BW$9,FALSE)-AD103)</f>
        <v>#N/A</v>
      </c>
      <c r="BX103" s="306" t="str">
        <f>IF(AE103="-","-",VLOOKUP($A103,AMAPit!$A$10:$AY$122,BX$9,FALSE)-AE103)</f>
        <v>-</v>
      </c>
      <c r="BY103" s="306" t="str">
        <f>IF(AF103="-","-",VLOOKUP($A103,AMAPit!$A$10:$AY$122,BY$9,FALSE)-AF103)</f>
        <v>-</v>
      </c>
      <c r="BZ103" s="306" t="e">
        <f>IF(AG103="-","-",VLOOKUP($A103,AMAPit!$A$10:$AY$122,BZ$9,FALSE)-AG103)</f>
        <v>#N/A</v>
      </c>
      <c r="CA103" s="306" t="e">
        <f>IF(AH103="-","-",VLOOKUP($A103,AMAPit!$A$10:$AY$122,CA$9,FALSE)-AH103)</f>
        <v>#N/A</v>
      </c>
      <c r="CB103" s="306" t="e">
        <f>IF(AI103="-","-",VLOOKUP($A103,AMAPit!$A$10:$AY$122,CB$9,FALSE)-AI103)</f>
        <v>#N/A</v>
      </c>
      <c r="CC103" s="306" t="e">
        <f>IF(AJ103="-","-",VLOOKUP($A103,AMAPit!$A$10:$AY$122,CC$9,FALSE)-AJ103)</f>
        <v>#N/A</v>
      </c>
      <c r="CD103" s="306" t="str">
        <f>IF(AK103="-","-",VLOOKUP($A103,AMAPit!$A$10:$AY$122,CD$9,FALSE)-AK103)</f>
        <v>-</v>
      </c>
      <c r="CE103" s="306" t="str">
        <f>IF(AL103="-","-",VLOOKUP($A103,AMAPit!$A$10:$AY$122,CE$9,FALSE)-AL103)</f>
        <v>-</v>
      </c>
      <c r="CF103" s="306" t="str">
        <f>IF(AM103="-","-",VLOOKUP($A103,AMAPit!$A$10:$AY$122,CF$9,FALSE)-AM103)</f>
        <v>-</v>
      </c>
      <c r="CG103" s="306" t="str">
        <f>IF(AN103="-","-",VLOOKUP($A103,AMAPit!$A$10:$AY$122,CG$9,FALSE)-AN103)</f>
        <v>-</v>
      </c>
      <c r="CH103" s="306" t="str">
        <f>IF(AO103="-","-",VLOOKUP($A103,AMAPit!$A$10:$AY$122,CH$9,FALSE)-AO103)</f>
        <v>-</v>
      </c>
      <c r="CI103" s="306" t="str">
        <f>IF(AP103="-","-",VLOOKUP($A103,AMAPit!$A$10:$AY$122,CI$9,FALSE)-AP103)</f>
        <v>-</v>
      </c>
      <c r="CJ103" s="306" t="str">
        <f>IF(AQ103="-","-",VLOOKUP($A103,AMAPit!$A$10:$AY$122,CJ$9,FALSE)-AQ103)</f>
        <v>-</v>
      </c>
      <c r="CK103" s="306" t="str">
        <f>IF(AR103="-","-",VLOOKUP($A103,AMAPit!$A$10:$AY$122,CK$9,FALSE)-AR103)</f>
        <v>-</v>
      </c>
      <c r="CL103" s="306" t="str">
        <f>IF(AS103="-","-",VLOOKUP($A103,AMAPit!$A$10:$AY$122,CL$9,FALSE)-AS103)</f>
        <v>-</v>
      </c>
      <c r="CM103" s="306" t="str">
        <f>IF(AT103="-","-",VLOOKUP($A103,AMAPit!$A$10:$AY$122,CM$9,FALSE)-AT103)</f>
        <v>-</v>
      </c>
      <c r="CN103" s="305" t="e">
        <f t="shared" si="51"/>
        <v>#N/A</v>
      </c>
    </row>
    <row r="104" spans="1:92" x14ac:dyDescent="0.25">
      <c r="A104" s="305" t="s">
        <v>616</v>
      </c>
      <c r="B104" s="305" t="s">
        <v>534</v>
      </c>
      <c r="C104" s="305"/>
      <c r="D104" s="305" t="s">
        <v>81</v>
      </c>
      <c r="E104" t="s">
        <v>11</v>
      </c>
      <c r="F104" t="s">
        <v>718</v>
      </c>
      <c r="G104" s="305" t="s">
        <v>1147</v>
      </c>
      <c r="H104" t="s">
        <v>810</v>
      </c>
      <c r="I104" t="s">
        <v>83</v>
      </c>
      <c r="J104" s="3">
        <v>19</v>
      </c>
      <c r="K104" t="s">
        <v>83</v>
      </c>
      <c r="L104" t="s">
        <v>83</v>
      </c>
      <c r="M104" t="s">
        <v>816</v>
      </c>
      <c r="N104" s="3" t="s">
        <v>816</v>
      </c>
      <c r="O104" t="s">
        <v>200</v>
      </c>
      <c r="P104" t="s">
        <v>199</v>
      </c>
      <c r="Q104" s="3">
        <v>2</v>
      </c>
      <c r="R104">
        <v>2</v>
      </c>
      <c r="S104">
        <v>1</v>
      </c>
      <c r="T104" s="3">
        <v>4</v>
      </c>
      <c r="U104">
        <v>2</v>
      </c>
      <c r="V104">
        <v>3</v>
      </c>
      <c r="W104">
        <v>3</v>
      </c>
      <c r="X104">
        <v>4</v>
      </c>
      <c r="Y104">
        <v>2</v>
      </c>
      <c r="Z104">
        <v>5</v>
      </c>
      <c r="AA104">
        <v>3</v>
      </c>
      <c r="AB104">
        <v>4</v>
      </c>
      <c r="AC104" t="s">
        <v>32</v>
      </c>
      <c r="AD104" t="s">
        <v>32</v>
      </c>
      <c r="AE104" t="s">
        <v>32</v>
      </c>
      <c r="AF104" t="s">
        <v>32</v>
      </c>
      <c r="AG104" t="s">
        <v>32</v>
      </c>
      <c r="AH104" t="s">
        <v>32</v>
      </c>
      <c r="AI104" t="s">
        <v>32</v>
      </c>
      <c r="AJ104" t="s">
        <v>32</v>
      </c>
      <c r="AK104">
        <v>2</v>
      </c>
      <c r="AL104">
        <v>3</v>
      </c>
      <c r="AM104" t="s">
        <v>32</v>
      </c>
      <c r="AN104" t="s">
        <v>32</v>
      </c>
      <c r="AO104" t="s">
        <v>32</v>
      </c>
      <c r="AP104" t="s">
        <v>32</v>
      </c>
      <c r="AQ104" t="s">
        <v>32</v>
      </c>
      <c r="AR104" s="3" t="s">
        <v>32</v>
      </c>
      <c r="AS104" t="s">
        <v>32</v>
      </c>
      <c r="AT104" t="s">
        <v>32</v>
      </c>
      <c r="AU104" s="3" t="s">
        <v>713</v>
      </c>
      <c r="AV104">
        <v>10</v>
      </c>
      <c r="AW104" s="3" t="s">
        <v>393</v>
      </c>
      <c r="AX104" t="s">
        <v>32</v>
      </c>
      <c r="AY104" s="5" t="s">
        <v>33</v>
      </c>
      <c r="AZ104" s="372" t="s">
        <v>199</v>
      </c>
      <c r="BA104" s="6">
        <f t="shared" si="42"/>
        <v>2.166666666666667</v>
      </c>
      <c r="BB104" s="9" t="str">
        <f t="shared" si="43"/>
        <v>Minors</v>
      </c>
      <c r="BC104" s="9">
        <f t="shared" si="44"/>
        <v>3.5</v>
      </c>
      <c r="BD104" s="9" t="str">
        <f t="shared" si="45"/>
        <v>Minors</v>
      </c>
      <c r="BE104" s="9">
        <f t="shared" si="46"/>
        <v>3.5</v>
      </c>
      <c r="BF104" s="9" t="str">
        <f t="shared" si="47"/>
        <v>Minors</v>
      </c>
      <c r="BG104" s="77">
        <f t="shared" si="48"/>
        <v>4</v>
      </c>
      <c r="BH104" s="76">
        <f t="shared" si="49"/>
        <v>0</v>
      </c>
      <c r="BI104" s="305" t="str">
        <f t="shared" si="50"/>
        <v/>
      </c>
      <c r="BJ104" s="306" t="e">
        <f>IF(Q104="-","-",VLOOKUP($A104,AMAPit!$A$10:$AY$122,BJ$9,FALSE)-Q104)</f>
        <v>#N/A</v>
      </c>
      <c r="BK104" s="306" t="e">
        <f>IF(R104="-","-",VLOOKUP($A104,AMAPit!$A$10:$AY$122,BK$9,FALSE)-R104)</f>
        <v>#N/A</v>
      </c>
      <c r="BL104" s="306" t="e">
        <f>IF(S104="-","-",VLOOKUP($A104,AMAPit!$A$10:$AY$122,BL$9,FALSE)-S104)</f>
        <v>#N/A</v>
      </c>
      <c r="BM104" s="306" t="e">
        <f>IF(T104="-","-",VLOOKUP($A104,AMAPit!$A$10:$AY$122,BM$9,FALSE)-T104)</f>
        <v>#N/A</v>
      </c>
      <c r="BN104" s="306" t="e">
        <f>IF(U104="-","-",VLOOKUP($A104,AMAPit!$A$10:$AY$122,BN$9,FALSE)-U104)</f>
        <v>#N/A</v>
      </c>
      <c r="BO104" s="306" t="e">
        <f>IF(V104="-","-",VLOOKUP($A104,AMAPit!$A$10:$AY$122,BO$9,FALSE)-V104)</f>
        <v>#N/A</v>
      </c>
      <c r="BP104" s="306" t="e">
        <f>IF(W104="-","-",VLOOKUP($A104,AMAPit!$A$10:$AY$122,BP$9,FALSE)-W104)</f>
        <v>#N/A</v>
      </c>
      <c r="BQ104" s="306" t="e">
        <f>IF(X104="-","-",VLOOKUP($A104,AMAPit!$A$10:$AY$122,BQ$9,FALSE)-X104)</f>
        <v>#N/A</v>
      </c>
      <c r="BR104" s="306" t="e">
        <f>IF(Y104="-","-",VLOOKUP($A104,AMAPit!$A$10:$AY$122,BR$9,FALSE)-Y104)</f>
        <v>#N/A</v>
      </c>
      <c r="BS104" s="306" t="e">
        <f>IF(Z104="-","-",VLOOKUP($A104,AMAPit!$A$10:$AY$122,BS$9,FALSE)-Z104)</f>
        <v>#N/A</v>
      </c>
      <c r="BT104" s="306" t="e">
        <f>IF(AA104="-","-",VLOOKUP($A104,AMAPit!$A$10:$AY$122,BT$9,FALSE)-AA104)</f>
        <v>#N/A</v>
      </c>
      <c r="BU104" s="306" t="e">
        <f>IF(AB104="-","-",VLOOKUP($A104,AMAPit!$A$10:$AY$122,BU$9,FALSE)-AB104)</f>
        <v>#N/A</v>
      </c>
      <c r="BV104" s="306" t="str">
        <f>IF(AC104="-","-",VLOOKUP($A104,AMAPit!$A$10:$AY$122,BV$9,FALSE)-AC104)</f>
        <v>-</v>
      </c>
      <c r="BW104" s="306" t="str">
        <f>IF(AD104="-","-",VLOOKUP($A104,AMAPit!$A$10:$AY$122,BW$9,FALSE)-AD104)</f>
        <v>-</v>
      </c>
      <c r="BX104" s="306" t="str">
        <f>IF(AE104="-","-",VLOOKUP($A104,AMAPit!$A$10:$AY$122,BX$9,FALSE)-AE104)</f>
        <v>-</v>
      </c>
      <c r="BY104" s="306" t="str">
        <f>IF(AF104="-","-",VLOOKUP($A104,AMAPit!$A$10:$AY$122,BY$9,FALSE)-AF104)</f>
        <v>-</v>
      </c>
      <c r="BZ104" s="306" t="str">
        <f>IF(AG104="-","-",VLOOKUP($A104,AMAPit!$A$10:$AY$122,BZ$9,FALSE)-AG104)</f>
        <v>-</v>
      </c>
      <c r="CA104" s="306" t="str">
        <f>IF(AH104="-","-",VLOOKUP($A104,AMAPit!$A$10:$AY$122,CA$9,FALSE)-AH104)</f>
        <v>-</v>
      </c>
      <c r="CB104" s="306" t="str">
        <f>IF(AI104="-","-",VLOOKUP($A104,AMAPit!$A$10:$AY$122,CB$9,FALSE)-AI104)</f>
        <v>-</v>
      </c>
      <c r="CC104" s="306" t="str">
        <f>IF(AJ104="-","-",VLOOKUP($A104,AMAPit!$A$10:$AY$122,CC$9,FALSE)-AJ104)</f>
        <v>-</v>
      </c>
      <c r="CD104" s="306" t="e">
        <f>IF(AK104="-","-",VLOOKUP($A104,AMAPit!$A$10:$AY$122,CD$9,FALSE)-AK104)</f>
        <v>#N/A</v>
      </c>
      <c r="CE104" s="306" t="e">
        <f>IF(AL104="-","-",VLOOKUP($A104,AMAPit!$A$10:$AY$122,CE$9,FALSE)-AL104)</f>
        <v>#N/A</v>
      </c>
      <c r="CF104" s="306" t="str">
        <f>IF(AM104="-","-",VLOOKUP($A104,AMAPit!$A$10:$AY$122,CF$9,FALSE)-AM104)</f>
        <v>-</v>
      </c>
      <c r="CG104" s="306" t="str">
        <f>IF(AN104="-","-",VLOOKUP($A104,AMAPit!$A$10:$AY$122,CG$9,FALSE)-AN104)</f>
        <v>-</v>
      </c>
      <c r="CH104" s="306" t="str">
        <f>IF(AO104="-","-",VLOOKUP($A104,AMAPit!$A$10:$AY$122,CH$9,FALSE)-AO104)</f>
        <v>-</v>
      </c>
      <c r="CI104" s="306" t="str">
        <f>IF(AP104="-","-",VLOOKUP($A104,AMAPit!$A$10:$AY$122,CI$9,FALSE)-AP104)</f>
        <v>-</v>
      </c>
      <c r="CJ104" s="306" t="str">
        <f>IF(AQ104="-","-",VLOOKUP($A104,AMAPit!$A$10:$AY$122,CJ$9,FALSE)-AQ104)</f>
        <v>-</v>
      </c>
      <c r="CK104" s="306" t="str">
        <f>IF(AR104="-","-",VLOOKUP($A104,AMAPit!$A$10:$AY$122,CK$9,FALSE)-AR104)</f>
        <v>-</v>
      </c>
      <c r="CL104" s="306" t="str">
        <f>IF(AS104="-","-",VLOOKUP($A104,AMAPit!$A$10:$AY$122,CL$9,FALSE)-AS104)</f>
        <v>-</v>
      </c>
      <c r="CM104" s="306" t="str">
        <f>IF(AT104="-","-",VLOOKUP($A104,AMAPit!$A$10:$AY$122,CM$9,FALSE)-AT104)</f>
        <v>-</v>
      </c>
      <c r="CN104" s="305" t="e">
        <f t="shared" si="51"/>
        <v>#N/A</v>
      </c>
    </row>
    <row r="105" spans="1:92" x14ac:dyDescent="0.25">
      <c r="A105" s="305" t="s">
        <v>537</v>
      </c>
      <c r="B105" s="305" t="s">
        <v>534</v>
      </c>
      <c r="C105" s="305"/>
      <c r="D105" s="305" t="s">
        <v>81</v>
      </c>
      <c r="E105" t="s">
        <v>87</v>
      </c>
      <c r="F105" t="s">
        <v>1020</v>
      </c>
      <c r="G105" s="305" t="s">
        <v>1021</v>
      </c>
      <c r="H105" t="s">
        <v>810</v>
      </c>
      <c r="I105" t="s">
        <v>83</v>
      </c>
      <c r="J105" s="3">
        <v>20</v>
      </c>
      <c r="K105" t="s">
        <v>83</v>
      </c>
      <c r="L105" t="s">
        <v>83</v>
      </c>
      <c r="M105" t="s">
        <v>816</v>
      </c>
      <c r="N105" s="3" t="s">
        <v>816</v>
      </c>
      <c r="O105" t="s">
        <v>201</v>
      </c>
      <c r="P105" t="s">
        <v>200</v>
      </c>
      <c r="Q105" s="3">
        <v>3</v>
      </c>
      <c r="R105">
        <v>1</v>
      </c>
      <c r="S105">
        <v>1</v>
      </c>
      <c r="T105" s="3">
        <v>3</v>
      </c>
      <c r="U105">
        <v>1</v>
      </c>
      <c r="V105">
        <v>1</v>
      </c>
      <c r="W105">
        <v>5</v>
      </c>
      <c r="X105">
        <v>5</v>
      </c>
      <c r="Y105">
        <v>1</v>
      </c>
      <c r="Z105">
        <v>1</v>
      </c>
      <c r="AA105">
        <v>3</v>
      </c>
      <c r="AB105">
        <v>3</v>
      </c>
      <c r="AC105">
        <v>4</v>
      </c>
      <c r="AD105">
        <v>4</v>
      </c>
      <c r="AE105" t="s">
        <v>32</v>
      </c>
      <c r="AF105" t="s">
        <v>32</v>
      </c>
      <c r="AG105" t="s">
        <v>32</v>
      </c>
      <c r="AH105" t="s">
        <v>32</v>
      </c>
      <c r="AI105" t="s">
        <v>32</v>
      </c>
      <c r="AJ105" t="s">
        <v>32</v>
      </c>
      <c r="AK105" t="s">
        <v>32</v>
      </c>
      <c r="AL105" t="s">
        <v>32</v>
      </c>
      <c r="AM105" t="s">
        <v>32</v>
      </c>
      <c r="AN105" t="s">
        <v>32</v>
      </c>
      <c r="AO105" t="s">
        <v>32</v>
      </c>
      <c r="AP105" t="s">
        <v>32</v>
      </c>
      <c r="AQ105" t="s">
        <v>32</v>
      </c>
      <c r="AR105" s="3" t="s">
        <v>32</v>
      </c>
      <c r="AS105" t="s">
        <v>32</v>
      </c>
      <c r="AT105" t="s">
        <v>32</v>
      </c>
      <c r="AU105" s="3" t="s">
        <v>6</v>
      </c>
      <c r="AV105">
        <v>8</v>
      </c>
      <c r="AW105" s="3" t="s">
        <v>40</v>
      </c>
      <c r="AX105" t="s">
        <v>32</v>
      </c>
      <c r="AY105" s="5">
        <v>0</v>
      </c>
      <c r="AZ105" s="372" t="s">
        <v>529</v>
      </c>
      <c r="BA105" s="6">
        <f t="shared" si="42"/>
        <v>2.166666666666667</v>
      </c>
      <c r="BB105" s="9" t="str">
        <f t="shared" si="43"/>
        <v>Minors</v>
      </c>
      <c r="BC105" s="9">
        <f t="shared" si="44"/>
        <v>2.166666666666667</v>
      </c>
      <c r="BD105" s="9" t="str">
        <f t="shared" si="45"/>
        <v>Minors</v>
      </c>
      <c r="BE105" s="9">
        <f t="shared" si="46"/>
        <v>2.166666666666667</v>
      </c>
      <c r="BF105" s="9" t="str">
        <f t="shared" si="47"/>
        <v>Minors</v>
      </c>
      <c r="BG105" s="77">
        <f t="shared" si="48"/>
        <v>4</v>
      </c>
      <c r="BH105" s="76">
        <f t="shared" si="49"/>
        <v>0</v>
      </c>
      <c r="BI105" s="305" t="str">
        <f t="shared" si="50"/>
        <v/>
      </c>
      <c r="BJ105" s="306" t="e">
        <f>IF(Q105="-","-",VLOOKUP($A105,AMAPit!$A$10:$AY$122,BJ$9,FALSE)-Q105)</f>
        <v>#N/A</v>
      </c>
      <c r="BK105" s="306" t="e">
        <f>IF(R105="-","-",VLOOKUP($A105,AMAPit!$A$10:$AY$122,BK$9,FALSE)-R105)</f>
        <v>#N/A</v>
      </c>
      <c r="BL105" s="306" t="e">
        <f>IF(S105="-","-",VLOOKUP($A105,AMAPit!$A$10:$AY$122,BL$9,FALSE)-S105)</f>
        <v>#N/A</v>
      </c>
      <c r="BM105" s="306" t="e">
        <f>IF(T105="-","-",VLOOKUP($A105,AMAPit!$A$10:$AY$122,BM$9,FALSE)-T105)</f>
        <v>#N/A</v>
      </c>
      <c r="BN105" s="306" t="e">
        <f>IF(U105="-","-",VLOOKUP($A105,AMAPit!$A$10:$AY$122,BN$9,FALSE)-U105)</f>
        <v>#N/A</v>
      </c>
      <c r="BO105" s="306" t="e">
        <f>IF(V105="-","-",VLOOKUP($A105,AMAPit!$A$10:$AY$122,BO$9,FALSE)-V105)</f>
        <v>#N/A</v>
      </c>
      <c r="BP105" s="306" t="e">
        <f>IF(W105="-","-",VLOOKUP($A105,AMAPit!$A$10:$AY$122,BP$9,FALSE)-W105)</f>
        <v>#N/A</v>
      </c>
      <c r="BQ105" s="306" t="e">
        <f>IF(X105="-","-",VLOOKUP($A105,AMAPit!$A$10:$AY$122,BQ$9,FALSE)-X105)</f>
        <v>#N/A</v>
      </c>
      <c r="BR105" s="306" t="e">
        <f>IF(Y105="-","-",VLOOKUP($A105,AMAPit!$A$10:$AY$122,BR$9,FALSE)-Y105)</f>
        <v>#N/A</v>
      </c>
      <c r="BS105" s="306" t="e">
        <f>IF(Z105="-","-",VLOOKUP($A105,AMAPit!$A$10:$AY$122,BS$9,FALSE)-Z105)</f>
        <v>#N/A</v>
      </c>
      <c r="BT105" s="306" t="e">
        <f>IF(AA105="-","-",VLOOKUP($A105,AMAPit!$A$10:$AY$122,BT$9,FALSE)-AA105)</f>
        <v>#N/A</v>
      </c>
      <c r="BU105" s="306" t="e">
        <f>IF(AB105="-","-",VLOOKUP($A105,AMAPit!$A$10:$AY$122,BU$9,FALSE)-AB105)</f>
        <v>#N/A</v>
      </c>
      <c r="BV105" s="306" t="e">
        <f>IF(AC105="-","-",VLOOKUP($A105,AMAPit!$A$10:$AY$122,BV$9,FALSE)-AC105)</f>
        <v>#N/A</v>
      </c>
      <c r="BW105" s="306" t="e">
        <f>IF(AD105="-","-",VLOOKUP($A105,AMAPit!$A$10:$AY$122,BW$9,FALSE)-AD105)</f>
        <v>#N/A</v>
      </c>
      <c r="BX105" s="306" t="str">
        <f>IF(AE105="-","-",VLOOKUP($A105,AMAPit!$A$10:$AY$122,BX$9,FALSE)-AE105)</f>
        <v>-</v>
      </c>
      <c r="BY105" s="306" t="str">
        <f>IF(AF105="-","-",VLOOKUP($A105,AMAPit!$A$10:$AY$122,BY$9,FALSE)-AF105)</f>
        <v>-</v>
      </c>
      <c r="BZ105" s="306" t="str">
        <f>IF(AG105="-","-",VLOOKUP($A105,AMAPit!$A$10:$AY$122,BZ$9,FALSE)-AG105)</f>
        <v>-</v>
      </c>
      <c r="CA105" s="306" t="str">
        <f>IF(AH105="-","-",VLOOKUP($A105,AMAPit!$A$10:$AY$122,CA$9,FALSE)-AH105)</f>
        <v>-</v>
      </c>
      <c r="CB105" s="306" t="str">
        <f>IF(AI105="-","-",VLOOKUP($A105,AMAPit!$A$10:$AY$122,CB$9,FALSE)-AI105)</f>
        <v>-</v>
      </c>
      <c r="CC105" s="306" t="str">
        <f>IF(AJ105="-","-",VLOOKUP($A105,AMAPit!$A$10:$AY$122,CC$9,FALSE)-AJ105)</f>
        <v>-</v>
      </c>
      <c r="CD105" s="306" t="str">
        <f>IF(AK105="-","-",VLOOKUP($A105,AMAPit!$A$10:$AY$122,CD$9,FALSE)-AK105)</f>
        <v>-</v>
      </c>
      <c r="CE105" s="306" t="str">
        <f>IF(AL105="-","-",VLOOKUP($A105,AMAPit!$A$10:$AY$122,CE$9,FALSE)-AL105)</f>
        <v>-</v>
      </c>
      <c r="CF105" s="306" t="str">
        <f>IF(AM105="-","-",VLOOKUP($A105,AMAPit!$A$10:$AY$122,CF$9,FALSE)-AM105)</f>
        <v>-</v>
      </c>
      <c r="CG105" s="306" t="str">
        <f>IF(AN105="-","-",VLOOKUP($A105,AMAPit!$A$10:$AY$122,CG$9,FALSE)-AN105)</f>
        <v>-</v>
      </c>
      <c r="CH105" s="306" t="str">
        <f>IF(AO105="-","-",VLOOKUP($A105,AMAPit!$A$10:$AY$122,CH$9,FALSE)-AO105)</f>
        <v>-</v>
      </c>
      <c r="CI105" s="306" t="str">
        <f>IF(AP105="-","-",VLOOKUP($A105,AMAPit!$A$10:$AY$122,CI$9,FALSE)-AP105)</f>
        <v>-</v>
      </c>
      <c r="CJ105" s="306" t="str">
        <f>IF(AQ105="-","-",VLOOKUP($A105,AMAPit!$A$10:$AY$122,CJ$9,FALSE)-AQ105)</f>
        <v>-</v>
      </c>
      <c r="CK105" s="306" t="str">
        <f>IF(AR105="-","-",VLOOKUP($A105,AMAPit!$A$10:$AY$122,CK$9,FALSE)-AR105)</f>
        <v>-</v>
      </c>
      <c r="CL105" s="306" t="str">
        <f>IF(AS105="-","-",VLOOKUP($A105,AMAPit!$A$10:$AY$122,CL$9,FALSE)-AS105)</f>
        <v>-</v>
      </c>
      <c r="CM105" s="306" t="str">
        <f>IF(AT105="-","-",VLOOKUP($A105,AMAPit!$A$10:$AY$122,CM$9,FALSE)-AT105)</f>
        <v>-</v>
      </c>
      <c r="CN105" s="305" t="e">
        <f t="shared" si="51"/>
        <v>#N/A</v>
      </c>
    </row>
    <row r="106" spans="1:92" x14ac:dyDescent="0.25">
      <c r="A106" s="305" t="s">
        <v>617</v>
      </c>
      <c r="B106" s="305" t="s">
        <v>534</v>
      </c>
      <c r="C106" s="305"/>
      <c r="D106" s="305" t="s">
        <v>81</v>
      </c>
      <c r="E106" t="s">
        <v>87</v>
      </c>
      <c r="F106" t="s">
        <v>988</v>
      </c>
      <c r="G106" s="305" t="s">
        <v>989</v>
      </c>
      <c r="H106" t="s">
        <v>763</v>
      </c>
      <c r="I106" t="s">
        <v>16</v>
      </c>
      <c r="J106" s="3">
        <v>19</v>
      </c>
      <c r="K106" t="s">
        <v>82</v>
      </c>
      <c r="L106" t="s">
        <v>83</v>
      </c>
      <c r="M106" t="s">
        <v>816</v>
      </c>
      <c r="N106" s="3" t="s">
        <v>808</v>
      </c>
      <c r="O106" t="s">
        <v>200</v>
      </c>
      <c r="P106" t="s">
        <v>200</v>
      </c>
      <c r="Q106" s="3">
        <v>2</v>
      </c>
      <c r="R106">
        <v>2</v>
      </c>
      <c r="S106">
        <v>1</v>
      </c>
      <c r="T106" s="3">
        <v>6</v>
      </c>
      <c r="U106">
        <v>3</v>
      </c>
      <c r="V106">
        <v>4</v>
      </c>
      <c r="W106">
        <v>5</v>
      </c>
      <c r="X106">
        <v>9</v>
      </c>
      <c r="Y106">
        <v>1</v>
      </c>
      <c r="Z106">
        <v>2</v>
      </c>
      <c r="AA106" t="s">
        <v>32</v>
      </c>
      <c r="AB106" t="s">
        <v>32</v>
      </c>
      <c r="AC106" t="s">
        <v>32</v>
      </c>
      <c r="AD106" t="s">
        <v>32</v>
      </c>
      <c r="AE106" t="s">
        <v>32</v>
      </c>
      <c r="AF106" t="s">
        <v>32</v>
      </c>
      <c r="AG106">
        <v>4</v>
      </c>
      <c r="AH106">
        <v>7</v>
      </c>
      <c r="AI106" t="s">
        <v>32</v>
      </c>
      <c r="AJ106" t="s">
        <v>32</v>
      </c>
      <c r="AK106" t="s">
        <v>32</v>
      </c>
      <c r="AL106" t="s">
        <v>32</v>
      </c>
      <c r="AM106" t="s">
        <v>32</v>
      </c>
      <c r="AN106" t="s">
        <v>32</v>
      </c>
      <c r="AO106" t="s">
        <v>32</v>
      </c>
      <c r="AP106" t="s">
        <v>32</v>
      </c>
      <c r="AQ106" t="s">
        <v>32</v>
      </c>
      <c r="AR106" s="3" t="s">
        <v>32</v>
      </c>
      <c r="AS106" t="s">
        <v>32</v>
      </c>
      <c r="AT106" t="s">
        <v>32</v>
      </c>
      <c r="AU106" s="3" t="s">
        <v>6</v>
      </c>
      <c r="AV106">
        <v>8</v>
      </c>
      <c r="AW106" s="3" t="s">
        <v>393</v>
      </c>
      <c r="AX106" t="s">
        <v>32</v>
      </c>
      <c r="AY106" s="5">
        <v>0</v>
      </c>
      <c r="AZ106" s="372" t="s">
        <v>199</v>
      </c>
      <c r="BA106" s="6">
        <f t="shared" si="42"/>
        <v>1.9166666666666667</v>
      </c>
      <c r="BB106" s="9" t="str">
        <f t="shared" si="43"/>
        <v>Minors</v>
      </c>
      <c r="BC106" s="9">
        <f t="shared" si="44"/>
        <v>4.833333333333333</v>
      </c>
      <c r="BD106" s="9" t="str">
        <f t="shared" si="45"/>
        <v>Bench</v>
      </c>
      <c r="BE106" s="9">
        <f t="shared" si="46"/>
        <v>4.833333333333333</v>
      </c>
      <c r="BF106" s="9" t="str">
        <f t="shared" si="47"/>
        <v>Bench</v>
      </c>
      <c r="BG106" s="77">
        <f t="shared" si="48"/>
        <v>3</v>
      </c>
      <c r="BH106" s="76">
        <f t="shared" si="49"/>
        <v>1</v>
      </c>
      <c r="BI106" s="305" t="str">
        <f t="shared" si="50"/>
        <v/>
      </c>
      <c r="BJ106" s="306" t="e">
        <f>IF(Q106="-","-",VLOOKUP($A106,AMAPit!$A$10:$AY$122,BJ$9,FALSE)-Q106)</f>
        <v>#N/A</v>
      </c>
      <c r="BK106" s="306" t="e">
        <f>IF(R106="-","-",VLOOKUP($A106,AMAPit!$A$10:$AY$122,BK$9,FALSE)-R106)</f>
        <v>#N/A</v>
      </c>
      <c r="BL106" s="306" t="e">
        <f>IF(S106="-","-",VLOOKUP($A106,AMAPit!$A$10:$AY$122,BL$9,FALSE)-S106)</f>
        <v>#N/A</v>
      </c>
      <c r="BM106" s="306" t="e">
        <f>IF(T106="-","-",VLOOKUP($A106,AMAPit!$A$10:$AY$122,BM$9,FALSE)-T106)</f>
        <v>#N/A</v>
      </c>
      <c r="BN106" s="306" t="e">
        <f>IF(U106="-","-",VLOOKUP($A106,AMAPit!$A$10:$AY$122,BN$9,FALSE)-U106)</f>
        <v>#N/A</v>
      </c>
      <c r="BO106" s="306" t="e">
        <f>IF(V106="-","-",VLOOKUP($A106,AMAPit!$A$10:$AY$122,BO$9,FALSE)-V106)</f>
        <v>#N/A</v>
      </c>
      <c r="BP106" s="306" t="e">
        <f>IF(W106="-","-",VLOOKUP($A106,AMAPit!$A$10:$AY$122,BP$9,FALSE)-W106)</f>
        <v>#N/A</v>
      </c>
      <c r="BQ106" s="306" t="e">
        <f>IF(X106="-","-",VLOOKUP($A106,AMAPit!$A$10:$AY$122,BQ$9,FALSE)-X106)</f>
        <v>#N/A</v>
      </c>
      <c r="BR106" s="306" t="e">
        <f>IF(Y106="-","-",VLOOKUP($A106,AMAPit!$A$10:$AY$122,BR$9,FALSE)-Y106)</f>
        <v>#N/A</v>
      </c>
      <c r="BS106" s="306" t="e">
        <f>IF(Z106="-","-",VLOOKUP($A106,AMAPit!$A$10:$AY$122,BS$9,FALSE)-Z106)</f>
        <v>#N/A</v>
      </c>
      <c r="BT106" s="306" t="str">
        <f>IF(AA106="-","-",VLOOKUP($A106,AMAPit!$A$10:$AY$122,BT$9,FALSE)-AA106)</f>
        <v>-</v>
      </c>
      <c r="BU106" s="306" t="str">
        <f>IF(AB106="-","-",VLOOKUP($A106,AMAPit!$A$10:$AY$122,BU$9,FALSE)-AB106)</f>
        <v>-</v>
      </c>
      <c r="BV106" s="306" t="str">
        <f>IF(AC106="-","-",VLOOKUP($A106,AMAPit!$A$10:$AY$122,BV$9,FALSE)-AC106)</f>
        <v>-</v>
      </c>
      <c r="BW106" s="306" t="str">
        <f>IF(AD106="-","-",VLOOKUP($A106,AMAPit!$A$10:$AY$122,BW$9,FALSE)-AD106)</f>
        <v>-</v>
      </c>
      <c r="BX106" s="306" t="str">
        <f>IF(AE106="-","-",VLOOKUP($A106,AMAPit!$A$10:$AY$122,BX$9,FALSE)-AE106)</f>
        <v>-</v>
      </c>
      <c r="BY106" s="306" t="str">
        <f>IF(AF106="-","-",VLOOKUP($A106,AMAPit!$A$10:$AY$122,BY$9,FALSE)-AF106)</f>
        <v>-</v>
      </c>
      <c r="BZ106" s="306" t="e">
        <f>IF(AG106="-","-",VLOOKUP($A106,AMAPit!$A$10:$AY$122,BZ$9,FALSE)-AG106)</f>
        <v>#N/A</v>
      </c>
      <c r="CA106" s="306" t="e">
        <f>IF(AH106="-","-",VLOOKUP($A106,AMAPit!$A$10:$AY$122,CA$9,FALSE)-AH106)</f>
        <v>#N/A</v>
      </c>
      <c r="CB106" s="306" t="str">
        <f>IF(AI106="-","-",VLOOKUP($A106,AMAPit!$A$10:$AY$122,CB$9,FALSE)-AI106)</f>
        <v>-</v>
      </c>
      <c r="CC106" s="306" t="str">
        <f>IF(AJ106="-","-",VLOOKUP($A106,AMAPit!$A$10:$AY$122,CC$9,FALSE)-AJ106)</f>
        <v>-</v>
      </c>
      <c r="CD106" s="306" t="str">
        <f>IF(AK106="-","-",VLOOKUP($A106,AMAPit!$A$10:$AY$122,CD$9,FALSE)-AK106)</f>
        <v>-</v>
      </c>
      <c r="CE106" s="306" t="str">
        <f>IF(AL106="-","-",VLOOKUP($A106,AMAPit!$A$10:$AY$122,CE$9,FALSE)-AL106)</f>
        <v>-</v>
      </c>
      <c r="CF106" s="306" t="str">
        <f>IF(AM106="-","-",VLOOKUP($A106,AMAPit!$A$10:$AY$122,CF$9,FALSE)-AM106)</f>
        <v>-</v>
      </c>
      <c r="CG106" s="306" t="str">
        <f>IF(AN106="-","-",VLOOKUP($A106,AMAPit!$A$10:$AY$122,CG$9,FALSE)-AN106)</f>
        <v>-</v>
      </c>
      <c r="CH106" s="306" t="str">
        <f>IF(AO106="-","-",VLOOKUP($A106,AMAPit!$A$10:$AY$122,CH$9,FALSE)-AO106)</f>
        <v>-</v>
      </c>
      <c r="CI106" s="306" t="str">
        <f>IF(AP106="-","-",VLOOKUP($A106,AMAPit!$A$10:$AY$122,CI$9,FALSE)-AP106)</f>
        <v>-</v>
      </c>
      <c r="CJ106" s="306" t="str">
        <f>IF(AQ106="-","-",VLOOKUP($A106,AMAPit!$A$10:$AY$122,CJ$9,FALSE)-AQ106)</f>
        <v>-</v>
      </c>
      <c r="CK106" s="306" t="str">
        <f>IF(AR106="-","-",VLOOKUP($A106,AMAPit!$A$10:$AY$122,CK$9,FALSE)-AR106)</f>
        <v>-</v>
      </c>
      <c r="CL106" s="306" t="str">
        <f>IF(AS106="-","-",VLOOKUP($A106,AMAPit!$A$10:$AY$122,CL$9,FALSE)-AS106)</f>
        <v>-</v>
      </c>
      <c r="CM106" s="306" t="str">
        <f>IF(AT106="-","-",VLOOKUP($A106,AMAPit!$A$10:$AY$122,CM$9,FALSE)-AT106)</f>
        <v>-</v>
      </c>
      <c r="CN106" s="305" t="e">
        <f t="shared" si="51"/>
        <v>#N/A</v>
      </c>
    </row>
    <row r="107" spans="1:92" x14ac:dyDescent="0.25">
      <c r="A107" s="305" t="s">
        <v>618</v>
      </c>
      <c r="B107" s="305" t="s">
        <v>534</v>
      </c>
      <c r="C107" s="305"/>
      <c r="D107" s="305" t="s">
        <v>81</v>
      </c>
      <c r="E107" t="s">
        <v>87</v>
      </c>
      <c r="F107" t="s">
        <v>497</v>
      </c>
      <c r="G107" s="305" t="s">
        <v>430</v>
      </c>
      <c r="H107" t="s">
        <v>763</v>
      </c>
      <c r="I107" t="s">
        <v>16</v>
      </c>
      <c r="J107" s="3">
        <v>18</v>
      </c>
      <c r="K107" t="s">
        <v>83</v>
      </c>
      <c r="L107" t="s">
        <v>83</v>
      </c>
      <c r="M107" t="s">
        <v>816</v>
      </c>
      <c r="N107" s="3" t="s">
        <v>808</v>
      </c>
      <c r="O107" t="s">
        <v>200</v>
      </c>
      <c r="P107" t="s">
        <v>200</v>
      </c>
      <c r="Q107" s="3">
        <v>2</v>
      </c>
      <c r="R107">
        <v>2</v>
      </c>
      <c r="S107">
        <v>1</v>
      </c>
      <c r="T107" s="3">
        <v>5</v>
      </c>
      <c r="U107">
        <v>4</v>
      </c>
      <c r="V107">
        <v>4</v>
      </c>
      <c r="W107">
        <v>5</v>
      </c>
      <c r="X107">
        <v>8</v>
      </c>
      <c r="Y107">
        <v>1</v>
      </c>
      <c r="Z107">
        <v>2</v>
      </c>
      <c r="AA107">
        <v>3</v>
      </c>
      <c r="AB107">
        <v>9</v>
      </c>
      <c r="AC107" t="s">
        <v>32</v>
      </c>
      <c r="AD107" t="s">
        <v>32</v>
      </c>
      <c r="AE107" t="s">
        <v>32</v>
      </c>
      <c r="AF107" t="s">
        <v>32</v>
      </c>
      <c r="AG107" t="s">
        <v>32</v>
      </c>
      <c r="AH107" t="s">
        <v>32</v>
      </c>
      <c r="AI107" t="s">
        <v>32</v>
      </c>
      <c r="AJ107" t="s">
        <v>32</v>
      </c>
      <c r="AK107" t="s">
        <v>32</v>
      </c>
      <c r="AL107" t="s">
        <v>32</v>
      </c>
      <c r="AM107" t="s">
        <v>32</v>
      </c>
      <c r="AN107" t="s">
        <v>32</v>
      </c>
      <c r="AO107" t="s">
        <v>32</v>
      </c>
      <c r="AP107" t="s">
        <v>32</v>
      </c>
      <c r="AQ107" t="s">
        <v>32</v>
      </c>
      <c r="AR107" s="3" t="s">
        <v>32</v>
      </c>
      <c r="AS107" t="s">
        <v>32</v>
      </c>
      <c r="AT107" t="s">
        <v>32</v>
      </c>
      <c r="AU107" s="3" t="s">
        <v>4</v>
      </c>
      <c r="AV107">
        <v>8</v>
      </c>
      <c r="AW107" s="3" t="s">
        <v>393</v>
      </c>
      <c r="AX107" t="s">
        <v>32</v>
      </c>
      <c r="AY107" s="5" t="s">
        <v>33</v>
      </c>
      <c r="AZ107" s="372" t="s">
        <v>199</v>
      </c>
      <c r="BA107" s="6">
        <f t="shared" si="42"/>
        <v>1.9166666666666667</v>
      </c>
      <c r="BB107" s="9" t="str">
        <f t="shared" si="43"/>
        <v>Minors</v>
      </c>
      <c r="BC107" s="9">
        <f t="shared" si="44"/>
        <v>4.833333333333333</v>
      </c>
      <c r="BD107" s="9" t="str">
        <f t="shared" si="45"/>
        <v>Bench</v>
      </c>
      <c r="BE107" s="9">
        <f t="shared" si="46"/>
        <v>4.833333333333333</v>
      </c>
      <c r="BF107" s="9" t="str">
        <f t="shared" si="47"/>
        <v>Bench</v>
      </c>
      <c r="BG107" s="77">
        <f t="shared" si="48"/>
        <v>3</v>
      </c>
      <c r="BH107" s="76">
        <f t="shared" si="49"/>
        <v>1</v>
      </c>
      <c r="BI107" s="305" t="str">
        <f t="shared" si="50"/>
        <v/>
      </c>
      <c r="BJ107" s="306" t="e">
        <f>IF(Q107="-","-",VLOOKUP($A107,AMAPit!$A$10:$AY$122,BJ$9,FALSE)-Q107)</f>
        <v>#N/A</v>
      </c>
      <c r="BK107" s="306" t="e">
        <f>IF(R107="-","-",VLOOKUP($A107,AMAPit!$A$10:$AY$122,BK$9,FALSE)-R107)</f>
        <v>#N/A</v>
      </c>
      <c r="BL107" s="306" t="e">
        <f>IF(S107="-","-",VLOOKUP($A107,AMAPit!$A$10:$AY$122,BL$9,FALSE)-S107)</f>
        <v>#N/A</v>
      </c>
      <c r="BM107" s="306" t="e">
        <f>IF(T107="-","-",VLOOKUP($A107,AMAPit!$A$10:$AY$122,BM$9,FALSE)-T107)</f>
        <v>#N/A</v>
      </c>
      <c r="BN107" s="306" t="e">
        <f>IF(U107="-","-",VLOOKUP($A107,AMAPit!$A$10:$AY$122,BN$9,FALSE)-U107)</f>
        <v>#N/A</v>
      </c>
      <c r="BO107" s="306" t="e">
        <f>IF(V107="-","-",VLOOKUP($A107,AMAPit!$A$10:$AY$122,BO$9,FALSE)-V107)</f>
        <v>#N/A</v>
      </c>
      <c r="BP107" s="306" t="e">
        <f>IF(W107="-","-",VLOOKUP($A107,AMAPit!$A$10:$AY$122,BP$9,FALSE)-W107)</f>
        <v>#N/A</v>
      </c>
      <c r="BQ107" s="306" t="e">
        <f>IF(X107="-","-",VLOOKUP($A107,AMAPit!$A$10:$AY$122,BQ$9,FALSE)-X107)</f>
        <v>#N/A</v>
      </c>
      <c r="BR107" s="306" t="e">
        <f>IF(Y107="-","-",VLOOKUP($A107,AMAPit!$A$10:$AY$122,BR$9,FALSE)-Y107)</f>
        <v>#N/A</v>
      </c>
      <c r="BS107" s="306" t="e">
        <f>IF(Z107="-","-",VLOOKUP($A107,AMAPit!$A$10:$AY$122,BS$9,FALSE)-Z107)</f>
        <v>#N/A</v>
      </c>
      <c r="BT107" s="306" t="e">
        <f>IF(AA107="-","-",VLOOKUP($A107,AMAPit!$A$10:$AY$122,BT$9,FALSE)-AA107)</f>
        <v>#N/A</v>
      </c>
      <c r="BU107" s="306" t="e">
        <f>IF(AB107="-","-",VLOOKUP($A107,AMAPit!$A$10:$AY$122,BU$9,FALSE)-AB107)</f>
        <v>#N/A</v>
      </c>
      <c r="BV107" s="306" t="str">
        <f>IF(AC107="-","-",VLOOKUP($A107,AMAPit!$A$10:$AY$122,BV$9,FALSE)-AC107)</f>
        <v>-</v>
      </c>
      <c r="BW107" s="306" t="str">
        <f>IF(AD107="-","-",VLOOKUP($A107,AMAPit!$A$10:$AY$122,BW$9,FALSE)-AD107)</f>
        <v>-</v>
      </c>
      <c r="BX107" s="306" t="str">
        <f>IF(AE107="-","-",VLOOKUP($A107,AMAPit!$A$10:$AY$122,BX$9,FALSE)-AE107)</f>
        <v>-</v>
      </c>
      <c r="BY107" s="306" t="str">
        <f>IF(AF107="-","-",VLOOKUP($A107,AMAPit!$A$10:$AY$122,BY$9,FALSE)-AF107)</f>
        <v>-</v>
      </c>
      <c r="BZ107" s="306" t="str">
        <f>IF(AG107="-","-",VLOOKUP($A107,AMAPit!$A$10:$AY$122,BZ$9,FALSE)-AG107)</f>
        <v>-</v>
      </c>
      <c r="CA107" s="306" t="str">
        <f>IF(AH107="-","-",VLOOKUP($A107,AMAPit!$A$10:$AY$122,CA$9,FALSE)-AH107)</f>
        <v>-</v>
      </c>
      <c r="CB107" s="306" t="str">
        <f>IF(AI107="-","-",VLOOKUP($A107,AMAPit!$A$10:$AY$122,CB$9,FALSE)-AI107)</f>
        <v>-</v>
      </c>
      <c r="CC107" s="306" t="str">
        <f>IF(AJ107="-","-",VLOOKUP($A107,AMAPit!$A$10:$AY$122,CC$9,FALSE)-AJ107)</f>
        <v>-</v>
      </c>
      <c r="CD107" s="306" t="str">
        <f>IF(AK107="-","-",VLOOKUP($A107,AMAPit!$A$10:$AY$122,CD$9,FALSE)-AK107)</f>
        <v>-</v>
      </c>
      <c r="CE107" s="306" t="str">
        <f>IF(AL107="-","-",VLOOKUP($A107,AMAPit!$A$10:$AY$122,CE$9,FALSE)-AL107)</f>
        <v>-</v>
      </c>
      <c r="CF107" s="306" t="str">
        <f>IF(AM107="-","-",VLOOKUP($A107,AMAPit!$A$10:$AY$122,CF$9,FALSE)-AM107)</f>
        <v>-</v>
      </c>
      <c r="CG107" s="306" t="str">
        <f>IF(AN107="-","-",VLOOKUP($A107,AMAPit!$A$10:$AY$122,CG$9,FALSE)-AN107)</f>
        <v>-</v>
      </c>
      <c r="CH107" s="306" t="str">
        <f>IF(AO107="-","-",VLOOKUP($A107,AMAPit!$A$10:$AY$122,CH$9,FALSE)-AO107)</f>
        <v>-</v>
      </c>
      <c r="CI107" s="306" t="str">
        <f>IF(AP107="-","-",VLOOKUP($A107,AMAPit!$A$10:$AY$122,CI$9,FALSE)-AP107)</f>
        <v>-</v>
      </c>
      <c r="CJ107" s="306" t="str">
        <f>IF(AQ107="-","-",VLOOKUP($A107,AMAPit!$A$10:$AY$122,CJ$9,FALSE)-AQ107)</f>
        <v>-</v>
      </c>
      <c r="CK107" s="306" t="str">
        <f>IF(AR107="-","-",VLOOKUP($A107,AMAPit!$A$10:$AY$122,CK$9,FALSE)-AR107)</f>
        <v>-</v>
      </c>
      <c r="CL107" s="306" t="str">
        <f>IF(AS107="-","-",VLOOKUP($A107,AMAPit!$A$10:$AY$122,CL$9,FALSE)-AS107)</f>
        <v>-</v>
      </c>
      <c r="CM107" s="306" t="str">
        <f>IF(AT107="-","-",VLOOKUP($A107,AMAPit!$A$10:$AY$122,CM$9,FALSE)-AT107)</f>
        <v>-</v>
      </c>
      <c r="CN107" s="305" t="e">
        <f t="shared" si="51"/>
        <v>#N/A</v>
      </c>
    </row>
    <row r="108" spans="1:92" x14ac:dyDescent="0.25">
      <c r="A108" s="305" t="s">
        <v>619</v>
      </c>
      <c r="B108" s="305" t="s">
        <v>534</v>
      </c>
      <c r="C108" s="305"/>
      <c r="D108" s="305" t="s">
        <v>72</v>
      </c>
      <c r="E108" t="s">
        <v>11</v>
      </c>
      <c r="F108" t="s">
        <v>1155</v>
      </c>
      <c r="G108" s="305" t="s">
        <v>1156</v>
      </c>
      <c r="H108" t="s">
        <v>810</v>
      </c>
      <c r="I108" t="s">
        <v>83</v>
      </c>
      <c r="J108" s="3">
        <v>19</v>
      </c>
      <c r="K108" t="s">
        <v>83</v>
      </c>
      <c r="L108" t="s">
        <v>83</v>
      </c>
      <c r="M108" t="s">
        <v>816</v>
      </c>
      <c r="N108" s="3" t="s">
        <v>816</v>
      </c>
      <c r="O108" t="s">
        <v>200</v>
      </c>
      <c r="P108" t="s">
        <v>200</v>
      </c>
      <c r="Q108" s="3">
        <v>2</v>
      </c>
      <c r="R108">
        <v>2</v>
      </c>
      <c r="S108">
        <v>1</v>
      </c>
      <c r="T108" s="3">
        <v>4</v>
      </c>
      <c r="U108">
        <v>4</v>
      </c>
      <c r="V108">
        <v>5</v>
      </c>
      <c r="W108">
        <v>3</v>
      </c>
      <c r="X108">
        <v>4</v>
      </c>
      <c r="Y108">
        <v>1</v>
      </c>
      <c r="Z108">
        <v>3</v>
      </c>
      <c r="AA108" t="s">
        <v>32</v>
      </c>
      <c r="AB108" t="s">
        <v>32</v>
      </c>
      <c r="AC108" t="s">
        <v>32</v>
      </c>
      <c r="AD108" t="s">
        <v>32</v>
      </c>
      <c r="AE108">
        <v>3</v>
      </c>
      <c r="AF108">
        <v>5</v>
      </c>
      <c r="AG108" t="s">
        <v>32</v>
      </c>
      <c r="AH108" t="s">
        <v>32</v>
      </c>
      <c r="AI108" t="s">
        <v>32</v>
      </c>
      <c r="AJ108" t="s">
        <v>32</v>
      </c>
      <c r="AK108" t="s">
        <v>32</v>
      </c>
      <c r="AL108" t="s">
        <v>32</v>
      </c>
      <c r="AM108" t="s">
        <v>32</v>
      </c>
      <c r="AN108" t="s">
        <v>32</v>
      </c>
      <c r="AO108" t="s">
        <v>32</v>
      </c>
      <c r="AP108" t="s">
        <v>32</v>
      </c>
      <c r="AQ108" t="s">
        <v>32</v>
      </c>
      <c r="AR108" s="3" t="s">
        <v>32</v>
      </c>
      <c r="AS108" t="s">
        <v>32</v>
      </c>
      <c r="AT108" t="s">
        <v>32</v>
      </c>
      <c r="AU108" s="3" t="s">
        <v>0</v>
      </c>
      <c r="AV108">
        <v>8</v>
      </c>
      <c r="AW108" s="3" t="s">
        <v>393</v>
      </c>
      <c r="AX108" t="s">
        <v>32</v>
      </c>
      <c r="AY108" s="5" t="s">
        <v>33</v>
      </c>
      <c r="AZ108" s="372" t="s">
        <v>779</v>
      </c>
      <c r="BA108" s="6">
        <f t="shared" si="42"/>
        <v>1.9166666666666667</v>
      </c>
      <c r="BB108" s="9" t="str">
        <f t="shared" si="43"/>
        <v>Minors</v>
      </c>
      <c r="BC108" s="9">
        <f t="shared" si="44"/>
        <v>4.583333333333333</v>
      </c>
      <c r="BD108" s="9" t="str">
        <f t="shared" si="45"/>
        <v>Bench</v>
      </c>
      <c r="BE108" s="9">
        <f t="shared" si="46"/>
        <v>4.583333333333333</v>
      </c>
      <c r="BF108" s="9" t="str">
        <f t="shared" si="47"/>
        <v>Bench</v>
      </c>
      <c r="BG108" s="77">
        <f t="shared" si="48"/>
        <v>3</v>
      </c>
      <c r="BH108" s="76">
        <f t="shared" si="49"/>
        <v>0</v>
      </c>
      <c r="BI108" s="305" t="str">
        <f t="shared" si="50"/>
        <v/>
      </c>
      <c r="BJ108" s="306" t="e">
        <f>IF(Q108="-","-",VLOOKUP($A108,AMAPit!$A$10:$AY$122,BJ$9,FALSE)-Q108)</f>
        <v>#N/A</v>
      </c>
      <c r="BK108" s="306" t="e">
        <f>IF(R108="-","-",VLOOKUP($A108,AMAPit!$A$10:$AY$122,BK$9,FALSE)-R108)</f>
        <v>#N/A</v>
      </c>
      <c r="BL108" s="306" t="e">
        <f>IF(S108="-","-",VLOOKUP($A108,AMAPit!$A$10:$AY$122,BL$9,FALSE)-S108)</f>
        <v>#N/A</v>
      </c>
      <c r="BM108" s="306" t="e">
        <f>IF(T108="-","-",VLOOKUP($A108,AMAPit!$A$10:$AY$122,BM$9,FALSE)-T108)</f>
        <v>#N/A</v>
      </c>
      <c r="BN108" s="306" t="e">
        <f>IF(U108="-","-",VLOOKUP($A108,AMAPit!$A$10:$AY$122,BN$9,FALSE)-U108)</f>
        <v>#N/A</v>
      </c>
      <c r="BO108" s="306" t="e">
        <f>IF(V108="-","-",VLOOKUP($A108,AMAPit!$A$10:$AY$122,BO$9,FALSE)-V108)</f>
        <v>#N/A</v>
      </c>
      <c r="BP108" s="306" t="e">
        <f>IF(W108="-","-",VLOOKUP($A108,AMAPit!$A$10:$AY$122,BP$9,FALSE)-W108)</f>
        <v>#N/A</v>
      </c>
      <c r="BQ108" s="306" t="e">
        <f>IF(X108="-","-",VLOOKUP($A108,AMAPit!$A$10:$AY$122,BQ$9,FALSE)-X108)</f>
        <v>#N/A</v>
      </c>
      <c r="BR108" s="306" t="e">
        <f>IF(Y108="-","-",VLOOKUP($A108,AMAPit!$A$10:$AY$122,BR$9,FALSE)-Y108)</f>
        <v>#N/A</v>
      </c>
      <c r="BS108" s="306" t="e">
        <f>IF(Z108="-","-",VLOOKUP($A108,AMAPit!$A$10:$AY$122,BS$9,FALSE)-Z108)</f>
        <v>#N/A</v>
      </c>
      <c r="BT108" s="306" t="str">
        <f>IF(AA108="-","-",VLOOKUP($A108,AMAPit!$A$10:$AY$122,BT$9,FALSE)-AA108)</f>
        <v>-</v>
      </c>
      <c r="BU108" s="306" t="str">
        <f>IF(AB108="-","-",VLOOKUP($A108,AMAPit!$A$10:$AY$122,BU$9,FALSE)-AB108)</f>
        <v>-</v>
      </c>
      <c r="BV108" s="306" t="str">
        <f>IF(AC108="-","-",VLOOKUP($A108,AMAPit!$A$10:$AY$122,BV$9,FALSE)-AC108)</f>
        <v>-</v>
      </c>
      <c r="BW108" s="306" t="str">
        <f>IF(AD108="-","-",VLOOKUP($A108,AMAPit!$A$10:$AY$122,BW$9,FALSE)-AD108)</f>
        <v>-</v>
      </c>
      <c r="BX108" s="306" t="e">
        <f>IF(AE108="-","-",VLOOKUP($A108,AMAPit!$A$10:$AY$122,BX$9,FALSE)-AE108)</f>
        <v>#N/A</v>
      </c>
      <c r="BY108" s="306" t="e">
        <f>IF(AF108="-","-",VLOOKUP($A108,AMAPit!$A$10:$AY$122,BY$9,FALSE)-AF108)</f>
        <v>#N/A</v>
      </c>
      <c r="BZ108" s="306" t="str">
        <f>IF(AG108="-","-",VLOOKUP($A108,AMAPit!$A$10:$AY$122,BZ$9,FALSE)-AG108)</f>
        <v>-</v>
      </c>
      <c r="CA108" s="306" t="str">
        <f>IF(AH108="-","-",VLOOKUP($A108,AMAPit!$A$10:$AY$122,CA$9,FALSE)-AH108)</f>
        <v>-</v>
      </c>
      <c r="CB108" s="306" t="str">
        <f>IF(AI108="-","-",VLOOKUP($A108,AMAPit!$A$10:$AY$122,CB$9,FALSE)-AI108)</f>
        <v>-</v>
      </c>
      <c r="CC108" s="306" t="str">
        <f>IF(AJ108="-","-",VLOOKUP($A108,AMAPit!$A$10:$AY$122,CC$9,FALSE)-AJ108)</f>
        <v>-</v>
      </c>
      <c r="CD108" s="306" t="str">
        <f>IF(AK108="-","-",VLOOKUP($A108,AMAPit!$A$10:$AY$122,CD$9,FALSE)-AK108)</f>
        <v>-</v>
      </c>
      <c r="CE108" s="306" t="str">
        <f>IF(AL108="-","-",VLOOKUP($A108,AMAPit!$A$10:$AY$122,CE$9,FALSE)-AL108)</f>
        <v>-</v>
      </c>
      <c r="CF108" s="306" t="str">
        <f>IF(AM108="-","-",VLOOKUP($A108,AMAPit!$A$10:$AY$122,CF$9,FALSE)-AM108)</f>
        <v>-</v>
      </c>
      <c r="CG108" s="306" t="str">
        <f>IF(AN108="-","-",VLOOKUP($A108,AMAPit!$A$10:$AY$122,CG$9,FALSE)-AN108)</f>
        <v>-</v>
      </c>
      <c r="CH108" s="306" t="str">
        <f>IF(AO108="-","-",VLOOKUP($A108,AMAPit!$A$10:$AY$122,CH$9,FALSE)-AO108)</f>
        <v>-</v>
      </c>
      <c r="CI108" s="306" t="str">
        <f>IF(AP108="-","-",VLOOKUP($A108,AMAPit!$A$10:$AY$122,CI$9,FALSE)-AP108)</f>
        <v>-</v>
      </c>
      <c r="CJ108" s="306" t="str">
        <f>IF(AQ108="-","-",VLOOKUP($A108,AMAPit!$A$10:$AY$122,CJ$9,FALSE)-AQ108)</f>
        <v>-</v>
      </c>
      <c r="CK108" s="306" t="str">
        <f>IF(AR108="-","-",VLOOKUP($A108,AMAPit!$A$10:$AY$122,CK$9,FALSE)-AR108)</f>
        <v>-</v>
      </c>
      <c r="CL108" s="306" t="str">
        <f>IF(AS108="-","-",VLOOKUP($A108,AMAPit!$A$10:$AY$122,CL$9,FALSE)-AS108)</f>
        <v>-</v>
      </c>
      <c r="CM108" s="306" t="str">
        <f>IF(AT108="-","-",VLOOKUP($A108,AMAPit!$A$10:$AY$122,CM$9,FALSE)-AT108)</f>
        <v>-</v>
      </c>
      <c r="CN108" s="305" t="e">
        <f t="shared" si="51"/>
        <v>#N/A</v>
      </c>
    </row>
    <row r="109" spans="1:92" x14ac:dyDescent="0.25">
      <c r="A109" s="305" t="s">
        <v>537</v>
      </c>
      <c r="B109" s="305" t="s">
        <v>534</v>
      </c>
      <c r="C109" s="305"/>
      <c r="D109" s="305" t="s">
        <v>81</v>
      </c>
      <c r="E109" t="s">
        <v>87</v>
      </c>
      <c r="F109" t="s">
        <v>955</v>
      </c>
      <c r="G109" s="305" t="s">
        <v>956</v>
      </c>
      <c r="H109" t="s">
        <v>810</v>
      </c>
      <c r="I109" t="s">
        <v>83</v>
      </c>
      <c r="J109" s="388">
        <v>19</v>
      </c>
      <c r="K109" t="s">
        <v>82</v>
      </c>
      <c r="L109" t="s">
        <v>83</v>
      </c>
      <c r="M109" t="s">
        <v>816</v>
      </c>
      <c r="N109" s="388" t="s">
        <v>816</v>
      </c>
      <c r="O109" t="s">
        <v>199</v>
      </c>
      <c r="P109" t="s">
        <v>200</v>
      </c>
      <c r="Q109" s="388">
        <v>2</v>
      </c>
      <c r="R109">
        <v>2</v>
      </c>
      <c r="S109">
        <v>1</v>
      </c>
      <c r="T109" s="388">
        <v>5</v>
      </c>
      <c r="U109">
        <v>2</v>
      </c>
      <c r="V109">
        <v>2</v>
      </c>
      <c r="W109">
        <v>4</v>
      </c>
      <c r="X109">
        <v>6</v>
      </c>
      <c r="Y109">
        <v>1</v>
      </c>
      <c r="Z109">
        <v>8</v>
      </c>
      <c r="AA109" t="s">
        <v>32</v>
      </c>
      <c r="AB109" t="s">
        <v>32</v>
      </c>
      <c r="AC109">
        <v>3</v>
      </c>
      <c r="AD109">
        <v>7</v>
      </c>
      <c r="AE109" t="s">
        <v>32</v>
      </c>
      <c r="AF109" t="s">
        <v>32</v>
      </c>
      <c r="AG109" t="s">
        <v>32</v>
      </c>
      <c r="AH109" t="s">
        <v>32</v>
      </c>
      <c r="AI109" t="s">
        <v>32</v>
      </c>
      <c r="AJ109" t="s">
        <v>32</v>
      </c>
      <c r="AK109" t="s">
        <v>32</v>
      </c>
      <c r="AL109" t="s">
        <v>32</v>
      </c>
      <c r="AM109" t="s">
        <v>32</v>
      </c>
      <c r="AN109" t="s">
        <v>32</v>
      </c>
      <c r="AO109" t="s">
        <v>32</v>
      </c>
      <c r="AP109" t="s">
        <v>32</v>
      </c>
      <c r="AQ109" t="s">
        <v>32</v>
      </c>
      <c r="AR109" s="388" t="s">
        <v>32</v>
      </c>
      <c r="AS109" t="s">
        <v>32</v>
      </c>
      <c r="AT109" t="s">
        <v>32</v>
      </c>
      <c r="AU109" s="388" t="s">
        <v>1</v>
      </c>
      <c r="AV109">
        <v>8</v>
      </c>
      <c r="AW109" s="388" t="s">
        <v>393</v>
      </c>
      <c r="AX109" t="s">
        <v>32</v>
      </c>
      <c r="AY109" s="5" t="s">
        <v>33</v>
      </c>
      <c r="AZ109" s="372" t="s">
        <v>529</v>
      </c>
      <c r="BA109" s="6">
        <f t="shared" ref="BA109:BA125" si="52">AVERAGE(Q109:S109)+0.25*MAX(0,(COUNT(W109,Y109,AA109,AC109,AE109,AG109,AI109,AK109,AM109,AO109,AQ109,AS109)-3))+IF(AW109&gt;0.55,0.25,0)+IF(MAX(W109,Y109,AA109,AC109,AE109,AG109,AI109,AK109,AM109,AO109,AQ109,AS109)&gt;5,0.25,0)</f>
        <v>1.9166666666666667</v>
      </c>
      <c r="BB109" s="9" t="str">
        <f t="shared" ref="BB109:BB125" si="53">IF(BA109&gt;9,"SuperStar",IF(BA109&gt;8,"Star",IF(BA109&gt;6.5,"GoodReg",IF(BA109&gt;5,"Reg",IF(BA109&gt;4,"Bench","Minors")))))</f>
        <v>Minors</v>
      </c>
      <c r="BC109" s="9">
        <f t="shared" ref="BC109:BC125" si="54">AVERAGE(T109:V109)+0.25*MAX(0,(COUNT(X109,Z109,AB109,AD109,AF109,AH109,AJ109,AL109,AN109,AP109,AR109,AT109)-3))+IF(AW109&gt;0.55,0.25,0)+IF(MAX(X109,Z109,AB109,AD109,AF109,AH109,AJ109,AL109,AN109,AP109,AR109,AT109)&gt;5,0.25,0)</f>
        <v>3.5</v>
      </c>
      <c r="BD109" s="9" t="str">
        <f t="shared" ref="BD109:BD125" si="55">IF(BC109&gt;9,"SuperStar",IF(BC109&gt;8,"Star",IF(BC109&gt;6.5,"GoodReg",IF(BC109&gt;5,"Reg",IF(BC109&gt;4,"Bench","Minors")))))</f>
        <v>Minors</v>
      </c>
      <c r="BE109" s="9">
        <f t="shared" ref="BE109:BE125" si="56">MIN(BA109+(MAX(0,25-U109))^1.5,BC109)</f>
        <v>3.5</v>
      </c>
      <c r="BF109" s="9" t="str">
        <f t="shared" ref="BF109:BF125" si="57">IF(BE109&gt;9,"SuperStar",IF(BE109&gt;8,"Star",IF(BE109&gt;6.5,"GoodReg",IF(BE109&gt;5,"Reg",IF(BE109&gt;4,"Bench","Minors")))))</f>
        <v>Minors</v>
      </c>
      <c r="BG109" s="77">
        <f t="shared" ref="BG109:BG125" si="58">COUNT(W109:AT109)/2</f>
        <v>3</v>
      </c>
      <c r="BH109" s="76">
        <f t="shared" ref="BH109:BH125" si="59">COUNTIF(W109:AT109,"&gt;5")/2</f>
        <v>1.5</v>
      </c>
      <c r="BI109" s="305" t="str">
        <f t="shared" ref="BI109:BI125" si="60">IF(AY109=1,"Yes","")</f>
        <v/>
      </c>
      <c r="BJ109" s="306" t="e">
        <f>IF(Q109="-","-",VLOOKUP($A109,AMAPit!$A$10:$AY$125,BJ$9,FALSE)-Q109)</f>
        <v>#N/A</v>
      </c>
      <c r="BK109" s="306" t="e">
        <f>IF(R109="-","-",VLOOKUP($A109,AMAPit!$A$10:$AY$125,BK$9,FALSE)-R109)</f>
        <v>#N/A</v>
      </c>
      <c r="BL109" s="306" t="e">
        <f>IF(S109="-","-",VLOOKUP($A109,AMAPit!$A$10:$AY$125,BL$9,FALSE)-S109)</f>
        <v>#N/A</v>
      </c>
      <c r="BM109" s="306" t="e">
        <f>IF(T109="-","-",VLOOKUP($A109,AMAPit!$A$10:$AY$125,BM$9,FALSE)-T109)</f>
        <v>#N/A</v>
      </c>
      <c r="BN109" s="306" t="e">
        <f>IF(U109="-","-",VLOOKUP($A109,AMAPit!$A$10:$AY$125,BN$9,FALSE)-U109)</f>
        <v>#N/A</v>
      </c>
      <c r="BO109" s="306" t="e">
        <f>IF(V109="-","-",VLOOKUP($A109,AMAPit!$A$10:$AY$125,BO$9,FALSE)-V109)</f>
        <v>#N/A</v>
      </c>
      <c r="BP109" s="306" t="e">
        <f>IF(W109="-","-",VLOOKUP($A109,AMAPit!$A$10:$AY$125,BP$9,FALSE)-W109)</f>
        <v>#N/A</v>
      </c>
      <c r="BQ109" s="306" t="e">
        <f>IF(X109="-","-",VLOOKUP($A109,AMAPit!$A$10:$AY$125,BQ$9,FALSE)-X109)</f>
        <v>#N/A</v>
      </c>
      <c r="BR109" s="306" t="e">
        <f>IF(Y109="-","-",VLOOKUP($A109,AMAPit!$A$10:$AY$125,BR$9,FALSE)-Y109)</f>
        <v>#N/A</v>
      </c>
      <c r="BS109" s="306" t="e">
        <f>IF(Z109="-","-",VLOOKUP($A109,AMAPit!$A$10:$AY$125,BS$9,FALSE)-Z109)</f>
        <v>#N/A</v>
      </c>
      <c r="BT109" s="306" t="str">
        <f>IF(AA109="-","-",VLOOKUP($A109,AMAPit!$A$10:$AY$125,BT$9,FALSE)-AA109)</f>
        <v>-</v>
      </c>
      <c r="BU109" s="306" t="str">
        <f>IF(AB109="-","-",VLOOKUP($A109,AMAPit!$A$10:$AY$125,BU$9,FALSE)-AB109)</f>
        <v>-</v>
      </c>
      <c r="BV109" s="306" t="e">
        <f>IF(AC109="-","-",VLOOKUP($A109,AMAPit!$A$10:$AY$125,BV$9,FALSE)-AC109)</f>
        <v>#N/A</v>
      </c>
      <c r="BW109" s="306" t="e">
        <f>IF(AD109="-","-",VLOOKUP($A109,AMAPit!$A$10:$AY$125,BW$9,FALSE)-AD109)</f>
        <v>#N/A</v>
      </c>
      <c r="BX109" s="306" t="str">
        <f>IF(AE109="-","-",VLOOKUP($A109,AMAPit!$A$10:$AY$125,BX$9,FALSE)-AE109)</f>
        <v>-</v>
      </c>
      <c r="BY109" s="306" t="str">
        <f>IF(AF109="-","-",VLOOKUP($A109,AMAPit!$A$10:$AY$125,BY$9,FALSE)-AF109)</f>
        <v>-</v>
      </c>
      <c r="BZ109" s="306" t="str">
        <f>IF(AG109="-","-",VLOOKUP($A109,AMAPit!$A$10:$AY$125,BZ$9,FALSE)-AG109)</f>
        <v>-</v>
      </c>
      <c r="CA109" s="306" t="str">
        <f>IF(AH109="-","-",VLOOKUP($A109,AMAPit!$A$10:$AY$125,CA$9,FALSE)-AH109)</f>
        <v>-</v>
      </c>
      <c r="CB109" s="306" t="str">
        <f>IF(AI109="-","-",VLOOKUP($A109,AMAPit!$A$10:$AY$125,CB$9,FALSE)-AI109)</f>
        <v>-</v>
      </c>
      <c r="CC109" s="306" t="str">
        <f>IF(AJ109="-","-",VLOOKUP($A109,AMAPit!$A$10:$AY$125,CC$9,FALSE)-AJ109)</f>
        <v>-</v>
      </c>
      <c r="CD109" s="306" t="str">
        <f>IF(AK109="-","-",VLOOKUP($A109,AMAPit!$A$10:$AY$125,CD$9,FALSE)-AK109)</f>
        <v>-</v>
      </c>
      <c r="CE109" s="306" t="str">
        <f>IF(AL109="-","-",VLOOKUP($A109,AMAPit!$A$10:$AY$125,CE$9,FALSE)-AL109)</f>
        <v>-</v>
      </c>
      <c r="CF109" s="306" t="str">
        <f>IF(AM109="-","-",VLOOKUP($A109,AMAPit!$A$10:$AY$125,CF$9,FALSE)-AM109)</f>
        <v>-</v>
      </c>
      <c r="CG109" s="306" t="str">
        <f>IF(AN109="-","-",VLOOKUP($A109,AMAPit!$A$10:$AY$125,CG$9,FALSE)-AN109)</f>
        <v>-</v>
      </c>
      <c r="CH109" s="306" t="str">
        <f>IF(AO109="-","-",VLOOKUP($A109,AMAPit!$A$10:$AY$125,CH$9,FALSE)-AO109)</f>
        <v>-</v>
      </c>
      <c r="CI109" s="306" t="str">
        <f>IF(AP109="-","-",VLOOKUP($A109,AMAPit!$A$10:$AY$125,CI$9,FALSE)-AP109)</f>
        <v>-</v>
      </c>
      <c r="CJ109" s="306" t="str">
        <f>IF(AQ109="-","-",VLOOKUP($A109,AMAPit!$A$10:$AY$125,CJ$9,FALSE)-AQ109)</f>
        <v>-</v>
      </c>
      <c r="CK109" s="306" t="str">
        <f>IF(AR109="-","-",VLOOKUP($A109,AMAPit!$A$10:$AY$125,CK$9,FALSE)-AR109)</f>
        <v>-</v>
      </c>
      <c r="CL109" s="306" t="str">
        <f>IF(AS109="-","-",VLOOKUP($A109,AMAPit!$A$10:$AY$125,CL$9,FALSE)-AS109)</f>
        <v>-</v>
      </c>
      <c r="CM109" s="306" t="str">
        <f>IF(AT109="-","-",VLOOKUP($A109,AMAPit!$A$10:$AY$125,CM$9,FALSE)-AT109)</f>
        <v>-</v>
      </c>
      <c r="CN109" s="305" t="e">
        <f t="shared" ref="CN109:CN125" si="61">SUM(BJ109:CM109)</f>
        <v>#N/A</v>
      </c>
    </row>
    <row r="110" spans="1:92" x14ac:dyDescent="0.25">
      <c r="A110" s="305" t="s">
        <v>617</v>
      </c>
      <c r="B110" s="305" t="s">
        <v>534</v>
      </c>
      <c r="C110" s="305"/>
      <c r="D110" s="305" t="s">
        <v>81</v>
      </c>
      <c r="E110" t="s">
        <v>11</v>
      </c>
      <c r="F110" t="s">
        <v>1011</v>
      </c>
      <c r="G110" s="305" t="s">
        <v>439</v>
      </c>
      <c r="H110" t="s">
        <v>810</v>
      </c>
      <c r="I110" t="s">
        <v>83</v>
      </c>
      <c r="J110" s="388">
        <v>19</v>
      </c>
      <c r="K110" t="s">
        <v>83</v>
      </c>
      <c r="L110" t="s">
        <v>83</v>
      </c>
      <c r="M110" t="s">
        <v>816</v>
      </c>
      <c r="N110" s="388" t="s">
        <v>816</v>
      </c>
      <c r="O110" t="s">
        <v>199</v>
      </c>
      <c r="P110" t="s">
        <v>199</v>
      </c>
      <c r="Q110" s="388">
        <v>2</v>
      </c>
      <c r="R110">
        <v>2</v>
      </c>
      <c r="S110">
        <v>1</v>
      </c>
      <c r="T110" s="388">
        <v>4</v>
      </c>
      <c r="U110">
        <v>2</v>
      </c>
      <c r="V110">
        <v>3</v>
      </c>
      <c r="W110">
        <v>4</v>
      </c>
      <c r="X110">
        <v>5</v>
      </c>
      <c r="Y110" t="s">
        <v>32</v>
      </c>
      <c r="Z110" t="s">
        <v>32</v>
      </c>
      <c r="AA110" t="s">
        <v>32</v>
      </c>
      <c r="AB110" t="s">
        <v>32</v>
      </c>
      <c r="AC110">
        <v>2</v>
      </c>
      <c r="AD110">
        <v>5</v>
      </c>
      <c r="AE110" t="s">
        <v>32</v>
      </c>
      <c r="AF110" t="s">
        <v>32</v>
      </c>
      <c r="AG110" t="s">
        <v>32</v>
      </c>
      <c r="AH110" t="s">
        <v>32</v>
      </c>
      <c r="AI110" t="s">
        <v>32</v>
      </c>
      <c r="AJ110" t="s">
        <v>32</v>
      </c>
      <c r="AK110" t="s">
        <v>32</v>
      </c>
      <c r="AL110" t="s">
        <v>32</v>
      </c>
      <c r="AM110">
        <v>1</v>
      </c>
      <c r="AN110">
        <v>6</v>
      </c>
      <c r="AO110" t="s">
        <v>32</v>
      </c>
      <c r="AP110" t="s">
        <v>32</v>
      </c>
      <c r="AQ110" t="s">
        <v>32</v>
      </c>
      <c r="AR110" s="388" t="s">
        <v>32</v>
      </c>
      <c r="AS110" t="s">
        <v>32</v>
      </c>
      <c r="AT110" t="s">
        <v>32</v>
      </c>
      <c r="AU110" s="388" t="s">
        <v>397</v>
      </c>
      <c r="AV110">
        <v>9</v>
      </c>
      <c r="AW110" s="388" t="s">
        <v>393</v>
      </c>
      <c r="AX110" t="s">
        <v>32</v>
      </c>
      <c r="AY110" s="5" t="s">
        <v>33</v>
      </c>
      <c r="AZ110" s="372" t="s">
        <v>199</v>
      </c>
      <c r="BA110" s="6">
        <f t="shared" si="52"/>
        <v>1.9166666666666667</v>
      </c>
      <c r="BB110" s="9" t="str">
        <f t="shared" si="53"/>
        <v>Minors</v>
      </c>
      <c r="BC110" s="9">
        <f t="shared" si="54"/>
        <v>3.5</v>
      </c>
      <c r="BD110" s="9" t="str">
        <f t="shared" si="55"/>
        <v>Minors</v>
      </c>
      <c r="BE110" s="9">
        <f t="shared" si="56"/>
        <v>3.5</v>
      </c>
      <c r="BF110" s="9" t="str">
        <f t="shared" si="57"/>
        <v>Minors</v>
      </c>
      <c r="BG110" s="77">
        <f t="shared" si="58"/>
        <v>3</v>
      </c>
      <c r="BH110" s="76">
        <f t="shared" si="59"/>
        <v>0.5</v>
      </c>
      <c r="BI110" s="305" t="str">
        <f t="shared" si="60"/>
        <v/>
      </c>
      <c r="BJ110" s="306" t="e">
        <f>IF(Q110="-","-",VLOOKUP($A110,AMAPit!$A$10:$AY$125,BJ$9,FALSE)-Q110)</f>
        <v>#N/A</v>
      </c>
      <c r="BK110" s="306" t="e">
        <f>IF(R110="-","-",VLOOKUP($A110,AMAPit!$A$10:$AY$125,BK$9,FALSE)-R110)</f>
        <v>#N/A</v>
      </c>
      <c r="BL110" s="306" t="e">
        <f>IF(S110="-","-",VLOOKUP($A110,AMAPit!$A$10:$AY$125,BL$9,FALSE)-S110)</f>
        <v>#N/A</v>
      </c>
      <c r="BM110" s="306" t="e">
        <f>IF(T110="-","-",VLOOKUP($A110,AMAPit!$A$10:$AY$125,BM$9,FALSE)-T110)</f>
        <v>#N/A</v>
      </c>
      <c r="BN110" s="306" t="e">
        <f>IF(U110="-","-",VLOOKUP($A110,AMAPit!$A$10:$AY$125,BN$9,FALSE)-U110)</f>
        <v>#N/A</v>
      </c>
      <c r="BO110" s="306" t="e">
        <f>IF(V110="-","-",VLOOKUP($A110,AMAPit!$A$10:$AY$125,BO$9,FALSE)-V110)</f>
        <v>#N/A</v>
      </c>
      <c r="BP110" s="306" t="e">
        <f>IF(W110="-","-",VLOOKUP($A110,AMAPit!$A$10:$AY$125,BP$9,FALSE)-W110)</f>
        <v>#N/A</v>
      </c>
      <c r="BQ110" s="306" t="e">
        <f>IF(X110="-","-",VLOOKUP($A110,AMAPit!$A$10:$AY$125,BQ$9,FALSE)-X110)</f>
        <v>#N/A</v>
      </c>
      <c r="BR110" s="306" t="str">
        <f>IF(Y110="-","-",VLOOKUP($A110,AMAPit!$A$10:$AY$125,BR$9,FALSE)-Y110)</f>
        <v>-</v>
      </c>
      <c r="BS110" s="306" t="str">
        <f>IF(Z110="-","-",VLOOKUP($A110,AMAPit!$A$10:$AY$125,BS$9,FALSE)-Z110)</f>
        <v>-</v>
      </c>
      <c r="BT110" s="306" t="str">
        <f>IF(AA110="-","-",VLOOKUP($A110,AMAPit!$A$10:$AY$125,BT$9,FALSE)-AA110)</f>
        <v>-</v>
      </c>
      <c r="BU110" s="306" t="str">
        <f>IF(AB110="-","-",VLOOKUP($A110,AMAPit!$A$10:$AY$125,BU$9,FALSE)-AB110)</f>
        <v>-</v>
      </c>
      <c r="BV110" s="306" t="e">
        <f>IF(AC110="-","-",VLOOKUP($A110,AMAPit!$A$10:$AY$125,BV$9,FALSE)-AC110)</f>
        <v>#N/A</v>
      </c>
      <c r="BW110" s="306" t="e">
        <f>IF(AD110="-","-",VLOOKUP($A110,AMAPit!$A$10:$AY$125,BW$9,FALSE)-AD110)</f>
        <v>#N/A</v>
      </c>
      <c r="BX110" s="306" t="str">
        <f>IF(AE110="-","-",VLOOKUP($A110,AMAPit!$A$10:$AY$125,BX$9,FALSE)-AE110)</f>
        <v>-</v>
      </c>
      <c r="BY110" s="306" t="str">
        <f>IF(AF110="-","-",VLOOKUP($A110,AMAPit!$A$10:$AY$125,BY$9,FALSE)-AF110)</f>
        <v>-</v>
      </c>
      <c r="BZ110" s="306" t="str">
        <f>IF(AG110="-","-",VLOOKUP($A110,AMAPit!$A$10:$AY$125,BZ$9,FALSE)-AG110)</f>
        <v>-</v>
      </c>
      <c r="CA110" s="306" t="str">
        <f>IF(AH110="-","-",VLOOKUP($A110,AMAPit!$A$10:$AY$125,CA$9,FALSE)-AH110)</f>
        <v>-</v>
      </c>
      <c r="CB110" s="306" t="str">
        <f>IF(AI110="-","-",VLOOKUP($A110,AMAPit!$A$10:$AY$125,CB$9,FALSE)-AI110)</f>
        <v>-</v>
      </c>
      <c r="CC110" s="306" t="str">
        <f>IF(AJ110="-","-",VLOOKUP($A110,AMAPit!$A$10:$AY$125,CC$9,FALSE)-AJ110)</f>
        <v>-</v>
      </c>
      <c r="CD110" s="306" t="str">
        <f>IF(AK110="-","-",VLOOKUP($A110,AMAPit!$A$10:$AY$125,CD$9,FALSE)-AK110)</f>
        <v>-</v>
      </c>
      <c r="CE110" s="306" t="str">
        <f>IF(AL110="-","-",VLOOKUP($A110,AMAPit!$A$10:$AY$125,CE$9,FALSE)-AL110)</f>
        <v>-</v>
      </c>
      <c r="CF110" s="306" t="e">
        <f>IF(AM110="-","-",VLOOKUP($A110,AMAPit!$A$10:$AY$125,CF$9,FALSE)-AM110)</f>
        <v>#N/A</v>
      </c>
      <c r="CG110" s="306" t="e">
        <f>IF(AN110="-","-",VLOOKUP($A110,AMAPit!$A$10:$AY$125,CG$9,FALSE)-AN110)</f>
        <v>#N/A</v>
      </c>
      <c r="CH110" s="306" t="str">
        <f>IF(AO110="-","-",VLOOKUP($A110,AMAPit!$A$10:$AY$125,CH$9,FALSE)-AO110)</f>
        <v>-</v>
      </c>
      <c r="CI110" s="306" t="str">
        <f>IF(AP110="-","-",VLOOKUP($A110,AMAPit!$A$10:$AY$125,CI$9,FALSE)-AP110)</f>
        <v>-</v>
      </c>
      <c r="CJ110" s="306" t="str">
        <f>IF(AQ110="-","-",VLOOKUP($A110,AMAPit!$A$10:$AY$125,CJ$9,FALSE)-AQ110)</f>
        <v>-</v>
      </c>
      <c r="CK110" s="306" t="str">
        <f>IF(AR110="-","-",VLOOKUP($A110,AMAPit!$A$10:$AY$125,CK$9,FALSE)-AR110)</f>
        <v>-</v>
      </c>
      <c r="CL110" s="306" t="str">
        <f>IF(AS110="-","-",VLOOKUP($A110,AMAPit!$A$10:$AY$125,CL$9,FALSE)-AS110)</f>
        <v>-</v>
      </c>
      <c r="CM110" s="306" t="str">
        <f>IF(AT110="-","-",VLOOKUP($A110,AMAPit!$A$10:$AY$125,CM$9,FALSE)-AT110)</f>
        <v>-</v>
      </c>
      <c r="CN110" s="305" t="e">
        <f t="shared" si="61"/>
        <v>#N/A</v>
      </c>
    </row>
    <row r="111" spans="1:92" x14ac:dyDescent="0.25">
      <c r="A111" s="305" t="s">
        <v>618</v>
      </c>
      <c r="B111" s="305" t="s">
        <v>534</v>
      </c>
      <c r="C111" s="305"/>
      <c r="D111" s="305" t="s">
        <v>81</v>
      </c>
      <c r="E111" t="s">
        <v>11</v>
      </c>
      <c r="F111" t="s">
        <v>438</v>
      </c>
      <c r="G111" s="305" t="s">
        <v>1181</v>
      </c>
      <c r="H111" t="s">
        <v>810</v>
      </c>
      <c r="I111" t="s">
        <v>83</v>
      </c>
      <c r="J111" s="388">
        <v>19</v>
      </c>
      <c r="K111" t="s">
        <v>82</v>
      </c>
      <c r="L111" t="s">
        <v>82</v>
      </c>
      <c r="M111" t="s">
        <v>816</v>
      </c>
      <c r="N111" s="388" t="s">
        <v>816</v>
      </c>
      <c r="O111" t="s">
        <v>200</v>
      </c>
      <c r="P111" t="s">
        <v>199</v>
      </c>
      <c r="Q111" s="388">
        <v>2</v>
      </c>
      <c r="R111">
        <v>2</v>
      </c>
      <c r="S111">
        <v>1</v>
      </c>
      <c r="T111" s="388">
        <v>4</v>
      </c>
      <c r="U111">
        <v>2</v>
      </c>
      <c r="V111">
        <v>2</v>
      </c>
      <c r="W111">
        <v>4</v>
      </c>
      <c r="X111">
        <v>5</v>
      </c>
      <c r="Y111">
        <v>1</v>
      </c>
      <c r="Z111">
        <v>1</v>
      </c>
      <c r="AA111">
        <v>3</v>
      </c>
      <c r="AB111">
        <v>5</v>
      </c>
      <c r="AC111" t="s">
        <v>32</v>
      </c>
      <c r="AD111" t="s">
        <v>32</v>
      </c>
      <c r="AE111" t="s">
        <v>32</v>
      </c>
      <c r="AF111" t="s">
        <v>32</v>
      </c>
      <c r="AG111" t="s">
        <v>32</v>
      </c>
      <c r="AH111" t="s">
        <v>32</v>
      </c>
      <c r="AI111" t="s">
        <v>32</v>
      </c>
      <c r="AJ111" t="s">
        <v>32</v>
      </c>
      <c r="AK111" t="s">
        <v>32</v>
      </c>
      <c r="AL111" t="s">
        <v>32</v>
      </c>
      <c r="AM111" t="s">
        <v>32</v>
      </c>
      <c r="AN111" t="s">
        <v>32</v>
      </c>
      <c r="AO111" t="s">
        <v>32</v>
      </c>
      <c r="AP111" t="s">
        <v>32</v>
      </c>
      <c r="AQ111" t="s">
        <v>32</v>
      </c>
      <c r="AR111" s="388" t="s">
        <v>32</v>
      </c>
      <c r="AS111" t="s">
        <v>32</v>
      </c>
      <c r="AT111" t="s">
        <v>32</v>
      </c>
      <c r="AU111" s="388" t="s">
        <v>396</v>
      </c>
      <c r="AV111">
        <v>9</v>
      </c>
      <c r="AW111" s="388" t="s">
        <v>393</v>
      </c>
      <c r="AX111" t="s">
        <v>32</v>
      </c>
      <c r="AY111" s="5" t="s">
        <v>33</v>
      </c>
      <c r="AZ111" s="372" t="s">
        <v>199</v>
      </c>
      <c r="BA111" s="6">
        <f t="shared" si="52"/>
        <v>1.9166666666666667</v>
      </c>
      <c r="BB111" s="9" t="str">
        <f t="shared" si="53"/>
        <v>Minors</v>
      </c>
      <c r="BC111" s="9">
        <f t="shared" si="54"/>
        <v>2.9166666666666665</v>
      </c>
      <c r="BD111" s="9" t="str">
        <f t="shared" si="55"/>
        <v>Minors</v>
      </c>
      <c r="BE111" s="9">
        <f t="shared" si="56"/>
        <v>2.9166666666666665</v>
      </c>
      <c r="BF111" s="9" t="str">
        <f t="shared" si="57"/>
        <v>Minors</v>
      </c>
      <c r="BG111" s="77">
        <f t="shared" si="58"/>
        <v>3</v>
      </c>
      <c r="BH111" s="76">
        <f t="shared" si="59"/>
        <v>0</v>
      </c>
      <c r="BI111" s="305" t="str">
        <f t="shared" si="60"/>
        <v/>
      </c>
      <c r="BJ111" s="306" t="e">
        <f>IF(Q111="-","-",VLOOKUP($A111,AMAPit!$A$10:$AY$125,BJ$9,FALSE)-Q111)</f>
        <v>#N/A</v>
      </c>
      <c r="BK111" s="306" t="e">
        <f>IF(R111="-","-",VLOOKUP($A111,AMAPit!$A$10:$AY$125,BK$9,FALSE)-R111)</f>
        <v>#N/A</v>
      </c>
      <c r="BL111" s="306" t="e">
        <f>IF(S111="-","-",VLOOKUP($A111,AMAPit!$A$10:$AY$125,BL$9,FALSE)-S111)</f>
        <v>#N/A</v>
      </c>
      <c r="BM111" s="306" t="e">
        <f>IF(T111="-","-",VLOOKUP($A111,AMAPit!$A$10:$AY$125,BM$9,FALSE)-T111)</f>
        <v>#N/A</v>
      </c>
      <c r="BN111" s="306" t="e">
        <f>IF(U111="-","-",VLOOKUP($A111,AMAPit!$A$10:$AY$125,BN$9,FALSE)-U111)</f>
        <v>#N/A</v>
      </c>
      <c r="BO111" s="306" t="e">
        <f>IF(V111="-","-",VLOOKUP($A111,AMAPit!$A$10:$AY$125,BO$9,FALSE)-V111)</f>
        <v>#N/A</v>
      </c>
      <c r="BP111" s="306" t="e">
        <f>IF(W111="-","-",VLOOKUP($A111,AMAPit!$A$10:$AY$125,BP$9,FALSE)-W111)</f>
        <v>#N/A</v>
      </c>
      <c r="BQ111" s="306" t="e">
        <f>IF(X111="-","-",VLOOKUP($A111,AMAPit!$A$10:$AY$125,BQ$9,FALSE)-X111)</f>
        <v>#N/A</v>
      </c>
      <c r="BR111" s="306" t="e">
        <f>IF(Y111="-","-",VLOOKUP($A111,AMAPit!$A$10:$AY$125,BR$9,FALSE)-Y111)</f>
        <v>#N/A</v>
      </c>
      <c r="BS111" s="306" t="e">
        <f>IF(Z111="-","-",VLOOKUP($A111,AMAPit!$A$10:$AY$125,BS$9,FALSE)-Z111)</f>
        <v>#N/A</v>
      </c>
      <c r="BT111" s="306" t="e">
        <f>IF(AA111="-","-",VLOOKUP($A111,AMAPit!$A$10:$AY$125,BT$9,FALSE)-AA111)</f>
        <v>#N/A</v>
      </c>
      <c r="BU111" s="306" t="e">
        <f>IF(AB111="-","-",VLOOKUP($A111,AMAPit!$A$10:$AY$125,BU$9,FALSE)-AB111)</f>
        <v>#N/A</v>
      </c>
      <c r="BV111" s="306" t="str">
        <f>IF(AC111="-","-",VLOOKUP($A111,AMAPit!$A$10:$AY$125,BV$9,FALSE)-AC111)</f>
        <v>-</v>
      </c>
      <c r="BW111" s="306" t="str">
        <f>IF(AD111="-","-",VLOOKUP($A111,AMAPit!$A$10:$AY$125,BW$9,FALSE)-AD111)</f>
        <v>-</v>
      </c>
      <c r="BX111" s="306" t="str">
        <f>IF(AE111="-","-",VLOOKUP($A111,AMAPit!$A$10:$AY$125,BX$9,FALSE)-AE111)</f>
        <v>-</v>
      </c>
      <c r="BY111" s="306" t="str">
        <f>IF(AF111="-","-",VLOOKUP($A111,AMAPit!$A$10:$AY$125,BY$9,FALSE)-AF111)</f>
        <v>-</v>
      </c>
      <c r="BZ111" s="306" t="str">
        <f>IF(AG111="-","-",VLOOKUP($A111,AMAPit!$A$10:$AY$125,BZ$9,FALSE)-AG111)</f>
        <v>-</v>
      </c>
      <c r="CA111" s="306" t="str">
        <f>IF(AH111="-","-",VLOOKUP($A111,AMAPit!$A$10:$AY$125,CA$9,FALSE)-AH111)</f>
        <v>-</v>
      </c>
      <c r="CB111" s="306" t="str">
        <f>IF(AI111="-","-",VLOOKUP($A111,AMAPit!$A$10:$AY$125,CB$9,FALSE)-AI111)</f>
        <v>-</v>
      </c>
      <c r="CC111" s="306" t="str">
        <f>IF(AJ111="-","-",VLOOKUP($A111,AMAPit!$A$10:$AY$125,CC$9,FALSE)-AJ111)</f>
        <v>-</v>
      </c>
      <c r="CD111" s="306" t="str">
        <f>IF(AK111="-","-",VLOOKUP($A111,AMAPit!$A$10:$AY$125,CD$9,FALSE)-AK111)</f>
        <v>-</v>
      </c>
      <c r="CE111" s="306" t="str">
        <f>IF(AL111="-","-",VLOOKUP($A111,AMAPit!$A$10:$AY$125,CE$9,FALSE)-AL111)</f>
        <v>-</v>
      </c>
      <c r="CF111" s="306" t="str">
        <f>IF(AM111="-","-",VLOOKUP($A111,AMAPit!$A$10:$AY$125,CF$9,FALSE)-AM111)</f>
        <v>-</v>
      </c>
      <c r="CG111" s="306" t="str">
        <f>IF(AN111="-","-",VLOOKUP($A111,AMAPit!$A$10:$AY$125,CG$9,FALSE)-AN111)</f>
        <v>-</v>
      </c>
      <c r="CH111" s="306" t="str">
        <f>IF(AO111="-","-",VLOOKUP($A111,AMAPit!$A$10:$AY$125,CH$9,FALSE)-AO111)</f>
        <v>-</v>
      </c>
      <c r="CI111" s="306" t="str">
        <f>IF(AP111="-","-",VLOOKUP($A111,AMAPit!$A$10:$AY$125,CI$9,FALSE)-AP111)</f>
        <v>-</v>
      </c>
      <c r="CJ111" s="306" t="str">
        <f>IF(AQ111="-","-",VLOOKUP($A111,AMAPit!$A$10:$AY$125,CJ$9,FALSE)-AQ111)</f>
        <v>-</v>
      </c>
      <c r="CK111" s="306" t="str">
        <f>IF(AR111="-","-",VLOOKUP($A111,AMAPit!$A$10:$AY$125,CK$9,FALSE)-AR111)</f>
        <v>-</v>
      </c>
      <c r="CL111" s="306" t="str">
        <f>IF(AS111="-","-",VLOOKUP($A111,AMAPit!$A$10:$AY$125,CL$9,FALSE)-AS111)</f>
        <v>-</v>
      </c>
      <c r="CM111" s="306" t="str">
        <f>IF(AT111="-","-",VLOOKUP($A111,AMAPit!$A$10:$AY$125,CM$9,FALSE)-AT111)</f>
        <v>-</v>
      </c>
      <c r="CN111" s="305" t="e">
        <f t="shared" si="61"/>
        <v>#N/A</v>
      </c>
    </row>
    <row r="112" spans="1:92" x14ac:dyDescent="0.25">
      <c r="A112" s="305" t="s">
        <v>619</v>
      </c>
      <c r="B112" s="305" t="s">
        <v>534</v>
      </c>
      <c r="C112" s="305"/>
      <c r="D112" s="305" t="s">
        <v>72</v>
      </c>
      <c r="E112" t="s">
        <v>11</v>
      </c>
      <c r="F112" t="s">
        <v>1177</v>
      </c>
      <c r="G112" s="305" t="s">
        <v>1178</v>
      </c>
      <c r="H112" t="s">
        <v>810</v>
      </c>
      <c r="I112" t="s">
        <v>83</v>
      </c>
      <c r="J112" s="388">
        <v>19</v>
      </c>
      <c r="K112" t="s">
        <v>83</v>
      </c>
      <c r="L112" t="s">
        <v>83</v>
      </c>
      <c r="M112" t="s">
        <v>816</v>
      </c>
      <c r="N112" s="388" t="s">
        <v>816</v>
      </c>
      <c r="O112" t="s">
        <v>199</v>
      </c>
      <c r="P112" t="s">
        <v>200</v>
      </c>
      <c r="Q112" s="388">
        <v>2</v>
      </c>
      <c r="R112">
        <v>2</v>
      </c>
      <c r="S112">
        <v>1</v>
      </c>
      <c r="T112" s="388">
        <v>3</v>
      </c>
      <c r="U112">
        <v>2</v>
      </c>
      <c r="V112">
        <v>2</v>
      </c>
      <c r="W112">
        <v>4</v>
      </c>
      <c r="X112">
        <v>5</v>
      </c>
      <c r="Y112">
        <v>1</v>
      </c>
      <c r="Z112">
        <v>1</v>
      </c>
      <c r="AA112">
        <v>3</v>
      </c>
      <c r="AB112">
        <v>4</v>
      </c>
      <c r="AC112" t="s">
        <v>32</v>
      </c>
      <c r="AD112" t="s">
        <v>32</v>
      </c>
      <c r="AE112" t="s">
        <v>32</v>
      </c>
      <c r="AF112" t="s">
        <v>32</v>
      </c>
      <c r="AG112" t="s">
        <v>32</v>
      </c>
      <c r="AH112" t="s">
        <v>32</v>
      </c>
      <c r="AI112" t="s">
        <v>32</v>
      </c>
      <c r="AJ112" t="s">
        <v>32</v>
      </c>
      <c r="AK112" t="s">
        <v>32</v>
      </c>
      <c r="AL112" t="s">
        <v>32</v>
      </c>
      <c r="AM112" t="s">
        <v>32</v>
      </c>
      <c r="AN112" t="s">
        <v>32</v>
      </c>
      <c r="AO112" t="s">
        <v>32</v>
      </c>
      <c r="AP112" t="s">
        <v>32</v>
      </c>
      <c r="AQ112" t="s">
        <v>32</v>
      </c>
      <c r="AR112" s="388" t="s">
        <v>32</v>
      </c>
      <c r="AS112" t="s">
        <v>32</v>
      </c>
      <c r="AT112" t="s">
        <v>32</v>
      </c>
      <c r="AU112" s="388" t="s">
        <v>397</v>
      </c>
      <c r="AV112">
        <v>8</v>
      </c>
      <c r="AW112" s="388" t="s">
        <v>40</v>
      </c>
      <c r="AX112" t="s">
        <v>32</v>
      </c>
      <c r="AY112" s="5" t="s">
        <v>33</v>
      </c>
      <c r="AZ112" s="372" t="s">
        <v>529</v>
      </c>
      <c r="BA112" s="6">
        <f t="shared" si="52"/>
        <v>1.9166666666666667</v>
      </c>
      <c r="BB112" s="9" t="str">
        <f t="shared" si="53"/>
        <v>Minors</v>
      </c>
      <c r="BC112" s="9">
        <f t="shared" si="54"/>
        <v>2.5833333333333335</v>
      </c>
      <c r="BD112" s="9" t="str">
        <f t="shared" si="55"/>
        <v>Minors</v>
      </c>
      <c r="BE112" s="9">
        <f t="shared" si="56"/>
        <v>2.5833333333333335</v>
      </c>
      <c r="BF112" s="9" t="str">
        <f t="shared" si="57"/>
        <v>Minors</v>
      </c>
      <c r="BG112" s="77">
        <f t="shared" si="58"/>
        <v>3</v>
      </c>
      <c r="BH112" s="76">
        <f t="shared" si="59"/>
        <v>0</v>
      </c>
      <c r="BI112" s="305" t="str">
        <f t="shared" si="60"/>
        <v/>
      </c>
      <c r="BJ112" s="306" t="e">
        <f>IF(Q112="-","-",VLOOKUP($A112,AMAPit!$A$10:$AY$125,BJ$9,FALSE)-Q112)</f>
        <v>#N/A</v>
      </c>
      <c r="BK112" s="306" t="e">
        <f>IF(R112="-","-",VLOOKUP($A112,AMAPit!$A$10:$AY$125,BK$9,FALSE)-R112)</f>
        <v>#N/A</v>
      </c>
      <c r="BL112" s="306" t="e">
        <f>IF(S112="-","-",VLOOKUP($A112,AMAPit!$A$10:$AY$125,BL$9,FALSE)-S112)</f>
        <v>#N/A</v>
      </c>
      <c r="BM112" s="306" t="e">
        <f>IF(T112="-","-",VLOOKUP($A112,AMAPit!$A$10:$AY$125,BM$9,FALSE)-T112)</f>
        <v>#N/A</v>
      </c>
      <c r="BN112" s="306" t="e">
        <f>IF(U112="-","-",VLOOKUP($A112,AMAPit!$A$10:$AY$125,BN$9,FALSE)-U112)</f>
        <v>#N/A</v>
      </c>
      <c r="BO112" s="306" t="e">
        <f>IF(V112="-","-",VLOOKUP($A112,AMAPit!$A$10:$AY$125,BO$9,FALSE)-V112)</f>
        <v>#N/A</v>
      </c>
      <c r="BP112" s="306" t="e">
        <f>IF(W112="-","-",VLOOKUP($A112,AMAPit!$A$10:$AY$125,BP$9,FALSE)-W112)</f>
        <v>#N/A</v>
      </c>
      <c r="BQ112" s="306" t="e">
        <f>IF(X112="-","-",VLOOKUP($A112,AMAPit!$A$10:$AY$125,BQ$9,FALSE)-X112)</f>
        <v>#N/A</v>
      </c>
      <c r="BR112" s="306" t="e">
        <f>IF(Y112="-","-",VLOOKUP($A112,AMAPit!$A$10:$AY$125,BR$9,FALSE)-Y112)</f>
        <v>#N/A</v>
      </c>
      <c r="BS112" s="306" t="e">
        <f>IF(Z112="-","-",VLOOKUP($A112,AMAPit!$A$10:$AY$125,BS$9,FALSE)-Z112)</f>
        <v>#N/A</v>
      </c>
      <c r="BT112" s="306" t="e">
        <f>IF(AA112="-","-",VLOOKUP($A112,AMAPit!$A$10:$AY$125,BT$9,FALSE)-AA112)</f>
        <v>#N/A</v>
      </c>
      <c r="BU112" s="306" t="e">
        <f>IF(AB112="-","-",VLOOKUP($A112,AMAPit!$A$10:$AY$125,BU$9,FALSE)-AB112)</f>
        <v>#N/A</v>
      </c>
      <c r="BV112" s="306" t="str">
        <f>IF(AC112="-","-",VLOOKUP($A112,AMAPit!$A$10:$AY$125,BV$9,FALSE)-AC112)</f>
        <v>-</v>
      </c>
      <c r="BW112" s="306" t="str">
        <f>IF(AD112="-","-",VLOOKUP($A112,AMAPit!$A$10:$AY$125,BW$9,FALSE)-AD112)</f>
        <v>-</v>
      </c>
      <c r="BX112" s="306" t="str">
        <f>IF(AE112="-","-",VLOOKUP($A112,AMAPit!$A$10:$AY$125,BX$9,FALSE)-AE112)</f>
        <v>-</v>
      </c>
      <c r="BY112" s="306" t="str">
        <f>IF(AF112="-","-",VLOOKUP($A112,AMAPit!$A$10:$AY$125,BY$9,FALSE)-AF112)</f>
        <v>-</v>
      </c>
      <c r="BZ112" s="306" t="str">
        <f>IF(AG112="-","-",VLOOKUP($A112,AMAPit!$A$10:$AY$125,BZ$9,FALSE)-AG112)</f>
        <v>-</v>
      </c>
      <c r="CA112" s="306" t="str">
        <f>IF(AH112="-","-",VLOOKUP($A112,AMAPit!$A$10:$AY$125,CA$9,FALSE)-AH112)</f>
        <v>-</v>
      </c>
      <c r="CB112" s="306" t="str">
        <f>IF(AI112="-","-",VLOOKUP($A112,AMAPit!$A$10:$AY$125,CB$9,FALSE)-AI112)</f>
        <v>-</v>
      </c>
      <c r="CC112" s="306" t="str">
        <f>IF(AJ112="-","-",VLOOKUP($A112,AMAPit!$A$10:$AY$125,CC$9,FALSE)-AJ112)</f>
        <v>-</v>
      </c>
      <c r="CD112" s="306" t="str">
        <f>IF(AK112="-","-",VLOOKUP($A112,AMAPit!$A$10:$AY$125,CD$9,FALSE)-AK112)</f>
        <v>-</v>
      </c>
      <c r="CE112" s="306" t="str">
        <f>IF(AL112="-","-",VLOOKUP($A112,AMAPit!$A$10:$AY$125,CE$9,FALSE)-AL112)</f>
        <v>-</v>
      </c>
      <c r="CF112" s="306" t="str">
        <f>IF(AM112="-","-",VLOOKUP($A112,AMAPit!$A$10:$AY$125,CF$9,FALSE)-AM112)</f>
        <v>-</v>
      </c>
      <c r="CG112" s="306" t="str">
        <f>IF(AN112="-","-",VLOOKUP($A112,AMAPit!$A$10:$AY$125,CG$9,FALSE)-AN112)</f>
        <v>-</v>
      </c>
      <c r="CH112" s="306" t="str">
        <f>IF(AO112="-","-",VLOOKUP($A112,AMAPit!$A$10:$AY$125,CH$9,FALSE)-AO112)</f>
        <v>-</v>
      </c>
      <c r="CI112" s="306" t="str">
        <f>IF(AP112="-","-",VLOOKUP($A112,AMAPit!$A$10:$AY$125,CI$9,FALSE)-AP112)</f>
        <v>-</v>
      </c>
      <c r="CJ112" s="306" t="str">
        <f>IF(AQ112="-","-",VLOOKUP($A112,AMAPit!$A$10:$AY$125,CJ$9,FALSE)-AQ112)</f>
        <v>-</v>
      </c>
      <c r="CK112" s="306" t="str">
        <f>IF(AR112="-","-",VLOOKUP($A112,AMAPit!$A$10:$AY$125,CK$9,FALSE)-AR112)</f>
        <v>-</v>
      </c>
      <c r="CL112" s="306" t="str">
        <f>IF(AS112="-","-",VLOOKUP($A112,AMAPit!$A$10:$AY$125,CL$9,FALSE)-AS112)</f>
        <v>-</v>
      </c>
      <c r="CM112" s="306" t="str">
        <f>IF(AT112="-","-",VLOOKUP($A112,AMAPit!$A$10:$AY$125,CM$9,FALSE)-AT112)</f>
        <v>-</v>
      </c>
      <c r="CN112" s="305" t="e">
        <f t="shared" si="61"/>
        <v>#N/A</v>
      </c>
    </row>
    <row r="113" spans="1:92" x14ac:dyDescent="0.25">
      <c r="A113" s="305" t="s">
        <v>537</v>
      </c>
      <c r="B113" s="305" t="s">
        <v>534</v>
      </c>
      <c r="C113" s="305"/>
      <c r="D113" s="305" t="s">
        <v>81</v>
      </c>
      <c r="E113" t="s">
        <v>87</v>
      </c>
      <c r="F113" t="s">
        <v>444</v>
      </c>
      <c r="G113" s="305" t="s">
        <v>965</v>
      </c>
      <c r="H113" t="s">
        <v>763</v>
      </c>
      <c r="I113" t="s">
        <v>16</v>
      </c>
      <c r="J113" s="388">
        <v>19</v>
      </c>
      <c r="K113" t="s">
        <v>83</v>
      </c>
      <c r="L113" t="s">
        <v>83</v>
      </c>
      <c r="M113" t="s">
        <v>816</v>
      </c>
      <c r="N113" s="388" t="s">
        <v>816</v>
      </c>
      <c r="O113" t="s">
        <v>201</v>
      </c>
      <c r="P113" t="s">
        <v>201</v>
      </c>
      <c r="Q113" s="388">
        <v>2</v>
      </c>
      <c r="R113">
        <v>2</v>
      </c>
      <c r="S113">
        <v>1</v>
      </c>
      <c r="T113" s="388">
        <v>3</v>
      </c>
      <c r="U113">
        <v>2</v>
      </c>
      <c r="V113">
        <v>2</v>
      </c>
      <c r="W113">
        <v>4</v>
      </c>
      <c r="X113">
        <v>5</v>
      </c>
      <c r="Y113">
        <v>4</v>
      </c>
      <c r="Z113">
        <v>5</v>
      </c>
      <c r="AA113" t="s">
        <v>32</v>
      </c>
      <c r="AB113" t="s">
        <v>32</v>
      </c>
      <c r="AC113">
        <v>2</v>
      </c>
      <c r="AD113">
        <v>5</v>
      </c>
      <c r="AE113" t="s">
        <v>32</v>
      </c>
      <c r="AF113" t="s">
        <v>32</v>
      </c>
      <c r="AG113" t="s">
        <v>32</v>
      </c>
      <c r="AH113" t="s">
        <v>32</v>
      </c>
      <c r="AI113" t="s">
        <v>32</v>
      </c>
      <c r="AJ113" t="s">
        <v>32</v>
      </c>
      <c r="AK113" t="s">
        <v>32</v>
      </c>
      <c r="AL113" t="s">
        <v>32</v>
      </c>
      <c r="AM113" t="s">
        <v>32</v>
      </c>
      <c r="AN113" t="s">
        <v>32</v>
      </c>
      <c r="AO113" t="s">
        <v>32</v>
      </c>
      <c r="AP113" t="s">
        <v>32</v>
      </c>
      <c r="AQ113" t="s">
        <v>32</v>
      </c>
      <c r="AR113" s="388" t="s">
        <v>32</v>
      </c>
      <c r="AS113" t="s">
        <v>32</v>
      </c>
      <c r="AT113" t="s">
        <v>32</v>
      </c>
      <c r="AU113" s="388" t="s">
        <v>397</v>
      </c>
      <c r="AV113">
        <v>6</v>
      </c>
      <c r="AW113" s="388" t="s">
        <v>393</v>
      </c>
      <c r="AX113" t="s">
        <v>32</v>
      </c>
      <c r="AY113" s="5">
        <v>0</v>
      </c>
      <c r="AZ113" s="372" t="s">
        <v>199</v>
      </c>
      <c r="BA113" s="6">
        <f t="shared" si="52"/>
        <v>1.9166666666666667</v>
      </c>
      <c r="BB113" s="9" t="str">
        <f t="shared" si="53"/>
        <v>Minors</v>
      </c>
      <c r="BC113" s="9">
        <f t="shared" si="54"/>
        <v>2.5833333333333335</v>
      </c>
      <c r="BD113" s="9" t="str">
        <f t="shared" si="55"/>
        <v>Minors</v>
      </c>
      <c r="BE113" s="9">
        <f t="shared" si="56"/>
        <v>2.5833333333333335</v>
      </c>
      <c r="BF113" s="9" t="str">
        <f t="shared" si="57"/>
        <v>Minors</v>
      </c>
      <c r="BG113" s="77">
        <f t="shared" si="58"/>
        <v>3</v>
      </c>
      <c r="BH113" s="76">
        <f t="shared" si="59"/>
        <v>0</v>
      </c>
      <c r="BI113" s="305" t="str">
        <f t="shared" si="60"/>
        <v/>
      </c>
      <c r="BJ113" s="306" t="e">
        <f>IF(Q113="-","-",VLOOKUP($A113,AMAPit!$A$10:$AY$125,BJ$9,FALSE)-Q113)</f>
        <v>#N/A</v>
      </c>
      <c r="BK113" s="306" t="e">
        <f>IF(R113="-","-",VLOOKUP($A113,AMAPit!$A$10:$AY$125,BK$9,FALSE)-R113)</f>
        <v>#N/A</v>
      </c>
      <c r="BL113" s="306" t="e">
        <f>IF(S113="-","-",VLOOKUP($A113,AMAPit!$A$10:$AY$125,BL$9,FALSE)-S113)</f>
        <v>#N/A</v>
      </c>
      <c r="BM113" s="306" t="e">
        <f>IF(T113="-","-",VLOOKUP($A113,AMAPit!$A$10:$AY$125,BM$9,FALSE)-T113)</f>
        <v>#N/A</v>
      </c>
      <c r="BN113" s="306" t="e">
        <f>IF(U113="-","-",VLOOKUP($A113,AMAPit!$A$10:$AY$125,BN$9,FALSE)-U113)</f>
        <v>#N/A</v>
      </c>
      <c r="BO113" s="306" t="e">
        <f>IF(V113="-","-",VLOOKUP($A113,AMAPit!$A$10:$AY$125,BO$9,FALSE)-V113)</f>
        <v>#N/A</v>
      </c>
      <c r="BP113" s="306" t="e">
        <f>IF(W113="-","-",VLOOKUP($A113,AMAPit!$A$10:$AY$125,BP$9,FALSE)-W113)</f>
        <v>#N/A</v>
      </c>
      <c r="BQ113" s="306" t="e">
        <f>IF(X113="-","-",VLOOKUP($A113,AMAPit!$A$10:$AY$125,BQ$9,FALSE)-X113)</f>
        <v>#N/A</v>
      </c>
      <c r="BR113" s="306" t="e">
        <f>IF(Y113="-","-",VLOOKUP($A113,AMAPit!$A$10:$AY$125,BR$9,FALSE)-Y113)</f>
        <v>#N/A</v>
      </c>
      <c r="BS113" s="306" t="e">
        <f>IF(Z113="-","-",VLOOKUP($A113,AMAPit!$A$10:$AY$125,BS$9,FALSE)-Z113)</f>
        <v>#N/A</v>
      </c>
      <c r="BT113" s="306" t="str">
        <f>IF(AA113="-","-",VLOOKUP($A113,AMAPit!$A$10:$AY$125,BT$9,FALSE)-AA113)</f>
        <v>-</v>
      </c>
      <c r="BU113" s="306" t="str">
        <f>IF(AB113="-","-",VLOOKUP($A113,AMAPit!$A$10:$AY$125,BU$9,FALSE)-AB113)</f>
        <v>-</v>
      </c>
      <c r="BV113" s="306" t="e">
        <f>IF(AC113="-","-",VLOOKUP($A113,AMAPit!$A$10:$AY$125,BV$9,FALSE)-AC113)</f>
        <v>#N/A</v>
      </c>
      <c r="BW113" s="306" t="e">
        <f>IF(AD113="-","-",VLOOKUP($A113,AMAPit!$A$10:$AY$125,BW$9,FALSE)-AD113)</f>
        <v>#N/A</v>
      </c>
      <c r="BX113" s="306" t="str">
        <f>IF(AE113="-","-",VLOOKUP($A113,AMAPit!$A$10:$AY$125,BX$9,FALSE)-AE113)</f>
        <v>-</v>
      </c>
      <c r="BY113" s="306" t="str">
        <f>IF(AF113="-","-",VLOOKUP($A113,AMAPit!$A$10:$AY$125,BY$9,FALSE)-AF113)</f>
        <v>-</v>
      </c>
      <c r="BZ113" s="306" t="str">
        <f>IF(AG113="-","-",VLOOKUP($A113,AMAPit!$A$10:$AY$125,BZ$9,FALSE)-AG113)</f>
        <v>-</v>
      </c>
      <c r="CA113" s="306" t="str">
        <f>IF(AH113="-","-",VLOOKUP($A113,AMAPit!$A$10:$AY$125,CA$9,FALSE)-AH113)</f>
        <v>-</v>
      </c>
      <c r="CB113" s="306" t="str">
        <f>IF(AI113="-","-",VLOOKUP($A113,AMAPit!$A$10:$AY$125,CB$9,FALSE)-AI113)</f>
        <v>-</v>
      </c>
      <c r="CC113" s="306" t="str">
        <f>IF(AJ113="-","-",VLOOKUP($A113,AMAPit!$A$10:$AY$125,CC$9,FALSE)-AJ113)</f>
        <v>-</v>
      </c>
      <c r="CD113" s="306" t="str">
        <f>IF(AK113="-","-",VLOOKUP($A113,AMAPit!$A$10:$AY$125,CD$9,FALSE)-AK113)</f>
        <v>-</v>
      </c>
      <c r="CE113" s="306" t="str">
        <f>IF(AL113="-","-",VLOOKUP($A113,AMAPit!$A$10:$AY$125,CE$9,FALSE)-AL113)</f>
        <v>-</v>
      </c>
      <c r="CF113" s="306" t="str">
        <f>IF(AM113="-","-",VLOOKUP($A113,AMAPit!$A$10:$AY$125,CF$9,FALSE)-AM113)</f>
        <v>-</v>
      </c>
      <c r="CG113" s="306" t="str">
        <f>IF(AN113="-","-",VLOOKUP($A113,AMAPit!$A$10:$AY$125,CG$9,FALSE)-AN113)</f>
        <v>-</v>
      </c>
      <c r="CH113" s="306" t="str">
        <f>IF(AO113="-","-",VLOOKUP($A113,AMAPit!$A$10:$AY$125,CH$9,FALSE)-AO113)</f>
        <v>-</v>
      </c>
      <c r="CI113" s="306" t="str">
        <f>IF(AP113="-","-",VLOOKUP($A113,AMAPit!$A$10:$AY$125,CI$9,FALSE)-AP113)</f>
        <v>-</v>
      </c>
      <c r="CJ113" s="306" t="str">
        <f>IF(AQ113="-","-",VLOOKUP($A113,AMAPit!$A$10:$AY$125,CJ$9,FALSE)-AQ113)</f>
        <v>-</v>
      </c>
      <c r="CK113" s="306" t="str">
        <f>IF(AR113="-","-",VLOOKUP($A113,AMAPit!$A$10:$AY$125,CK$9,FALSE)-AR113)</f>
        <v>-</v>
      </c>
      <c r="CL113" s="306" t="str">
        <f>IF(AS113="-","-",VLOOKUP($A113,AMAPit!$A$10:$AY$125,CL$9,FALSE)-AS113)</f>
        <v>-</v>
      </c>
      <c r="CM113" s="306" t="str">
        <f>IF(AT113="-","-",VLOOKUP($A113,AMAPit!$A$10:$AY$125,CM$9,FALSE)-AT113)</f>
        <v>-</v>
      </c>
      <c r="CN113" s="305" t="e">
        <f t="shared" si="61"/>
        <v>#N/A</v>
      </c>
    </row>
    <row r="114" spans="1:92" x14ac:dyDescent="0.25">
      <c r="A114" s="305" t="s">
        <v>617</v>
      </c>
      <c r="B114" s="305" t="s">
        <v>534</v>
      </c>
      <c r="C114" s="305"/>
      <c r="D114" s="305" t="s">
        <v>81</v>
      </c>
      <c r="E114" t="s">
        <v>87</v>
      </c>
      <c r="F114" t="s">
        <v>957</v>
      </c>
      <c r="G114" s="305" t="s">
        <v>467</v>
      </c>
      <c r="H114" t="s">
        <v>763</v>
      </c>
      <c r="I114" t="s">
        <v>16</v>
      </c>
      <c r="J114" s="388">
        <v>17</v>
      </c>
      <c r="K114" t="s">
        <v>85</v>
      </c>
      <c r="L114" t="s">
        <v>83</v>
      </c>
      <c r="M114" t="s">
        <v>816</v>
      </c>
      <c r="N114" s="388" t="s">
        <v>816</v>
      </c>
      <c r="O114" t="s">
        <v>201</v>
      </c>
      <c r="P114" t="s">
        <v>201</v>
      </c>
      <c r="Q114" s="388">
        <v>1</v>
      </c>
      <c r="R114">
        <v>2</v>
      </c>
      <c r="S114">
        <v>1</v>
      </c>
      <c r="T114" s="388">
        <v>3</v>
      </c>
      <c r="U114">
        <v>2</v>
      </c>
      <c r="V114">
        <v>4</v>
      </c>
      <c r="W114" t="s">
        <v>32</v>
      </c>
      <c r="X114" t="s">
        <v>32</v>
      </c>
      <c r="Y114" t="s">
        <v>32</v>
      </c>
      <c r="Z114" t="s">
        <v>32</v>
      </c>
      <c r="AA114">
        <v>1</v>
      </c>
      <c r="AB114">
        <v>5</v>
      </c>
      <c r="AC114">
        <v>2</v>
      </c>
      <c r="AD114">
        <v>5</v>
      </c>
      <c r="AE114" t="s">
        <v>32</v>
      </c>
      <c r="AF114" t="s">
        <v>32</v>
      </c>
      <c r="AG114" t="s">
        <v>32</v>
      </c>
      <c r="AH114" t="s">
        <v>32</v>
      </c>
      <c r="AI114">
        <v>3</v>
      </c>
      <c r="AJ114">
        <v>5</v>
      </c>
      <c r="AK114">
        <v>2</v>
      </c>
      <c r="AL114">
        <v>3</v>
      </c>
      <c r="AM114" t="s">
        <v>32</v>
      </c>
      <c r="AN114" t="s">
        <v>32</v>
      </c>
      <c r="AO114" t="s">
        <v>32</v>
      </c>
      <c r="AP114" t="s">
        <v>32</v>
      </c>
      <c r="AQ114" t="s">
        <v>32</v>
      </c>
      <c r="AR114" s="388" t="s">
        <v>32</v>
      </c>
      <c r="AS114" t="s">
        <v>32</v>
      </c>
      <c r="AT114" t="s">
        <v>32</v>
      </c>
      <c r="AU114" s="388" t="s">
        <v>0</v>
      </c>
      <c r="AV114">
        <v>6</v>
      </c>
      <c r="AW114" s="388" t="s">
        <v>393</v>
      </c>
      <c r="AX114" t="s">
        <v>32</v>
      </c>
      <c r="AY114" s="5" t="s">
        <v>33</v>
      </c>
      <c r="AZ114" s="372" t="s">
        <v>199</v>
      </c>
      <c r="BA114" s="6">
        <f t="shared" si="52"/>
        <v>1.8333333333333333</v>
      </c>
      <c r="BB114" s="9" t="str">
        <f t="shared" si="53"/>
        <v>Minors</v>
      </c>
      <c r="BC114" s="9">
        <f t="shared" si="54"/>
        <v>3.5</v>
      </c>
      <c r="BD114" s="9" t="str">
        <f t="shared" si="55"/>
        <v>Minors</v>
      </c>
      <c r="BE114" s="9">
        <f t="shared" si="56"/>
        <v>3.5</v>
      </c>
      <c r="BF114" s="9" t="str">
        <f t="shared" si="57"/>
        <v>Minors</v>
      </c>
      <c r="BG114" s="77">
        <f t="shared" si="58"/>
        <v>4</v>
      </c>
      <c r="BH114" s="76">
        <f t="shared" si="59"/>
        <v>0</v>
      </c>
      <c r="BI114" s="305" t="str">
        <f t="shared" si="60"/>
        <v/>
      </c>
      <c r="BJ114" s="306" t="e">
        <f>IF(Q114="-","-",VLOOKUP($A114,AMAPit!$A$10:$AY$125,BJ$9,FALSE)-Q114)</f>
        <v>#N/A</v>
      </c>
      <c r="BK114" s="306" t="e">
        <f>IF(R114="-","-",VLOOKUP($A114,AMAPit!$A$10:$AY$125,BK$9,FALSE)-R114)</f>
        <v>#N/A</v>
      </c>
      <c r="BL114" s="306" t="e">
        <f>IF(S114="-","-",VLOOKUP($A114,AMAPit!$A$10:$AY$125,BL$9,FALSE)-S114)</f>
        <v>#N/A</v>
      </c>
      <c r="BM114" s="306" t="e">
        <f>IF(T114="-","-",VLOOKUP($A114,AMAPit!$A$10:$AY$125,BM$9,FALSE)-T114)</f>
        <v>#N/A</v>
      </c>
      <c r="BN114" s="306" t="e">
        <f>IF(U114="-","-",VLOOKUP($A114,AMAPit!$A$10:$AY$125,BN$9,FALSE)-U114)</f>
        <v>#N/A</v>
      </c>
      <c r="BO114" s="306" t="e">
        <f>IF(V114="-","-",VLOOKUP($A114,AMAPit!$A$10:$AY$125,BO$9,FALSE)-V114)</f>
        <v>#N/A</v>
      </c>
      <c r="BP114" s="306" t="str">
        <f>IF(W114="-","-",VLOOKUP($A114,AMAPit!$A$10:$AY$125,BP$9,FALSE)-W114)</f>
        <v>-</v>
      </c>
      <c r="BQ114" s="306" t="str">
        <f>IF(X114="-","-",VLOOKUP($A114,AMAPit!$A$10:$AY$125,BQ$9,FALSE)-X114)</f>
        <v>-</v>
      </c>
      <c r="BR114" s="306" t="str">
        <f>IF(Y114="-","-",VLOOKUP($A114,AMAPit!$A$10:$AY$125,BR$9,FALSE)-Y114)</f>
        <v>-</v>
      </c>
      <c r="BS114" s="306" t="str">
        <f>IF(Z114="-","-",VLOOKUP($A114,AMAPit!$A$10:$AY$125,BS$9,FALSE)-Z114)</f>
        <v>-</v>
      </c>
      <c r="BT114" s="306" t="e">
        <f>IF(AA114="-","-",VLOOKUP($A114,AMAPit!$A$10:$AY$125,BT$9,FALSE)-AA114)</f>
        <v>#N/A</v>
      </c>
      <c r="BU114" s="306" t="e">
        <f>IF(AB114="-","-",VLOOKUP($A114,AMAPit!$A$10:$AY$125,BU$9,FALSE)-AB114)</f>
        <v>#N/A</v>
      </c>
      <c r="BV114" s="306" t="e">
        <f>IF(AC114="-","-",VLOOKUP($A114,AMAPit!$A$10:$AY$125,BV$9,FALSE)-AC114)</f>
        <v>#N/A</v>
      </c>
      <c r="BW114" s="306" t="e">
        <f>IF(AD114="-","-",VLOOKUP($A114,AMAPit!$A$10:$AY$125,BW$9,FALSE)-AD114)</f>
        <v>#N/A</v>
      </c>
      <c r="BX114" s="306" t="str">
        <f>IF(AE114="-","-",VLOOKUP($A114,AMAPit!$A$10:$AY$125,BX$9,FALSE)-AE114)</f>
        <v>-</v>
      </c>
      <c r="BY114" s="306" t="str">
        <f>IF(AF114="-","-",VLOOKUP($A114,AMAPit!$A$10:$AY$125,BY$9,FALSE)-AF114)</f>
        <v>-</v>
      </c>
      <c r="BZ114" s="306" t="str">
        <f>IF(AG114="-","-",VLOOKUP($A114,AMAPit!$A$10:$AY$125,BZ$9,FALSE)-AG114)</f>
        <v>-</v>
      </c>
      <c r="CA114" s="306" t="str">
        <f>IF(AH114="-","-",VLOOKUP($A114,AMAPit!$A$10:$AY$125,CA$9,FALSE)-AH114)</f>
        <v>-</v>
      </c>
      <c r="CB114" s="306" t="e">
        <f>IF(AI114="-","-",VLOOKUP($A114,AMAPit!$A$10:$AY$125,CB$9,FALSE)-AI114)</f>
        <v>#N/A</v>
      </c>
      <c r="CC114" s="306" t="e">
        <f>IF(AJ114="-","-",VLOOKUP($A114,AMAPit!$A$10:$AY$125,CC$9,FALSE)-AJ114)</f>
        <v>#N/A</v>
      </c>
      <c r="CD114" s="306" t="e">
        <f>IF(AK114="-","-",VLOOKUP($A114,AMAPit!$A$10:$AY$125,CD$9,FALSE)-AK114)</f>
        <v>#N/A</v>
      </c>
      <c r="CE114" s="306" t="e">
        <f>IF(AL114="-","-",VLOOKUP($A114,AMAPit!$A$10:$AY$125,CE$9,FALSE)-AL114)</f>
        <v>#N/A</v>
      </c>
      <c r="CF114" s="306" t="str">
        <f>IF(AM114="-","-",VLOOKUP($A114,AMAPit!$A$10:$AY$125,CF$9,FALSE)-AM114)</f>
        <v>-</v>
      </c>
      <c r="CG114" s="306" t="str">
        <f>IF(AN114="-","-",VLOOKUP($A114,AMAPit!$A$10:$AY$125,CG$9,FALSE)-AN114)</f>
        <v>-</v>
      </c>
      <c r="CH114" s="306" t="str">
        <f>IF(AO114="-","-",VLOOKUP($A114,AMAPit!$A$10:$AY$125,CH$9,FALSE)-AO114)</f>
        <v>-</v>
      </c>
      <c r="CI114" s="306" t="str">
        <f>IF(AP114="-","-",VLOOKUP($A114,AMAPit!$A$10:$AY$125,CI$9,FALSE)-AP114)</f>
        <v>-</v>
      </c>
      <c r="CJ114" s="306" t="str">
        <f>IF(AQ114="-","-",VLOOKUP($A114,AMAPit!$A$10:$AY$125,CJ$9,FALSE)-AQ114)</f>
        <v>-</v>
      </c>
      <c r="CK114" s="306" t="str">
        <f>IF(AR114="-","-",VLOOKUP($A114,AMAPit!$A$10:$AY$125,CK$9,FALSE)-AR114)</f>
        <v>-</v>
      </c>
      <c r="CL114" s="306" t="str">
        <f>IF(AS114="-","-",VLOOKUP($A114,AMAPit!$A$10:$AY$125,CL$9,FALSE)-AS114)</f>
        <v>-</v>
      </c>
      <c r="CM114" s="306" t="str">
        <f>IF(AT114="-","-",VLOOKUP($A114,AMAPit!$A$10:$AY$125,CM$9,FALSE)-AT114)</f>
        <v>-</v>
      </c>
      <c r="CN114" s="305" t="e">
        <f t="shared" si="61"/>
        <v>#N/A</v>
      </c>
    </row>
    <row r="115" spans="1:92" x14ac:dyDescent="0.25">
      <c r="A115" s="305" t="s">
        <v>618</v>
      </c>
      <c r="B115" s="305" t="s">
        <v>534</v>
      </c>
      <c r="C115" s="305"/>
      <c r="D115" s="305" t="s">
        <v>81</v>
      </c>
      <c r="E115" t="s">
        <v>87</v>
      </c>
      <c r="F115" t="s">
        <v>1003</v>
      </c>
      <c r="G115" s="305" t="s">
        <v>405</v>
      </c>
      <c r="H115" t="s">
        <v>763</v>
      </c>
      <c r="I115" t="s">
        <v>16</v>
      </c>
      <c r="J115" s="388">
        <v>16</v>
      </c>
      <c r="K115" t="s">
        <v>83</v>
      </c>
      <c r="L115" t="s">
        <v>83</v>
      </c>
      <c r="M115" t="s">
        <v>816</v>
      </c>
      <c r="N115" s="388" t="s">
        <v>816</v>
      </c>
      <c r="O115" t="s">
        <v>201</v>
      </c>
      <c r="P115" t="s">
        <v>200</v>
      </c>
      <c r="Q115" s="388">
        <v>1</v>
      </c>
      <c r="R115">
        <v>2</v>
      </c>
      <c r="S115">
        <v>1</v>
      </c>
      <c r="T115" s="388">
        <v>4</v>
      </c>
      <c r="U115">
        <v>2</v>
      </c>
      <c r="V115">
        <v>2</v>
      </c>
      <c r="W115">
        <v>3</v>
      </c>
      <c r="X115">
        <v>5</v>
      </c>
      <c r="Y115">
        <v>1</v>
      </c>
      <c r="Z115">
        <v>1</v>
      </c>
      <c r="AA115" t="s">
        <v>32</v>
      </c>
      <c r="AB115" t="s">
        <v>32</v>
      </c>
      <c r="AC115">
        <v>2</v>
      </c>
      <c r="AD115">
        <v>5</v>
      </c>
      <c r="AE115" t="s">
        <v>32</v>
      </c>
      <c r="AF115" t="s">
        <v>32</v>
      </c>
      <c r="AG115" t="s">
        <v>32</v>
      </c>
      <c r="AH115" t="s">
        <v>32</v>
      </c>
      <c r="AI115" t="s">
        <v>32</v>
      </c>
      <c r="AJ115" t="s">
        <v>32</v>
      </c>
      <c r="AK115">
        <v>3</v>
      </c>
      <c r="AL115">
        <v>5</v>
      </c>
      <c r="AM115" t="s">
        <v>32</v>
      </c>
      <c r="AN115" t="s">
        <v>32</v>
      </c>
      <c r="AO115" t="s">
        <v>32</v>
      </c>
      <c r="AP115" t="s">
        <v>32</v>
      </c>
      <c r="AQ115" t="s">
        <v>32</v>
      </c>
      <c r="AR115" s="388" t="s">
        <v>32</v>
      </c>
      <c r="AS115" t="s">
        <v>32</v>
      </c>
      <c r="AT115" t="s">
        <v>32</v>
      </c>
      <c r="AU115" s="388" t="s">
        <v>397</v>
      </c>
      <c r="AV115">
        <v>6</v>
      </c>
      <c r="AW115" s="388" t="s">
        <v>393</v>
      </c>
      <c r="AX115" t="s">
        <v>32</v>
      </c>
      <c r="AY115" s="5" t="s">
        <v>33</v>
      </c>
      <c r="AZ115" s="372" t="s">
        <v>199</v>
      </c>
      <c r="BA115" s="6">
        <f t="shared" si="52"/>
        <v>1.8333333333333333</v>
      </c>
      <c r="BB115" s="9" t="str">
        <f t="shared" si="53"/>
        <v>Minors</v>
      </c>
      <c r="BC115" s="9">
        <f t="shared" si="54"/>
        <v>3.1666666666666665</v>
      </c>
      <c r="BD115" s="9" t="str">
        <f t="shared" si="55"/>
        <v>Minors</v>
      </c>
      <c r="BE115" s="9">
        <f t="shared" si="56"/>
        <v>3.1666666666666665</v>
      </c>
      <c r="BF115" s="9" t="str">
        <f t="shared" si="57"/>
        <v>Minors</v>
      </c>
      <c r="BG115" s="77">
        <f t="shared" si="58"/>
        <v>4</v>
      </c>
      <c r="BH115" s="76">
        <f t="shared" si="59"/>
        <v>0</v>
      </c>
      <c r="BI115" s="305" t="str">
        <f t="shared" si="60"/>
        <v/>
      </c>
      <c r="BJ115" s="306" t="e">
        <f>IF(Q115="-","-",VLOOKUP($A115,AMAPit!$A$10:$AY$125,BJ$9,FALSE)-Q115)</f>
        <v>#N/A</v>
      </c>
      <c r="BK115" s="306" t="e">
        <f>IF(R115="-","-",VLOOKUP($A115,AMAPit!$A$10:$AY$125,BK$9,FALSE)-R115)</f>
        <v>#N/A</v>
      </c>
      <c r="BL115" s="306" t="e">
        <f>IF(S115="-","-",VLOOKUP($A115,AMAPit!$A$10:$AY$125,BL$9,FALSE)-S115)</f>
        <v>#N/A</v>
      </c>
      <c r="BM115" s="306" t="e">
        <f>IF(T115="-","-",VLOOKUP($A115,AMAPit!$A$10:$AY$125,BM$9,FALSE)-T115)</f>
        <v>#N/A</v>
      </c>
      <c r="BN115" s="306" t="e">
        <f>IF(U115="-","-",VLOOKUP($A115,AMAPit!$A$10:$AY$125,BN$9,FALSE)-U115)</f>
        <v>#N/A</v>
      </c>
      <c r="BO115" s="306" t="e">
        <f>IF(V115="-","-",VLOOKUP($A115,AMAPit!$A$10:$AY$125,BO$9,FALSE)-V115)</f>
        <v>#N/A</v>
      </c>
      <c r="BP115" s="306" t="e">
        <f>IF(W115="-","-",VLOOKUP($A115,AMAPit!$A$10:$AY$125,BP$9,FALSE)-W115)</f>
        <v>#N/A</v>
      </c>
      <c r="BQ115" s="306" t="e">
        <f>IF(X115="-","-",VLOOKUP($A115,AMAPit!$A$10:$AY$125,BQ$9,FALSE)-X115)</f>
        <v>#N/A</v>
      </c>
      <c r="BR115" s="306" t="e">
        <f>IF(Y115="-","-",VLOOKUP($A115,AMAPit!$A$10:$AY$125,BR$9,FALSE)-Y115)</f>
        <v>#N/A</v>
      </c>
      <c r="BS115" s="306" t="e">
        <f>IF(Z115="-","-",VLOOKUP($A115,AMAPit!$A$10:$AY$125,BS$9,FALSE)-Z115)</f>
        <v>#N/A</v>
      </c>
      <c r="BT115" s="306" t="str">
        <f>IF(AA115="-","-",VLOOKUP($A115,AMAPit!$A$10:$AY$125,BT$9,FALSE)-AA115)</f>
        <v>-</v>
      </c>
      <c r="BU115" s="306" t="str">
        <f>IF(AB115="-","-",VLOOKUP($A115,AMAPit!$A$10:$AY$125,BU$9,FALSE)-AB115)</f>
        <v>-</v>
      </c>
      <c r="BV115" s="306" t="e">
        <f>IF(AC115="-","-",VLOOKUP($A115,AMAPit!$A$10:$AY$125,BV$9,FALSE)-AC115)</f>
        <v>#N/A</v>
      </c>
      <c r="BW115" s="306" t="e">
        <f>IF(AD115="-","-",VLOOKUP($A115,AMAPit!$A$10:$AY$125,BW$9,FALSE)-AD115)</f>
        <v>#N/A</v>
      </c>
      <c r="BX115" s="306" t="str">
        <f>IF(AE115="-","-",VLOOKUP($A115,AMAPit!$A$10:$AY$125,BX$9,FALSE)-AE115)</f>
        <v>-</v>
      </c>
      <c r="BY115" s="306" t="str">
        <f>IF(AF115="-","-",VLOOKUP($A115,AMAPit!$A$10:$AY$125,BY$9,FALSE)-AF115)</f>
        <v>-</v>
      </c>
      <c r="BZ115" s="306" t="str">
        <f>IF(AG115="-","-",VLOOKUP($A115,AMAPit!$A$10:$AY$125,BZ$9,FALSE)-AG115)</f>
        <v>-</v>
      </c>
      <c r="CA115" s="306" t="str">
        <f>IF(AH115="-","-",VLOOKUP($A115,AMAPit!$A$10:$AY$125,CA$9,FALSE)-AH115)</f>
        <v>-</v>
      </c>
      <c r="CB115" s="306" t="str">
        <f>IF(AI115="-","-",VLOOKUP($A115,AMAPit!$A$10:$AY$125,CB$9,FALSE)-AI115)</f>
        <v>-</v>
      </c>
      <c r="CC115" s="306" t="str">
        <f>IF(AJ115="-","-",VLOOKUP($A115,AMAPit!$A$10:$AY$125,CC$9,FALSE)-AJ115)</f>
        <v>-</v>
      </c>
      <c r="CD115" s="306" t="e">
        <f>IF(AK115="-","-",VLOOKUP($A115,AMAPit!$A$10:$AY$125,CD$9,FALSE)-AK115)</f>
        <v>#N/A</v>
      </c>
      <c r="CE115" s="306" t="e">
        <f>IF(AL115="-","-",VLOOKUP($A115,AMAPit!$A$10:$AY$125,CE$9,FALSE)-AL115)</f>
        <v>#N/A</v>
      </c>
      <c r="CF115" s="306" t="str">
        <f>IF(AM115="-","-",VLOOKUP($A115,AMAPit!$A$10:$AY$125,CF$9,FALSE)-AM115)</f>
        <v>-</v>
      </c>
      <c r="CG115" s="306" t="str">
        <f>IF(AN115="-","-",VLOOKUP($A115,AMAPit!$A$10:$AY$125,CG$9,FALSE)-AN115)</f>
        <v>-</v>
      </c>
      <c r="CH115" s="306" t="str">
        <f>IF(AO115="-","-",VLOOKUP($A115,AMAPit!$A$10:$AY$125,CH$9,FALSE)-AO115)</f>
        <v>-</v>
      </c>
      <c r="CI115" s="306" t="str">
        <f>IF(AP115="-","-",VLOOKUP($A115,AMAPit!$A$10:$AY$125,CI$9,FALSE)-AP115)</f>
        <v>-</v>
      </c>
      <c r="CJ115" s="306" t="str">
        <f>IF(AQ115="-","-",VLOOKUP($A115,AMAPit!$A$10:$AY$125,CJ$9,FALSE)-AQ115)</f>
        <v>-</v>
      </c>
      <c r="CK115" s="306" t="str">
        <f>IF(AR115="-","-",VLOOKUP($A115,AMAPit!$A$10:$AY$125,CK$9,FALSE)-AR115)</f>
        <v>-</v>
      </c>
      <c r="CL115" s="306" t="str">
        <f>IF(AS115="-","-",VLOOKUP($A115,AMAPit!$A$10:$AY$125,CL$9,FALSE)-AS115)</f>
        <v>-</v>
      </c>
      <c r="CM115" s="306" t="str">
        <f>IF(AT115="-","-",VLOOKUP($A115,AMAPit!$A$10:$AY$125,CM$9,FALSE)-AT115)</f>
        <v>-</v>
      </c>
      <c r="CN115" s="305" t="e">
        <f t="shared" si="61"/>
        <v>#N/A</v>
      </c>
    </row>
    <row r="116" spans="1:92" x14ac:dyDescent="0.25">
      <c r="A116" s="305" t="s">
        <v>619</v>
      </c>
      <c r="B116" s="305" t="s">
        <v>534</v>
      </c>
      <c r="C116" s="305"/>
      <c r="D116" s="305" t="s">
        <v>72</v>
      </c>
      <c r="E116" t="s">
        <v>87</v>
      </c>
      <c r="F116" t="s">
        <v>1179</v>
      </c>
      <c r="G116" s="305" t="s">
        <v>1180</v>
      </c>
      <c r="H116" t="s">
        <v>810</v>
      </c>
      <c r="I116" t="s">
        <v>83</v>
      </c>
      <c r="J116" s="388">
        <v>17</v>
      </c>
      <c r="K116" t="s">
        <v>83</v>
      </c>
      <c r="L116" t="s">
        <v>83</v>
      </c>
      <c r="M116" t="s">
        <v>816</v>
      </c>
      <c r="N116" s="388" t="s">
        <v>816</v>
      </c>
      <c r="O116" t="s">
        <v>199</v>
      </c>
      <c r="P116" t="s">
        <v>200</v>
      </c>
      <c r="Q116" s="388">
        <v>2</v>
      </c>
      <c r="R116">
        <v>1</v>
      </c>
      <c r="S116">
        <v>1</v>
      </c>
      <c r="T116" s="388">
        <v>4</v>
      </c>
      <c r="U116">
        <v>1</v>
      </c>
      <c r="V116">
        <v>2</v>
      </c>
      <c r="W116">
        <v>4</v>
      </c>
      <c r="X116">
        <v>6</v>
      </c>
      <c r="Y116">
        <v>1</v>
      </c>
      <c r="Z116">
        <v>4</v>
      </c>
      <c r="AA116" t="s">
        <v>32</v>
      </c>
      <c r="AB116" t="s">
        <v>32</v>
      </c>
      <c r="AC116">
        <v>2</v>
      </c>
      <c r="AD116">
        <v>4</v>
      </c>
      <c r="AE116" t="s">
        <v>32</v>
      </c>
      <c r="AF116" t="s">
        <v>32</v>
      </c>
      <c r="AG116" t="s">
        <v>32</v>
      </c>
      <c r="AH116" t="s">
        <v>32</v>
      </c>
      <c r="AI116" t="s">
        <v>32</v>
      </c>
      <c r="AJ116" t="s">
        <v>32</v>
      </c>
      <c r="AK116">
        <v>3</v>
      </c>
      <c r="AL116">
        <v>4</v>
      </c>
      <c r="AM116" t="s">
        <v>32</v>
      </c>
      <c r="AN116" t="s">
        <v>32</v>
      </c>
      <c r="AO116" t="s">
        <v>32</v>
      </c>
      <c r="AP116" t="s">
        <v>32</v>
      </c>
      <c r="AQ116" t="s">
        <v>32</v>
      </c>
      <c r="AR116" s="388" t="s">
        <v>32</v>
      </c>
      <c r="AS116" t="s">
        <v>32</v>
      </c>
      <c r="AT116" t="s">
        <v>32</v>
      </c>
      <c r="AU116" s="388" t="s">
        <v>5</v>
      </c>
      <c r="AV116">
        <v>9</v>
      </c>
      <c r="AW116" s="388" t="s">
        <v>40</v>
      </c>
      <c r="AX116" t="s">
        <v>32</v>
      </c>
      <c r="AY116" s="5" t="s">
        <v>33</v>
      </c>
      <c r="AZ116" s="372" t="s">
        <v>779</v>
      </c>
      <c r="BA116" s="6">
        <f t="shared" si="52"/>
        <v>1.8333333333333333</v>
      </c>
      <c r="BB116" s="9" t="str">
        <f t="shared" si="53"/>
        <v>Minors</v>
      </c>
      <c r="BC116" s="9">
        <f t="shared" si="54"/>
        <v>3.0833333333333335</v>
      </c>
      <c r="BD116" s="9" t="str">
        <f t="shared" si="55"/>
        <v>Minors</v>
      </c>
      <c r="BE116" s="9">
        <f t="shared" si="56"/>
        <v>3.0833333333333335</v>
      </c>
      <c r="BF116" s="9" t="str">
        <f t="shared" si="57"/>
        <v>Minors</v>
      </c>
      <c r="BG116" s="77">
        <f t="shared" si="58"/>
        <v>4</v>
      </c>
      <c r="BH116" s="76">
        <f t="shared" si="59"/>
        <v>0.5</v>
      </c>
      <c r="BI116" s="305" t="str">
        <f t="shared" si="60"/>
        <v/>
      </c>
      <c r="BJ116" s="306" t="e">
        <f>IF(Q116="-","-",VLOOKUP($A116,AMAPit!$A$10:$AY$125,BJ$9,FALSE)-Q116)</f>
        <v>#N/A</v>
      </c>
      <c r="BK116" s="306" t="e">
        <f>IF(R116="-","-",VLOOKUP($A116,AMAPit!$A$10:$AY$125,BK$9,FALSE)-R116)</f>
        <v>#N/A</v>
      </c>
      <c r="BL116" s="306" t="e">
        <f>IF(S116="-","-",VLOOKUP($A116,AMAPit!$A$10:$AY$125,BL$9,FALSE)-S116)</f>
        <v>#N/A</v>
      </c>
      <c r="BM116" s="306" t="e">
        <f>IF(T116="-","-",VLOOKUP($A116,AMAPit!$A$10:$AY$125,BM$9,FALSE)-T116)</f>
        <v>#N/A</v>
      </c>
      <c r="BN116" s="306" t="e">
        <f>IF(U116="-","-",VLOOKUP($A116,AMAPit!$A$10:$AY$125,BN$9,FALSE)-U116)</f>
        <v>#N/A</v>
      </c>
      <c r="BO116" s="306" t="e">
        <f>IF(V116="-","-",VLOOKUP($A116,AMAPit!$A$10:$AY$125,BO$9,FALSE)-V116)</f>
        <v>#N/A</v>
      </c>
      <c r="BP116" s="306" t="e">
        <f>IF(W116="-","-",VLOOKUP($A116,AMAPit!$A$10:$AY$125,BP$9,FALSE)-W116)</f>
        <v>#N/A</v>
      </c>
      <c r="BQ116" s="306" t="e">
        <f>IF(X116="-","-",VLOOKUP($A116,AMAPit!$A$10:$AY$125,BQ$9,FALSE)-X116)</f>
        <v>#N/A</v>
      </c>
      <c r="BR116" s="306" t="e">
        <f>IF(Y116="-","-",VLOOKUP($A116,AMAPit!$A$10:$AY$125,BR$9,FALSE)-Y116)</f>
        <v>#N/A</v>
      </c>
      <c r="BS116" s="306" t="e">
        <f>IF(Z116="-","-",VLOOKUP($A116,AMAPit!$A$10:$AY$125,BS$9,FALSE)-Z116)</f>
        <v>#N/A</v>
      </c>
      <c r="BT116" s="306" t="str">
        <f>IF(AA116="-","-",VLOOKUP($A116,AMAPit!$A$10:$AY$125,BT$9,FALSE)-AA116)</f>
        <v>-</v>
      </c>
      <c r="BU116" s="306" t="str">
        <f>IF(AB116="-","-",VLOOKUP($A116,AMAPit!$A$10:$AY$125,BU$9,FALSE)-AB116)</f>
        <v>-</v>
      </c>
      <c r="BV116" s="306" t="e">
        <f>IF(AC116="-","-",VLOOKUP($A116,AMAPit!$A$10:$AY$125,BV$9,FALSE)-AC116)</f>
        <v>#N/A</v>
      </c>
      <c r="BW116" s="306" t="e">
        <f>IF(AD116="-","-",VLOOKUP($A116,AMAPit!$A$10:$AY$125,BW$9,FALSE)-AD116)</f>
        <v>#N/A</v>
      </c>
      <c r="BX116" s="306" t="str">
        <f>IF(AE116="-","-",VLOOKUP($A116,AMAPit!$A$10:$AY$125,BX$9,FALSE)-AE116)</f>
        <v>-</v>
      </c>
      <c r="BY116" s="306" t="str">
        <f>IF(AF116="-","-",VLOOKUP($A116,AMAPit!$A$10:$AY$125,BY$9,FALSE)-AF116)</f>
        <v>-</v>
      </c>
      <c r="BZ116" s="306" t="str">
        <f>IF(AG116="-","-",VLOOKUP($A116,AMAPit!$A$10:$AY$125,BZ$9,FALSE)-AG116)</f>
        <v>-</v>
      </c>
      <c r="CA116" s="306" t="str">
        <f>IF(AH116="-","-",VLOOKUP($A116,AMAPit!$A$10:$AY$125,CA$9,FALSE)-AH116)</f>
        <v>-</v>
      </c>
      <c r="CB116" s="306" t="str">
        <f>IF(AI116="-","-",VLOOKUP($A116,AMAPit!$A$10:$AY$125,CB$9,FALSE)-AI116)</f>
        <v>-</v>
      </c>
      <c r="CC116" s="306" t="str">
        <f>IF(AJ116="-","-",VLOOKUP($A116,AMAPit!$A$10:$AY$125,CC$9,FALSE)-AJ116)</f>
        <v>-</v>
      </c>
      <c r="CD116" s="306" t="e">
        <f>IF(AK116="-","-",VLOOKUP($A116,AMAPit!$A$10:$AY$125,CD$9,FALSE)-AK116)</f>
        <v>#N/A</v>
      </c>
      <c r="CE116" s="306" t="e">
        <f>IF(AL116="-","-",VLOOKUP($A116,AMAPit!$A$10:$AY$125,CE$9,FALSE)-AL116)</f>
        <v>#N/A</v>
      </c>
      <c r="CF116" s="306" t="str">
        <f>IF(AM116="-","-",VLOOKUP($A116,AMAPit!$A$10:$AY$125,CF$9,FALSE)-AM116)</f>
        <v>-</v>
      </c>
      <c r="CG116" s="306" t="str">
        <f>IF(AN116="-","-",VLOOKUP($A116,AMAPit!$A$10:$AY$125,CG$9,FALSE)-AN116)</f>
        <v>-</v>
      </c>
      <c r="CH116" s="306" t="str">
        <f>IF(AO116="-","-",VLOOKUP($A116,AMAPit!$A$10:$AY$125,CH$9,FALSE)-AO116)</f>
        <v>-</v>
      </c>
      <c r="CI116" s="306" t="str">
        <f>IF(AP116="-","-",VLOOKUP($A116,AMAPit!$A$10:$AY$125,CI$9,FALSE)-AP116)</f>
        <v>-</v>
      </c>
      <c r="CJ116" s="306" t="str">
        <f>IF(AQ116="-","-",VLOOKUP($A116,AMAPit!$A$10:$AY$125,CJ$9,FALSE)-AQ116)</f>
        <v>-</v>
      </c>
      <c r="CK116" s="306" t="str">
        <f>IF(AR116="-","-",VLOOKUP($A116,AMAPit!$A$10:$AY$125,CK$9,FALSE)-AR116)</f>
        <v>-</v>
      </c>
      <c r="CL116" s="306" t="str">
        <f>IF(AS116="-","-",VLOOKUP($A116,AMAPit!$A$10:$AY$125,CL$9,FALSE)-AS116)</f>
        <v>-</v>
      </c>
      <c r="CM116" s="306" t="str">
        <f>IF(AT116="-","-",VLOOKUP($A116,AMAPit!$A$10:$AY$125,CM$9,FALSE)-AT116)</f>
        <v>-</v>
      </c>
      <c r="CN116" s="305" t="e">
        <f t="shared" si="61"/>
        <v>#N/A</v>
      </c>
    </row>
    <row r="117" spans="1:92" x14ac:dyDescent="0.25">
      <c r="A117" s="305" t="s">
        <v>537</v>
      </c>
      <c r="B117" s="305" t="s">
        <v>534</v>
      </c>
      <c r="C117" s="305"/>
      <c r="D117" s="305" t="s">
        <v>81</v>
      </c>
      <c r="E117" t="s">
        <v>11</v>
      </c>
      <c r="F117" t="s">
        <v>719</v>
      </c>
      <c r="G117" s="305" t="s">
        <v>720</v>
      </c>
      <c r="H117" t="s">
        <v>810</v>
      </c>
      <c r="I117" t="s">
        <v>83</v>
      </c>
      <c r="J117" s="388">
        <v>18</v>
      </c>
      <c r="K117" t="s">
        <v>82</v>
      </c>
      <c r="L117" t="s">
        <v>82</v>
      </c>
      <c r="M117" t="s">
        <v>816</v>
      </c>
      <c r="N117" s="388" t="s">
        <v>816</v>
      </c>
      <c r="O117" t="s">
        <v>200</v>
      </c>
      <c r="P117" t="s">
        <v>200</v>
      </c>
      <c r="Q117" s="388">
        <v>1</v>
      </c>
      <c r="R117">
        <v>1</v>
      </c>
      <c r="S117">
        <v>2</v>
      </c>
      <c r="T117" s="388">
        <v>4</v>
      </c>
      <c r="U117">
        <v>2</v>
      </c>
      <c r="V117">
        <v>5</v>
      </c>
      <c r="W117">
        <v>3</v>
      </c>
      <c r="X117">
        <v>4</v>
      </c>
      <c r="Y117">
        <v>1</v>
      </c>
      <c r="Z117">
        <v>1</v>
      </c>
      <c r="AA117">
        <v>2</v>
      </c>
      <c r="AB117">
        <v>6</v>
      </c>
      <c r="AC117" t="s">
        <v>32</v>
      </c>
      <c r="AD117" t="s">
        <v>32</v>
      </c>
      <c r="AE117" t="s">
        <v>32</v>
      </c>
      <c r="AF117" t="s">
        <v>32</v>
      </c>
      <c r="AG117" t="s">
        <v>32</v>
      </c>
      <c r="AH117" t="s">
        <v>32</v>
      </c>
      <c r="AI117" t="s">
        <v>32</v>
      </c>
      <c r="AJ117" t="s">
        <v>32</v>
      </c>
      <c r="AK117" t="s">
        <v>32</v>
      </c>
      <c r="AL117" t="s">
        <v>32</v>
      </c>
      <c r="AM117" t="s">
        <v>32</v>
      </c>
      <c r="AN117" t="s">
        <v>32</v>
      </c>
      <c r="AO117" t="s">
        <v>32</v>
      </c>
      <c r="AP117" t="s">
        <v>32</v>
      </c>
      <c r="AQ117" t="s">
        <v>32</v>
      </c>
      <c r="AR117" s="388" t="s">
        <v>32</v>
      </c>
      <c r="AS117" t="s">
        <v>32</v>
      </c>
      <c r="AT117" t="s">
        <v>32</v>
      </c>
      <c r="AU117" s="388" t="s">
        <v>396</v>
      </c>
      <c r="AV117">
        <v>8</v>
      </c>
      <c r="AW117" s="388" t="s">
        <v>395</v>
      </c>
      <c r="AX117" t="s">
        <v>32</v>
      </c>
      <c r="AY117" s="5" t="s">
        <v>33</v>
      </c>
      <c r="AZ117" s="372" t="s">
        <v>529</v>
      </c>
      <c r="BA117" s="6">
        <f t="shared" si="52"/>
        <v>1.5833333333333333</v>
      </c>
      <c r="BB117" s="9" t="str">
        <f t="shared" si="53"/>
        <v>Minors</v>
      </c>
      <c r="BC117" s="9">
        <f t="shared" si="54"/>
        <v>4.1666666666666661</v>
      </c>
      <c r="BD117" s="9" t="str">
        <f t="shared" si="55"/>
        <v>Bench</v>
      </c>
      <c r="BE117" s="9">
        <f t="shared" si="56"/>
        <v>4.1666666666666661</v>
      </c>
      <c r="BF117" s="9" t="str">
        <f t="shared" si="57"/>
        <v>Bench</v>
      </c>
      <c r="BG117" s="77">
        <f t="shared" si="58"/>
        <v>3</v>
      </c>
      <c r="BH117" s="76">
        <f t="shared" si="59"/>
        <v>0.5</v>
      </c>
      <c r="BI117" s="305" t="str">
        <f t="shared" si="60"/>
        <v/>
      </c>
      <c r="BJ117" s="306" t="e">
        <f>IF(Q117="-","-",VLOOKUP($A117,AMAPit!$A$10:$AY$125,BJ$9,FALSE)-Q117)</f>
        <v>#N/A</v>
      </c>
      <c r="BK117" s="306" t="e">
        <f>IF(R117="-","-",VLOOKUP($A117,AMAPit!$A$10:$AY$125,BK$9,FALSE)-R117)</f>
        <v>#N/A</v>
      </c>
      <c r="BL117" s="306" t="e">
        <f>IF(S117="-","-",VLOOKUP($A117,AMAPit!$A$10:$AY$125,BL$9,FALSE)-S117)</f>
        <v>#N/A</v>
      </c>
      <c r="BM117" s="306" t="e">
        <f>IF(T117="-","-",VLOOKUP($A117,AMAPit!$A$10:$AY$125,BM$9,FALSE)-T117)</f>
        <v>#N/A</v>
      </c>
      <c r="BN117" s="306" t="e">
        <f>IF(U117="-","-",VLOOKUP($A117,AMAPit!$A$10:$AY$125,BN$9,FALSE)-U117)</f>
        <v>#N/A</v>
      </c>
      <c r="BO117" s="306" t="e">
        <f>IF(V117="-","-",VLOOKUP($A117,AMAPit!$A$10:$AY$125,BO$9,FALSE)-V117)</f>
        <v>#N/A</v>
      </c>
      <c r="BP117" s="306" t="e">
        <f>IF(W117="-","-",VLOOKUP($A117,AMAPit!$A$10:$AY$125,BP$9,FALSE)-W117)</f>
        <v>#N/A</v>
      </c>
      <c r="BQ117" s="306" t="e">
        <f>IF(X117="-","-",VLOOKUP($A117,AMAPit!$A$10:$AY$125,BQ$9,FALSE)-X117)</f>
        <v>#N/A</v>
      </c>
      <c r="BR117" s="306" t="e">
        <f>IF(Y117="-","-",VLOOKUP($A117,AMAPit!$A$10:$AY$125,BR$9,FALSE)-Y117)</f>
        <v>#N/A</v>
      </c>
      <c r="BS117" s="306" t="e">
        <f>IF(Z117="-","-",VLOOKUP($A117,AMAPit!$A$10:$AY$125,BS$9,FALSE)-Z117)</f>
        <v>#N/A</v>
      </c>
      <c r="BT117" s="306" t="e">
        <f>IF(AA117="-","-",VLOOKUP($A117,AMAPit!$A$10:$AY$125,BT$9,FALSE)-AA117)</f>
        <v>#N/A</v>
      </c>
      <c r="BU117" s="306" t="e">
        <f>IF(AB117="-","-",VLOOKUP($A117,AMAPit!$A$10:$AY$125,BU$9,FALSE)-AB117)</f>
        <v>#N/A</v>
      </c>
      <c r="BV117" s="306" t="str">
        <f>IF(AC117="-","-",VLOOKUP($A117,AMAPit!$A$10:$AY$125,BV$9,FALSE)-AC117)</f>
        <v>-</v>
      </c>
      <c r="BW117" s="306" t="str">
        <f>IF(AD117="-","-",VLOOKUP($A117,AMAPit!$A$10:$AY$125,BW$9,FALSE)-AD117)</f>
        <v>-</v>
      </c>
      <c r="BX117" s="306" t="str">
        <f>IF(AE117="-","-",VLOOKUP($A117,AMAPit!$A$10:$AY$125,BX$9,FALSE)-AE117)</f>
        <v>-</v>
      </c>
      <c r="BY117" s="306" t="str">
        <f>IF(AF117="-","-",VLOOKUP($A117,AMAPit!$A$10:$AY$125,BY$9,FALSE)-AF117)</f>
        <v>-</v>
      </c>
      <c r="BZ117" s="306" t="str">
        <f>IF(AG117="-","-",VLOOKUP($A117,AMAPit!$A$10:$AY$125,BZ$9,FALSE)-AG117)</f>
        <v>-</v>
      </c>
      <c r="CA117" s="306" t="str">
        <f>IF(AH117="-","-",VLOOKUP($A117,AMAPit!$A$10:$AY$125,CA$9,FALSE)-AH117)</f>
        <v>-</v>
      </c>
      <c r="CB117" s="306" t="str">
        <f>IF(AI117="-","-",VLOOKUP($A117,AMAPit!$A$10:$AY$125,CB$9,FALSE)-AI117)</f>
        <v>-</v>
      </c>
      <c r="CC117" s="306" t="str">
        <f>IF(AJ117="-","-",VLOOKUP($A117,AMAPit!$A$10:$AY$125,CC$9,FALSE)-AJ117)</f>
        <v>-</v>
      </c>
      <c r="CD117" s="306" t="str">
        <f>IF(AK117="-","-",VLOOKUP($A117,AMAPit!$A$10:$AY$125,CD$9,FALSE)-AK117)</f>
        <v>-</v>
      </c>
      <c r="CE117" s="306" t="str">
        <f>IF(AL117="-","-",VLOOKUP($A117,AMAPit!$A$10:$AY$125,CE$9,FALSE)-AL117)</f>
        <v>-</v>
      </c>
      <c r="CF117" s="306" t="str">
        <f>IF(AM117="-","-",VLOOKUP($A117,AMAPit!$A$10:$AY$125,CF$9,FALSE)-AM117)</f>
        <v>-</v>
      </c>
      <c r="CG117" s="306" t="str">
        <f>IF(AN117="-","-",VLOOKUP($A117,AMAPit!$A$10:$AY$125,CG$9,FALSE)-AN117)</f>
        <v>-</v>
      </c>
      <c r="CH117" s="306" t="str">
        <f>IF(AO117="-","-",VLOOKUP($A117,AMAPit!$A$10:$AY$125,CH$9,FALSE)-AO117)</f>
        <v>-</v>
      </c>
      <c r="CI117" s="306" t="str">
        <f>IF(AP117="-","-",VLOOKUP($A117,AMAPit!$A$10:$AY$125,CI$9,FALSE)-AP117)</f>
        <v>-</v>
      </c>
      <c r="CJ117" s="306" t="str">
        <f>IF(AQ117="-","-",VLOOKUP($A117,AMAPit!$A$10:$AY$125,CJ$9,FALSE)-AQ117)</f>
        <v>-</v>
      </c>
      <c r="CK117" s="306" t="str">
        <f>IF(AR117="-","-",VLOOKUP($A117,AMAPit!$A$10:$AY$125,CK$9,FALSE)-AR117)</f>
        <v>-</v>
      </c>
      <c r="CL117" s="306" t="str">
        <f>IF(AS117="-","-",VLOOKUP($A117,AMAPit!$A$10:$AY$125,CL$9,FALSE)-AS117)</f>
        <v>-</v>
      </c>
      <c r="CM117" s="306" t="str">
        <f>IF(AT117="-","-",VLOOKUP($A117,AMAPit!$A$10:$AY$125,CM$9,FALSE)-AT117)</f>
        <v>-</v>
      </c>
      <c r="CN117" s="305" t="e">
        <f t="shared" si="61"/>
        <v>#N/A</v>
      </c>
    </row>
    <row r="118" spans="1:92" x14ac:dyDescent="0.25">
      <c r="A118" s="305" t="s">
        <v>617</v>
      </c>
      <c r="B118" s="305" t="s">
        <v>534</v>
      </c>
      <c r="C118" s="305"/>
      <c r="D118" s="305" t="s">
        <v>81</v>
      </c>
      <c r="E118" t="s">
        <v>11</v>
      </c>
      <c r="F118" t="s">
        <v>425</v>
      </c>
      <c r="G118" s="305" t="s">
        <v>461</v>
      </c>
      <c r="H118" t="s">
        <v>810</v>
      </c>
      <c r="I118" t="s">
        <v>83</v>
      </c>
      <c r="J118" s="388">
        <v>19</v>
      </c>
      <c r="K118" t="s">
        <v>83</v>
      </c>
      <c r="L118" t="s">
        <v>83</v>
      </c>
      <c r="M118" t="s">
        <v>816</v>
      </c>
      <c r="N118" s="388" t="s">
        <v>816</v>
      </c>
      <c r="O118" t="s">
        <v>200</v>
      </c>
      <c r="P118" t="s">
        <v>199</v>
      </c>
      <c r="Q118" s="388">
        <v>1</v>
      </c>
      <c r="R118">
        <v>1</v>
      </c>
      <c r="S118">
        <v>2</v>
      </c>
      <c r="T118" s="388">
        <v>5</v>
      </c>
      <c r="U118">
        <v>2</v>
      </c>
      <c r="V118">
        <v>3</v>
      </c>
      <c r="W118">
        <v>3</v>
      </c>
      <c r="X118">
        <v>4</v>
      </c>
      <c r="Y118">
        <v>1</v>
      </c>
      <c r="Z118">
        <v>7</v>
      </c>
      <c r="AA118" t="s">
        <v>32</v>
      </c>
      <c r="AB118" t="s">
        <v>32</v>
      </c>
      <c r="AC118">
        <v>2</v>
      </c>
      <c r="AD118">
        <v>5</v>
      </c>
      <c r="AE118" t="s">
        <v>32</v>
      </c>
      <c r="AF118" t="s">
        <v>32</v>
      </c>
      <c r="AG118" t="s">
        <v>32</v>
      </c>
      <c r="AH118" t="s">
        <v>32</v>
      </c>
      <c r="AI118" t="s">
        <v>32</v>
      </c>
      <c r="AJ118" t="s">
        <v>32</v>
      </c>
      <c r="AK118" t="s">
        <v>32</v>
      </c>
      <c r="AL118" t="s">
        <v>32</v>
      </c>
      <c r="AM118" t="s">
        <v>32</v>
      </c>
      <c r="AN118" t="s">
        <v>32</v>
      </c>
      <c r="AO118" t="s">
        <v>32</v>
      </c>
      <c r="AP118" t="s">
        <v>32</v>
      </c>
      <c r="AQ118" t="s">
        <v>32</v>
      </c>
      <c r="AR118" s="388" t="s">
        <v>32</v>
      </c>
      <c r="AS118" t="s">
        <v>32</v>
      </c>
      <c r="AT118" t="s">
        <v>32</v>
      </c>
      <c r="AU118" s="388" t="s">
        <v>713</v>
      </c>
      <c r="AV118">
        <v>8</v>
      </c>
      <c r="AW118" s="388" t="s">
        <v>40</v>
      </c>
      <c r="AX118" t="s">
        <v>32</v>
      </c>
      <c r="AY118" s="5" t="s">
        <v>33</v>
      </c>
      <c r="AZ118" s="372" t="s">
        <v>529</v>
      </c>
      <c r="BA118" s="6">
        <f t="shared" si="52"/>
        <v>1.5833333333333333</v>
      </c>
      <c r="BB118" s="9" t="str">
        <f t="shared" si="53"/>
        <v>Minors</v>
      </c>
      <c r="BC118" s="9">
        <f t="shared" si="54"/>
        <v>3.8333333333333335</v>
      </c>
      <c r="BD118" s="9" t="str">
        <f t="shared" si="55"/>
        <v>Minors</v>
      </c>
      <c r="BE118" s="9">
        <f t="shared" si="56"/>
        <v>3.8333333333333335</v>
      </c>
      <c r="BF118" s="9" t="str">
        <f t="shared" si="57"/>
        <v>Minors</v>
      </c>
      <c r="BG118" s="77">
        <f t="shared" si="58"/>
        <v>3</v>
      </c>
      <c r="BH118" s="76">
        <f t="shared" si="59"/>
        <v>0.5</v>
      </c>
      <c r="BI118" s="305" t="str">
        <f t="shared" si="60"/>
        <v/>
      </c>
      <c r="BJ118" s="306" t="e">
        <f>IF(Q118="-","-",VLOOKUP($A118,AMAPit!$A$10:$AY$125,BJ$9,FALSE)-Q118)</f>
        <v>#N/A</v>
      </c>
      <c r="BK118" s="306" t="e">
        <f>IF(R118="-","-",VLOOKUP($A118,AMAPit!$A$10:$AY$125,BK$9,FALSE)-R118)</f>
        <v>#N/A</v>
      </c>
      <c r="BL118" s="306" t="e">
        <f>IF(S118="-","-",VLOOKUP($A118,AMAPit!$A$10:$AY$125,BL$9,FALSE)-S118)</f>
        <v>#N/A</v>
      </c>
      <c r="BM118" s="306" t="e">
        <f>IF(T118="-","-",VLOOKUP($A118,AMAPit!$A$10:$AY$125,BM$9,FALSE)-T118)</f>
        <v>#N/A</v>
      </c>
      <c r="BN118" s="306" t="e">
        <f>IF(U118="-","-",VLOOKUP($A118,AMAPit!$A$10:$AY$125,BN$9,FALSE)-U118)</f>
        <v>#N/A</v>
      </c>
      <c r="BO118" s="306" t="e">
        <f>IF(V118="-","-",VLOOKUP($A118,AMAPit!$A$10:$AY$125,BO$9,FALSE)-V118)</f>
        <v>#N/A</v>
      </c>
      <c r="BP118" s="306" t="e">
        <f>IF(W118="-","-",VLOOKUP($A118,AMAPit!$A$10:$AY$125,BP$9,FALSE)-W118)</f>
        <v>#N/A</v>
      </c>
      <c r="BQ118" s="306" t="e">
        <f>IF(X118="-","-",VLOOKUP($A118,AMAPit!$A$10:$AY$125,BQ$9,FALSE)-X118)</f>
        <v>#N/A</v>
      </c>
      <c r="BR118" s="306" t="e">
        <f>IF(Y118="-","-",VLOOKUP($A118,AMAPit!$A$10:$AY$125,BR$9,FALSE)-Y118)</f>
        <v>#N/A</v>
      </c>
      <c r="BS118" s="306" t="e">
        <f>IF(Z118="-","-",VLOOKUP($A118,AMAPit!$A$10:$AY$125,BS$9,FALSE)-Z118)</f>
        <v>#N/A</v>
      </c>
      <c r="BT118" s="306" t="str">
        <f>IF(AA118="-","-",VLOOKUP($A118,AMAPit!$A$10:$AY$125,BT$9,FALSE)-AA118)</f>
        <v>-</v>
      </c>
      <c r="BU118" s="306" t="str">
        <f>IF(AB118="-","-",VLOOKUP($A118,AMAPit!$A$10:$AY$125,BU$9,FALSE)-AB118)</f>
        <v>-</v>
      </c>
      <c r="BV118" s="306" t="e">
        <f>IF(AC118="-","-",VLOOKUP($A118,AMAPit!$A$10:$AY$125,BV$9,FALSE)-AC118)</f>
        <v>#N/A</v>
      </c>
      <c r="BW118" s="306" t="e">
        <f>IF(AD118="-","-",VLOOKUP($A118,AMAPit!$A$10:$AY$125,BW$9,FALSE)-AD118)</f>
        <v>#N/A</v>
      </c>
      <c r="BX118" s="306" t="str">
        <f>IF(AE118="-","-",VLOOKUP($A118,AMAPit!$A$10:$AY$125,BX$9,FALSE)-AE118)</f>
        <v>-</v>
      </c>
      <c r="BY118" s="306" t="str">
        <f>IF(AF118="-","-",VLOOKUP($A118,AMAPit!$A$10:$AY$125,BY$9,FALSE)-AF118)</f>
        <v>-</v>
      </c>
      <c r="BZ118" s="306" t="str">
        <f>IF(AG118="-","-",VLOOKUP($A118,AMAPit!$A$10:$AY$125,BZ$9,FALSE)-AG118)</f>
        <v>-</v>
      </c>
      <c r="CA118" s="306" t="str">
        <f>IF(AH118="-","-",VLOOKUP($A118,AMAPit!$A$10:$AY$125,CA$9,FALSE)-AH118)</f>
        <v>-</v>
      </c>
      <c r="CB118" s="306" t="str">
        <f>IF(AI118="-","-",VLOOKUP($A118,AMAPit!$A$10:$AY$125,CB$9,FALSE)-AI118)</f>
        <v>-</v>
      </c>
      <c r="CC118" s="306" t="str">
        <f>IF(AJ118="-","-",VLOOKUP($A118,AMAPit!$A$10:$AY$125,CC$9,FALSE)-AJ118)</f>
        <v>-</v>
      </c>
      <c r="CD118" s="306" t="str">
        <f>IF(AK118="-","-",VLOOKUP($A118,AMAPit!$A$10:$AY$125,CD$9,FALSE)-AK118)</f>
        <v>-</v>
      </c>
      <c r="CE118" s="306" t="str">
        <f>IF(AL118="-","-",VLOOKUP($A118,AMAPit!$A$10:$AY$125,CE$9,FALSE)-AL118)</f>
        <v>-</v>
      </c>
      <c r="CF118" s="306" t="str">
        <f>IF(AM118="-","-",VLOOKUP($A118,AMAPit!$A$10:$AY$125,CF$9,FALSE)-AM118)</f>
        <v>-</v>
      </c>
      <c r="CG118" s="306" t="str">
        <f>IF(AN118="-","-",VLOOKUP($A118,AMAPit!$A$10:$AY$125,CG$9,FALSE)-AN118)</f>
        <v>-</v>
      </c>
      <c r="CH118" s="306" t="str">
        <f>IF(AO118="-","-",VLOOKUP($A118,AMAPit!$A$10:$AY$125,CH$9,FALSE)-AO118)</f>
        <v>-</v>
      </c>
      <c r="CI118" s="306" t="str">
        <f>IF(AP118="-","-",VLOOKUP($A118,AMAPit!$A$10:$AY$125,CI$9,FALSE)-AP118)</f>
        <v>-</v>
      </c>
      <c r="CJ118" s="306" t="str">
        <f>IF(AQ118="-","-",VLOOKUP($A118,AMAPit!$A$10:$AY$125,CJ$9,FALSE)-AQ118)</f>
        <v>-</v>
      </c>
      <c r="CK118" s="306" t="str">
        <f>IF(AR118="-","-",VLOOKUP($A118,AMAPit!$A$10:$AY$125,CK$9,FALSE)-AR118)</f>
        <v>-</v>
      </c>
      <c r="CL118" s="306" t="str">
        <f>IF(AS118="-","-",VLOOKUP($A118,AMAPit!$A$10:$AY$125,CL$9,FALSE)-AS118)</f>
        <v>-</v>
      </c>
      <c r="CM118" s="306" t="str">
        <f>IF(AT118="-","-",VLOOKUP($A118,AMAPit!$A$10:$AY$125,CM$9,FALSE)-AT118)</f>
        <v>-</v>
      </c>
      <c r="CN118" s="305" t="e">
        <f t="shared" si="61"/>
        <v>#N/A</v>
      </c>
    </row>
    <row r="119" spans="1:92" x14ac:dyDescent="0.25">
      <c r="A119" s="305" t="s">
        <v>618</v>
      </c>
      <c r="B119" s="305" t="s">
        <v>534</v>
      </c>
      <c r="C119" s="305"/>
      <c r="D119" s="305" t="s">
        <v>81</v>
      </c>
      <c r="E119" t="s">
        <v>87</v>
      </c>
      <c r="F119" t="s">
        <v>424</v>
      </c>
      <c r="G119" s="305" t="s">
        <v>907</v>
      </c>
      <c r="H119" t="s">
        <v>763</v>
      </c>
      <c r="I119" t="s">
        <v>16</v>
      </c>
      <c r="J119" s="388">
        <v>17</v>
      </c>
      <c r="K119" t="s">
        <v>83</v>
      </c>
      <c r="L119" t="s">
        <v>83</v>
      </c>
      <c r="M119" t="s">
        <v>816</v>
      </c>
      <c r="N119" s="388" t="s">
        <v>816</v>
      </c>
      <c r="O119" t="s">
        <v>200</v>
      </c>
      <c r="P119" t="s">
        <v>200</v>
      </c>
      <c r="Q119" s="388">
        <v>1</v>
      </c>
      <c r="R119">
        <v>2</v>
      </c>
      <c r="S119">
        <v>1</v>
      </c>
      <c r="T119" s="388">
        <v>4</v>
      </c>
      <c r="U119">
        <v>2</v>
      </c>
      <c r="V119">
        <v>3</v>
      </c>
      <c r="W119" t="s">
        <v>32</v>
      </c>
      <c r="X119" t="s">
        <v>32</v>
      </c>
      <c r="Y119">
        <v>1</v>
      </c>
      <c r="Z119">
        <v>2</v>
      </c>
      <c r="AA119" t="s">
        <v>32</v>
      </c>
      <c r="AB119" t="s">
        <v>32</v>
      </c>
      <c r="AC119" t="s">
        <v>32</v>
      </c>
      <c r="AD119" t="s">
        <v>32</v>
      </c>
      <c r="AE119">
        <v>3</v>
      </c>
      <c r="AF119">
        <v>5</v>
      </c>
      <c r="AG119" t="s">
        <v>32</v>
      </c>
      <c r="AH119" t="s">
        <v>32</v>
      </c>
      <c r="AI119">
        <v>3</v>
      </c>
      <c r="AJ119">
        <v>6</v>
      </c>
      <c r="AK119" t="s">
        <v>32</v>
      </c>
      <c r="AL119" t="s">
        <v>32</v>
      </c>
      <c r="AM119" t="s">
        <v>32</v>
      </c>
      <c r="AN119" t="s">
        <v>32</v>
      </c>
      <c r="AO119" t="s">
        <v>32</v>
      </c>
      <c r="AP119" t="s">
        <v>32</v>
      </c>
      <c r="AQ119" t="s">
        <v>32</v>
      </c>
      <c r="AR119" s="388" t="s">
        <v>32</v>
      </c>
      <c r="AS119" t="s">
        <v>32</v>
      </c>
      <c r="AT119" t="s">
        <v>32</v>
      </c>
      <c r="AU119" s="388" t="s">
        <v>0</v>
      </c>
      <c r="AV119">
        <v>6</v>
      </c>
      <c r="AW119" s="388" t="s">
        <v>393</v>
      </c>
      <c r="AX119" t="s">
        <v>32</v>
      </c>
      <c r="BA119" s="6">
        <f t="shared" si="52"/>
        <v>1.5833333333333333</v>
      </c>
      <c r="BB119" s="9" t="str">
        <f t="shared" si="53"/>
        <v>Minors</v>
      </c>
      <c r="BC119" s="9">
        <f t="shared" si="54"/>
        <v>3.5</v>
      </c>
      <c r="BD119" s="9" t="str">
        <f t="shared" si="55"/>
        <v>Minors</v>
      </c>
      <c r="BE119" s="9">
        <f t="shared" si="56"/>
        <v>3.5</v>
      </c>
      <c r="BF119" s="9" t="str">
        <f t="shared" si="57"/>
        <v>Minors</v>
      </c>
      <c r="BG119" s="77">
        <f t="shared" si="58"/>
        <v>3</v>
      </c>
      <c r="BH119" s="76">
        <f t="shared" si="59"/>
        <v>0.5</v>
      </c>
      <c r="BI119" s="305" t="str">
        <f t="shared" si="60"/>
        <v/>
      </c>
      <c r="BJ119" s="306" t="e">
        <f>IF(Q119="-","-",VLOOKUP($A119,AMAPit!$A$10:$AY$125,BJ$9,FALSE)-Q119)</f>
        <v>#N/A</v>
      </c>
      <c r="BK119" s="306" t="e">
        <f>IF(R119="-","-",VLOOKUP($A119,AMAPit!$A$10:$AY$125,BK$9,FALSE)-R119)</f>
        <v>#N/A</v>
      </c>
      <c r="BL119" s="306" t="e">
        <f>IF(S119="-","-",VLOOKUP($A119,AMAPit!$A$10:$AY$125,BL$9,FALSE)-S119)</f>
        <v>#N/A</v>
      </c>
      <c r="BM119" s="306" t="e">
        <f>IF(T119="-","-",VLOOKUP($A119,AMAPit!$A$10:$AY$125,BM$9,FALSE)-T119)</f>
        <v>#N/A</v>
      </c>
      <c r="BN119" s="306" t="e">
        <f>IF(U119="-","-",VLOOKUP($A119,AMAPit!$A$10:$AY$125,BN$9,FALSE)-U119)</f>
        <v>#N/A</v>
      </c>
      <c r="BO119" s="306" t="e">
        <f>IF(V119="-","-",VLOOKUP($A119,AMAPit!$A$10:$AY$125,BO$9,FALSE)-V119)</f>
        <v>#N/A</v>
      </c>
      <c r="BP119" s="306" t="str">
        <f>IF(W119="-","-",VLOOKUP($A119,AMAPit!$A$10:$AY$125,BP$9,FALSE)-W119)</f>
        <v>-</v>
      </c>
      <c r="BQ119" s="306" t="str">
        <f>IF(X119="-","-",VLOOKUP($A119,AMAPit!$A$10:$AY$125,BQ$9,FALSE)-X119)</f>
        <v>-</v>
      </c>
      <c r="BR119" s="306" t="e">
        <f>IF(Y119="-","-",VLOOKUP($A119,AMAPit!$A$10:$AY$125,BR$9,FALSE)-Y119)</f>
        <v>#N/A</v>
      </c>
      <c r="BS119" s="306" t="e">
        <f>IF(Z119="-","-",VLOOKUP($A119,AMAPit!$A$10:$AY$125,BS$9,FALSE)-Z119)</f>
        <v>#N/A</v>
      </c>
      <c r="BT119" s="306" t="str">
        <f>IF(AA119="-","-",VLOOKUP($A119,AMAPit!$A$10:$AY$125,BT$9,FALSE)-AA119)</f>
        <v>-</v>
      </c>
      <c r="BU119" s="306" t="str">
        <f>IF(AB119="-","-",VLOOKUP($A119,AMAPit!$A$10:$AY$125,BU$9,FALSE)-AB119)</f>
        <v>-</v>
      </c>
      <c r="BV119" s="306" t="str">
        <f>IF(AC119="-","-",VLOOKUP($A119,AMAPit!$A$10:$AY$125,BV$9,FALSE)-AC119)</f>
        <v>-</v>
      </c>
      <c r="BW119" s="306" t="str">
        <f>IF(AD119="-","-",VLOOKUP($A119,AMAPit!$A$10:$AY$125,BW$9,FALSE)-AD119)</f>
        <v>-</v>
      </c>
      <c r="BX119" s="306" t="e">
        <f>IF(AE119="-","-",VLOOKUP($A119,AMAPit!$A$10:$AY$125,BX$9,FALSE)-AE119)</f>
        <v>#N/A</v>
      </c>
      <c r="BY119" s="306" t="e">
        <f>IF(AF119="-","-",VLOOKUP($A119,AMAPit!$A$10:$AY$125,BY$9,FALSE)-AF119)</f>
        <v>#N/A</v>
      </c>
      <c r="BZ119" s="306" t="str">
        <f>IF(AG119="-","-",VLOOKUP($A119,AMAPit!$A$10:$AY$125,BZ$9,FALSE)-AG119)</f>
        <v>-</v>
      </c>
      <c r="CA119" s="306" t="str">
        <f>IF(AH119="-","-",VLOOKUP($A119,AMAPit!$A$10:$AY$125,CA$9,FALSE)-AH119)</f>
        <v>-</v>
      </c>
      <c r="CB119" s="306" t="e">
        <f>IF(AI119="-","-",VLOOKUP($A119,AMAPit!$A$10:$AY$125,CB$9,FALSE)-AI119)</f>
        <v>#N/A</v>
      </c>
      <c r="CC119" s="306" t="e">
        <f>IF(AJ119="-","-",VLOOKUP($A119,AMAPit!$A$10:$AY$125,CC$9,FALSE)-AJ119)</f>
        <v>#N/A</v>
      </c>
      <c r="CD119" s="306" t="str">
        <f>IF(AK119="-","-",VLOOKUP($A119,AMAPit!$A$10:$AY$125,CD$9,FALSE)-AK119)</f>
        <v>-</v>
      </c>
      <c r="CE119" s="306" t="str">
        <f>IF(AL119="-","-",VLOOKUP($A119,AMAPit!$A$10:$AY$125,CE$9,FALSE)-AL119)</f>
        <v>-</v>
      </c>
      <c r="CF119" s="306" t="str">
        <f>IF(AM119="-","-",VLOOKUP($A119,AMAPit!$A$10:$AY$125,CF$9,FALSE)-AM119)</f>
        <v>-</v>
      </c>
      <c r="CG119" s="306" t="str">
        <f>IF(AN119="-","-",VLOOKUP($A119,AMAPit!$A$10:$AY$125,CG$9,FALSE)-AN119)</f>
        <v>-</v>
      </c>
      <c r="CH119" s="306" t="str">
        <f>IF(AO119="-","-",VLOOKUP($A119,AMAPit!$A$10:$AY$125,CH$9,FALSE)-AO119)</f>
        <v>-</v>
      </c>
      <c r="CI119" s="306" t="str">
        <f>IF(AP119="-","-",VLOOKUP($A119,AMAPit!$A$10:$AY$125,CI$9,FALSE)-AP119)</f>
        <v>-</v>
      </c>
      <c r="CJ119" s="306" t="str">
        <f>IF(AQ119="-","-",VLOOKUP($A119,AMAPit!$A$10:$AY$125,CJ$9,FALSE)-AQ119)</f>
        <v>-</v>
      </c>
      <c r="CK119" s="306" t="str">
        <f>IF(AR119="-","-",VLOOKUP($A119,AMAPit!$A$10:$AY$125,CK$9,FALSE)-AR119)</f>
        <v>-</v>
      </c>
      <c r="CL119" s="306" t="str">
        <f>IF(AS119="-","-",VLOOKUP($A119,AMAPit!$A$10:$AY$125,CL$9,FALSE)-AS119)</f>
        <v>-</v>
      </c>
      <c r="CM119" s="306" t="str">
        <f>IF(AT119="-","-",VLOOKUP($A119,AMAPit!$A$10:$AY$125,CM$9,FALSE)-AT119)</f>
        <v>-</v>
      </c>
      <c r="CN119" s="305" t="e">
        <f t="shared" si="61"/>
        <v>#N/A</v>
      </c>
    </row>
    <row r="120" spans="1:92" x14ac:dyDescent="0.25">
      <c r="A120" s="305" t="s">
        <v>619</v>
      </c>
      <c r="B120" s="305" t="s">
        <v>534</v>
      </c>
      <c r="C120" s="305"/>
      <c r="D120" s="305" t="s">
        <v>72</v>
      </c>
      <c r="E120" t="s">
        <v>11</v>
      </c>
      <c r="F120" t="s">
        <v>1175</v>
      </c>
      <c r="G120" s="305" t="s">
        <v>1176</v>
      </c>
      <c r="H120" t="s">
        <v>810</v>
      </c>
      <c r="I120" t="s">
        <v>83</v>
      </c>
      <c r="J120" s="388">
        <v>18</v>
      </c>
      <c r="K120" t="s">
        <v>83</v>
      </c>
      <c r="L120" t="s">
        <v>83</v>
      </c>
      <c r="M120" t="s">
        <v>816</v>
      </c>
      <c r="N120" s="388" t="s">
        <v>816</v>
      </c>
      <c r="O120" t="s">
        <v>199</v>
      </c>
      <c r="P120" t="s">
        <v>200</v>
      </c>
      <c r="Q120" s="388">
        <v>2</v>
      </c>
      <c r="R120">
        <v>1</v>
      </c>
      <c r="S120">
        <v>1</v>
      </c>
      <c r="T120" s="388">
        <v>4</v>
      </c>
      <c r="U120">
        <v>1</v>
      </c>
      <c r="V120">
        <v>2</v>
      </c>
      <c r="W120">
        <v>5</v>
      </c>
      <c r="X120">
        <v>5</v>
      </c>
      <c r="Y120" t="s">
        <v>32</v>
      </c>
      <c r="Z120" t="s">
        <v>32</v>
      </c>
      <c r="AA120">
        <v>2</v>
      </c>
      <c r="AB120">
        <v>4</v>
      </c>
      <c r="AC120" t="s">
        <v>32</v>
      </c>
      <c r="AD120" t="s">
        <v>32</v>
      </c>
      <c r="AE120" t="s">
        <v>32</v>
      </c>
      <c r="AF120" t="s">
        <v>32</v>
      </c>
      <c r="AG120" t="s">
        <v>32</v>
      </c>
      <c r="AH120" t="s">
        <v>32</v>
      </c>
      <c r="AI120" t="s">
        <v>32</v>
      </c>
      <c r="AJ120" t="s">
        <v>32</v>
      </c>
      <c r="AK120" t="s">
        <v>32</v>
      </c>
      <c r="AL120" t="s">
        <v>32</v>
      </c>
      <c r="AM120">
        <v>1</v>
      </c>
      <c r="AN120">
        <v>4</v>
      </c>
      <c r="AO120" t="s">
        <v>32</v>
      </c>
      <c r="AP120" t="s">
        <v>32</v>
      </c>
      <c r="AQ120" t="s">
        <v>32</v>
      </c>
      <c r="AR120" s="388" t="s">
        <v>32</v>
      </c>
      <c r="AS120" t="s">
        <v>32</v>
      </c>
      <c r="AT120" t="s">
        <v>32</v>
      </c>
      <c r="AU120" s="388" t="s">
        <v>5</v>
      </c>
      <c r="AV120">
        <v>6</v>
      </c>
      <c r="AW120" s="388" t="s">
        <v>40</v>
      </c>
      <c r="AX120" t="s">
        <v>32</v>
      </c>
      <c r="AY120" s="5" t="s">
        <v>33</v>
      </c>
      <c r="AZ120" s="372" t="s">
        <v>199</v>
      </c>
      <c r="BA120" s="6">
        <f t="shared" si="52"/>
        <v>1.5833333333333333</v>
      </c>
      <c r="BB120" s="9" t="str">
        <f t="shared" si="53"/>
        <v>Minors</v>
      </c>
      <c r="BC120" s="9">
        <f t="shared" si="54"/>
        <v>2.5833333333333335</v>
      </c>
      <c r="BD120" s="9" t="str">
        <f t="shared" si="55"/>
        <v>Minors</v>
      </c>
      <c r="BE120" s="9">
        <f t="shared" si="56"/>
        <v>2.5833333333333335</v>
      </c>
      <c r="BF120" s="9" t="str">
        <f t="shared" si="57"/>
        <v>Minors</v>
      </c>
      <c r="BG120" s="77">
        <f t="shared" si="58"/>
        <v>3</v>
      </c>
      <c r="BH120" s="76">
        <f t="shared" si="59"/>
        <v>0</v>
      </c>
      <c r="BI120" s="305" t="str">
        <f t="shared" si="60"/>
        <v/>
      </c>
      <c r="BJ120" s="306" t="e">
        <f>IF(Q120="-","-",VLOOKUP($A120,AMAPit!$A$10:$AY$125,BJ$9,FALSE)-Q120)</f>
        <v>#N/A</v>
      </c>
      <c r="BK120" s="306" t="e">
        <f>IF(R120="-","-",VLOOKUP($A120,AMAPit!$A$10:$AY$125,BK$9,FALSE)-R120)</f>
        <v>#N/A</v>
      </c>
      <c r="BL120" s="306" t="e">
        <f>IF(S120="-","-",VLOOKUP($A120,AMAPit!$A$10:$AY$125,BL$9,FALSE)-S120)</f>
        <v>#N/A</v>
      </c>
      <c r="BM120" s="306" t="e">
        <f>IF(T120="-","-",VLOOKUP($A120,AMAPit!$A$10:$AY$125,BM$9,FALSE)-T120)</f>
        <v>#N/A</v>
      </c>
      <c r="BN120" s="306" t="e">
        <f>IF(U120="-","-",VLOOKUP($A120,AMAPit!$A$10:$AY$125,BN$9,FALSE)-U120)</f>
        <v>#N/A</v>
      </c>
      <c r="BO120" s="306" t="e">
        <f>IF(V120="-","-",VLOOKUP($A120,AMAPit!$A$10:$AY$125,BO$9,FALSE)-V120)</f>
        <v>#N/A</v>
      </c>
      <c r="BP120" s="306" t="e">
        <f>IF(W120="-","-",VLOOKUP($A120,AMAPit!$A$10:$AY$125,BP$9,FALSE)-W120)</f>
        <v>#N/A</v>
      </c>
      <c r="BQ120" s="306" t="e">
        <f>IF(X120="-","-",VLOOKUP($A120,AMAPit!$A$10:$AY$125,BQ$9,FALSE)-X120)</f>
        <v>#N/A</v>
      </c>
      <c r="BR120" s="306" t="str">
        <f>IF(Y120="-","-",VLOOKUP($A120,AMAPit!$A$10:$AY$125,BR$9,FALSE)-Y120)</f>
        <v>-</v>
      </c>
      <c r="BS120" s="306" t="str">
        <f>IF(Z120="-","-",VLOOKUP($A120,AMAPit!$A$10:$AY$125,BS$9,FALSE)-Z120)</f>
        <v>-</v>
      </c>
      <c r="BT120" s="306" t="e">
        <f>IF(AA120="-","-",VLOOKUP($A120,AMAPit!$A$10:$AY$125,BT$9,FALSE)-AA120)</f>
        <v>#N/A</v>
      </c>
      <c r="BU120" s="306" t="e">
        <f>IF(AB120="-","-",VLOOKUP($A120,AMAPit!$A$10:$AY$125,BU$9,FALSE)-AB120)</f>
        <v>#N/A</v>
      </c>
      <c r="BV120" s="306" t="str">
        <f>IF(AC120="-","-",VLOOKUP($A120,AMAPit!$A$10:$AY$125,BV$9,FALSE)-AC120)</f>
        <v>-</v>
      </c>
      <c r="BW120" s="306" t="str">
        <f>IF(AD120="-","-",VLOOKUP($A120,AMAPit!$A$10:$AY$125,BW$9,FALSE)-AD120)</f>
        <v>-</v>
      </c>
      <c r="BX120" s="306" t="str">
        <f>IF(AE120="-","-",VLOOKUP($A120,AMAPit!$A$10:$AY$125,BX$9,FALSE)-AE120)</f>
        <v>-</v>
      </c>
      <c r="BY120" s="306" t="str">
        <f>IF(AF120="-","-",VLOOKUP($A120,AMAPit!$A$10:$AY$125,BY$9,FALSE)-AF120)</f>
        <v>-</v>
      </c>
      <c r="BZ120" s="306" t="str">
        <f>IF(AG120="-","-",VLOOKUP($A120,AMAPit!$A$10:$AY$125,BZ$9,FALSE)-AG120)</f>
        <v>-</v>
      </c>
      <c r="CA120" s="306" t="str">
        <f>IF(AH120="-","-",VLOOKUP($A120,AMAPit!$A$10:$AY$125,CA$9,FALSE)-AH120)</f>
        <v>-</v>
      </c>
      <c r="CB120" s="306" t="str">
        <f>IF(AI120="-","-",VLOOKUP($A120,AMAPit!$A$10:$AY$125,CB$9,FALSE)-AI120)</f>
        <v>-</v>
      </c>
      <c r="CC120" s="306" t="str">
        <f>IF(AJ120="-","-",VLOOKUP($A120,AMAPit!$A$10:$AY$125,CC$9,FALSE)-AJ120)</f>
        <v>-</v>
      </c>
      <c r="CD120" s="306" t="str">
        <f>IF(AK120="-","-",VLOOKUP($A120,AMAPit!$A$10:$AY$125,CD$9,FALSE)-AK120)</f>
        <v>-</v>
      </c>
      <c r="CE120" s="306" t="str">
        <f>IF(AL120="-","-",VLOOKUP($A120,AMAPit!$A$10:$AY$125,CE$9,FALSE)-AL120)</f>
        <v>-</v>
      </c>
      <c r="CF120" s="306" t="e">
        <f>IF(AM120="-","-",VLOOKUP($A120,AMAPit!$A$10:$AY$125,CF$9,FALSE)-AM120)</f>
        <v>#N/A</v>
      </c>
      <c r="CG120" s="306" t="e">
        <f>IF(AN120="-","-",VLOOKUP($A120,AMAPit!$A$10:$AY$125,CG$9,FALSE)-AN120)</f>
        <v>#N/A</v>
      </c>
      <c r="CH120" s="306" t="str">
        <f>IF(AO120="-","-",VLOOKUP($A120,AMAPit!$A$10:$AY$125,CH$9,FALSE)-AO120)</f>
        <v>-</v>
      </c>
      <c r="CI120" s="306" t="str">
        <f>IF(AP120="-","-",VLOOKUP($A120,AMAPit!$A$10:$AY$125,CI$9,FALSE)-AP120)</f>
        <v>-</v>
      </c>
      <c r="CJ120" s="306" t="str">
        <f>IF(AQ120="-","-",VLOOKUP($A120,AMAPit!$A$10:$AY$125,CJ$9,FALSE)-AQ120)</f>
        <v>-</v>
      </c>
      <c r="CK120" s="306" t="str">
        <f>IF(AR120="-","-",VLOOKUP($A120,AMAPit!$A$10:$AY$125,CK$9,FALSE)-AR120)</f>
        <v>-</v>
      </c>
      <c r="CL120" s="306" t="str">
        <f>IF(AS120="-","-",VLOOKUP($A120,AMAPit!$A$10:$AY$125,CL$9,FALSE)-AS120)</f>
        <v>-</v>
      </c>
      <c r="CM120" s="306" t="str">
        <f>IF(AT120="-","-",VLOOKUP($A120,AMAPit!$A$10:$AY$125,CM$9,FALSE)-AT120)</f>
        <v>-</v>
      </c>
      <c r="CN120" s="305" t="e">
        <f t="shared" si="61"/>
        <v>#N/A</v>
      </c>
    </row>
    <row r="121" spans="1:92" x14ac:dyDescent="0.25">
      <c r="A121" s="305" t="s">
        <v>537</v>
      </c>
      <c r="B121" s="305" t="s">
        <v>534</v>
      </c>
      <c r="C121" s="305"/>
      <c r="D121" s="305" t="s">
        <v>81</v>
      </c>
      <c r="E121" t="s">
        <v>87</v>
      </c>
      <c r="F121" t="s">
        <v>1022</v>
      </c>
      <c r="G121" s="305" t="s">
        <v>1023</v>
      </c>
      <c r="H121" t="s">
        <v>763</v>
      </c>
      <c r="I121" t="s">
        <v>16</v>
      </c>
      <c r="J121" s="388">
        <v>18</v>
      </c>
      <c r="K121" t="s">
        <v>83</v>
      </c>
      <c r="L121" t="s">
        <v>83</v>
      </c>
      <c r="M121" t="s">
        <v>816</v>
      </c>
      <c r="N121" s="388" t="s">
        <v>816</v>
      </c>
      <c r="O121" t="s">
        <v>201</v>
      </c>
      <c r="P121" t="s">
        <v>201</v>
      </c>
      <c r="Q121" s="388">
        <v>2</v>
      </c>
      <c r="R121">
        <v>1</v>
      </c>
      <c r="S121">
        <v>1</v>
      </c>
      <c r="T121" s="388">
        <v>3</v>
      </c>
      <c r="U121">
        <v>2</v>
      </c>
      <c r="V121">
        <v>1</v>
      </c>
      <c r="W121">
        <v>5</v>
      </c>
      <c r="X121">
        <v>5</v>
      </c>
      <c r="Y121">
        <v>1</v>
      </c>
      <c r="Z121">
        <v>2</v>
      </c>
      <c r="AA121">
        <v>3</v>
      </c>
      <c r="AB121">
        <v>4</v>
      </c>
      <c r="AC121" t="s">
        <v>32</v>
      </c>
      <c r="AD121" t="s">
        <v>32</v>
      </c>
      <c r="AE121" t="s">
        <v>32</v>
      </c>
      <c r="AF121" t="s">
        <v>32</v>
      </c>
      <c r="AG121" t="s">
        <v>32</v>
      </c>
      <c r="AH121" t="s">
        <v>32</v>
      </c>
      <c r="AI121" t="s">
        <v>32</v>
      </c>
      <c r="AJ121" t="s">
        <v>32</v>
      </c>
      <c r="AK121" t="s">
        <v>32</v>
      </c>
      <c r="AL121" t="s">
        <v>32</v>
      </c>
      <c r="AM121" t="s">
        <v>32</v>
      </c>
      <c r="AN121" t="s">
        <v>32</v>
      </c>
      <c r="AO121" t="s">
        <v>32</v>
      </c>
      <c r="AP121" t="s">
        <v>32</v>
      </c>
      <c r="AQ121" t="s">
        <v>32</v>
      </c>
      <c r="AR121" s="388" t="s">
        <v>32</v>
      </c>
      <c r="AS121" t="s">
        <v>32</v>
      </c>
      <c r="AT121" t="s">
        <v>32</v>
      </c>
      <c r="AU121" s="388" t="s">
        <v>8</v>
      </c>
      <c r="AV121">
        <v>9</v>
      </c>
      <c r="AW121" s="388" t="s">
        <v>40</v>
      </c>
      <c r="AX121" t="s">
        <v>32</v>
      </c>
      <c r="AY121" s="5">
        <v>0</v>
      </c>
      <c r="AZ121" s="372" t="s">
        <v>199</v>
      </c>
      <c r="BA121" s="6">
        <f t="shared" si="52"/>
        <v>1.5833333333333333</v>
      </c>
      <c r="BB121" s="9" t="str">
        <f t="shared" si="53"/>
        <v>Minors</v>
      </c>
      <c r="BC121" s="9">
        <f t="shared" si="54"/>
        <v>2.25</v>
      </c>
      <c r="BD121" s="9" t="str">
        <f t="shared" si="55"/>
        <v>Minors</v>
      </c>
      <c r="BE121" s="9">
        <f t="shared" si="56"/>
        <v>2.25</v>
      </c>
      <c r="BF121" s="9" t="str">
        <f t="shared" si="57"/>
        <v>Minors</v>
      </c>
      <c r="BG121" s="77">
        <f t="shared" si="58"/>
        <v>3</v>
      </c>
      <c r="BH121" s="76">
        <f t="shared" si="59"/>
        <v>0</v>
      </c>
      <c r="BI121" s="305" t="str">
        <f t="shared" si="60"/>
        <v/>
      </c>
      <c r="BJ121" s="306" t="e">
        <f>IF(Q121="-","-",VLOOKUP($A121,AMAPit!$A$10:$AY$125,BJ$9,FALSE)-Q121)</f>
        <v>#N/A</v>
      </c>
      <c r="BK121" s="306" t="e">
        <f>IF(R121="-","-",VLOOKUP($A121,AMAPit!$A$10:$AY$125,BK$9,FALSE)-R121)</f>
        <v>#N/A</v>
      </c>
      <c r="BL121" s="306" t="e">
        <f>IF(S121="-","-",VLOOKUP($A121,AMAPit!$A$10:$AY$125,BL$9,FALSE)-S121)</f>
        <v>#N/A</v>
      </c>
      <c r="BM121" s="306" t="e">
        <f>IF(T121="-","-",VLOOKUP($A121,AMAPit!$A$10:$AY$125,BM$9,FALSE)-T121)</f>
        <v>#N/A</v>
      </c>
      <c r="BN121" s="306" t="e">
        <f>IF(U121="-","-",VLOOKUP($A121,AMAPit!$A$10:$AY$125,BN$9,FALSE)-U121)</f>
        <v>#N/A</v>
      </c>
      <c r="BO121" s="306" t="e">
        <f>IF(V121="-","-",VLOOKUP($A121,AMAPit!$A$10:$AY$125,BO$9,FALSE)-V121)</f>
        <v>#N/A</v>
      </c>
      <c r="BP121" s="306" t="e">
        <f>IF(W121="-","-",VLOOKUP($A121,AMAPit!$A$10:$AY$125,BP$9,FALSE)-W121)</f>
        <v>#N/A</v>
      </c>
      <c r="BQ121" s="306" t="e">
        <f>IF(X121="-","-",VLOOKUP($A121,AMAPit!$A$10:$AY$125,BQ$9,FALSE)-X121)</f>
        <v>#N/A</v>
      </c>
      <c r="BR121" s="306" t="e">
        <f>IF(Y121="-","-",VLOOKUP($A121,AMAPit!$A$10:$AY$125,BR$9,FALSE)-Y121)</f>
        <v>#N/A</v>
      </c>
      <c r="BS121" s="306" t="e">
        <f>IF(Z121="-","-",VLOOKUP($A121,AMAPit!$A$10:$AY$125,BS$9,FALSE)-Z121)</f>
        <v>#N/A</v>
      </c>
      <c r="BT121" s="306" t="e">
        <f>IF(AA121="-","-",VLOOKUP($A121,AMAPit!$A$10:$AY$125,BT$9,FALSE)-AA121)</f>
        <v>#N/A</v>
      </c>
      <c r="BU121" s="306" t="e">
        <f>IF(AB121="-","-",VLOOKUP($A121,AMAPit!$A$10:$AY$125,BU$9,FALSE)-AB121)</f>
        <v>#N/A</v>
      </c>
      <c r="BV121" s="306" t="str">
        <f>IF(AC121="-","-",VLOOKUP($A121,AMAPit!$A$10:$AY$125,BV$9,FALSE)-AC121)</f>
        <v>-</v>
      </c>
      <c r="BW121" s="306" t="str">
        <f>IF(AD121="-","-",VLOOKUP($A121,AMAPit!$A$10:$AY$125,BW$9,FALSE)-AD121)</f>
        <v>-</v>
      </c>
      <c r="BX121" s="306" t="str">
        <f>IF(AE121="-","-",VLOOKUP($A121,AMAPit!$A$10:$AY$125,BX$9,FALSE)-AE121)</f>
        <v>-</v>
      </c>
      <c r="BY121" s="306" t="str">
        <f>IF(AF121="-","-",VLOOKUP($A121,AMAPit!$A$10:$AY$125,BY$9,FALSE)-AF121)</f>
        <v>-</v>
      </c>
      <c r="BZ121" s="306" t="str">
        <f>IF(AG121="-","-",VLOOKUP($A121,AMAPit!$A$10:$AY$125,BZ$9,FALSE)-AG121)</f>
        <v>-</v>
      </c>
      <c r="CA121" s="306" t="str">
        <f>IF(AH121="-","-",VLOOKUP($A121,AMAPit!$A$10:$AY$125,CA$9,FALSE)-AH121)</f>
        <v>-</v>
      </c>
      <c r="CB121" s="306" t="str">
        <f>IF(AI121="-","-",VLOOKUP($A121,AMAPit!$A$10:$AY$125,CB$9,FALSE)-AI121)</f>
        <v>-</v>
      </c>
      <c r="CC121" s="306" t="str">
        <f>IF(AJ121="-","-",VLOOKUP($A121,AMAPit!$A$10:$AY$125,CC$9,FALSE)-AJ121)</f>
        <v>-</v>
      </c>
      <c r="CD121" s="306" t="str">
        <f>IF(AK121="-","-",VLOOKUP($A121,AMAPit!$A$10:$AY$125,CD$9,FALSE)-AK121)</f>
        <v>-</v>
      </c>
      <c r="CE121" s="306" t="str">
        <f>IF(AL121="-","-",VLOOKUP($A121,AMAPit!$A$10:$AY$125,CE$9,FALSE)-AL121)</f>
        <v>-</v>
      </c>
      <c r="CF121" s="306" t="str">
        <f>IF(AM121="-","-",VLOOKUP($A121,AMAPit!$A$10:$AY$125,CF$9,FALSE)-AM121)</f>
        <v>-</v>
      </c>
      <c r="CG121" s="306" t="str">
        <f>IF(AN121="-","-",VLOOKUP($A121,AMAPit!$A$10:$AY$125,CG$9,FALSE)-AN121)</f>
        <v>-</v>
      </c>
      <c r="CH121" s="306" t="str">
        <f>IF(AO121="-","-",VLOOKUP($A121,AMAPit!$A$10:$AY$125,CH$9,FALSE)-AO121)</f>
        <v>-</v>
      </c>
      <c r="CI121" s="306" t="str">
        <f>IF(AP121="-","-",VLOOKUP($A121,AMAPit!$A$10:$AY$125,CI$9,FALSE)-AP121)</f>
        <v>-</v>
      </c>
      <c r="CJ121" s="306" t="str">
        <f>IF(AQ121="-","-",VLOOKUP($A121,AMAPit!$A$10:$AY$125,CJ$9,FALSE)-AQ121)</f>
        <v>-</v>
      </c>
      <c r="CK121" s="306" t="str">
        <f>IF(AR121="-","-",VLOOKUP($A121,AMAPit!$A$10:$AY$125,CK$9,FALSE)-AR121)</f>
        <v>-</v>
      </c>
      <c r="CL121" s="306" t="str">
        <f>IF(AS121="-","-",VLOOKUP($A121,AMAPit!$A$10:$AY$125,CL$9,FALSE)-AS121)</f>
        <v>-</v>
      </c>
      <c r="CM121" s="306" t="str">
        <f>IF(AT121="-","-",VLOOKUP($A121,AMAPit!$A$10:$AY$125,CM$9,FALSE)-AT121)</f>
        <v>-</v>
      </c>
      <c r="CN121" s="305" t="e">
        <f t="shared" si="61"/>
        <v>#N/A</v>
      </c>
    </row>
    <row r="122" spans="1:92" x14ac:dyDescent="0.25">
      <c r="A122" s="305" t="s">
        <v>617</v>
      </c>
      <c r="B122" s="305" t="s">
        <v>534</v>
      </c>
      <c r="C122" s="305"/>
      <c r="D122" s="305" t="s">
        <v>81</v>
      </c>
      <c r="E122" t="s">
        <v>87</v>
      </c>
      <c r="F122" t="s">
        <v>716</v>
      </c>
      <c r="G122" s="305" t="s">
        <v>971</v>
      </c>
      <c r="H122" t="s">
        <v>763</v>
      </c>
      <c r="I122" t="s">
        <v>16</v>
      </c>
      <c r="J122" s="388">
        <v>19</v>
      </c>
      <c r="K122" t="s">
        <v>83</v>
      </c>
      <c r="L122" t="s">
        <v>83</v>
      </c>
      <c r="M122" t="s">
        <v>816</v>
      </c>
      <c r="N122" s="388" t="s">
        <v>816</v>
      </c>
      <c r="O122" t="s">
        <v>201</v>
      </c>
      <c r="P122" t="s">
        <v>200</v>
      </c>
      <c r="Q122" s="388">
        <v>1</v>
      </c>
      <c r="R122">
        <v>2</v>
      </c>
      <c r="S122">
        <v>1</v>
      </c>
      <c r="T122" s="388">
        <v>2</v>
      </c>
      <c r="U122">
        <v>2</v>
      </c>
      <c r="V122">
        <v>2</v>
      </c>
      <c r="W122">
        <v>3</v>
      </c>
      <c r="X122">
        <v>3</v>
      </c>
      <c r="Y122" t="s">
        <v>32</v>
      </c>
      <c r="Z122" t="s">
        <v>32</v>
      </c>
      <c r="AA122">
        <v>3</v>
      </c>
      <c r="AB122">
        <v>4</v>
      </c>
      <c r="AC122">
        <v>2</v>
      </c>
      <c r="AD122">
        <v>4</v>
      </c>
      <c r="AE122" t="s">
        <v>32</v>
      </c>
      <c r="AF122" t="s">
        <v>32</v>
      </c>
      <c r="AG122" t="s">
        <v>32</v>
      </c>
      <c r="AH122" t="s">
        <v>32</v>
      </c>
      <c r="AI122" t="s">
        <v>32</v>
      </c>
      <c r="AJ122" t="s">
        <v>32</v>
      </c>
      <c r="AK122" t="s">
        <v>32</v>
      </c>
      <c r="AL122" t="s">
        <v>32</v>
      </c>
      <c r="AM122" t="s">
        <v>32</v>
      </c>
      <c r="AN122" t="s">
        <v>32</v>
      </c>
      <c r="AO122" t="s">
        <v>32</v>
      </c>
      <c r="AP122" t="s">
        <v>32</v>
      </c>
      <c r="AQ122" t="s">
        <v>32</v>
      </c>
      <c r="AR122" s="388" t="s">
        <v>32</v>
      </c>
      <c r="AS122" t="s">
        <v>32</v>
      </c>
      <c r="AT122" t="s">
        <v>32</v>
      </c>
      <c r="AU122" s="388" t="s">
        <v>525</v>
      </c>
      <c r="AV122">
        <v>5</v>
      </c>
      <c r="AW122" s="388" t="s">
        <v>393</v>
      </c>
      <c r="AX122" t="s">
        <v>32</v>
      </c>
      <c r="AY122" s="5">
        <v>0</v>
      </c>
      <c r="AZ122" s="372" t="s">
        <v>199</v>
      </c>
      <c r="BA122" s="6">
        <f t="shared" si="52"/>
        <v>1.5833333333333333</v>
      </c>
      <c r="BB122" s="9" t="str">
        <f t="shared" si="53"/>
        <v>Minors</v>
      </c>
      <c r="BC122" s="9">
        <f t="shared" si="54"/>
        <v>2.25</v>
      </c>
      <c r="BD122" s="9" t="str">
        <f t="shared" si="55"/>
        <v>Minors</v>
      </c>
      <c r="BE122" s="9">
        <f t="shared" si="56"/>
        <v>2.25</v>
      </c>
      <c r="BF122" s="9" t="str">
        <f t="shared" si="57"/>
        <v>Minors</v>
      </c>
      <c r="BG122" s="77">
        <f t="shared" si="58"/>
        <v>3</v>
      </c>
      <c r="BH122" s="76">
        <f t="shared" si="59"/>
        <v>0</v>
      </c>
      <c r="BI122" s="305" t="str">
        <f t="shared" si="60"/>
        <v/>
      </c>
      <c r="BJ122" s="306" t="e">
        <f>IF(Q122="-","-",VLOOKUP($A122,AMAPit!$A$10:$AY$125,BJ$9,FALSE)-Q122)</f>
        <v>#N/A</v>
      </c>
      <c r="BK122" s="306" t="e">
        <f>IF(R122="-","-",VLOOKUP($A122,AMAPit!$A$10:$AY$125,BK$9,FALSE)-R122)</f>
        <v>#N/A</v>
      </c>
      <c r="BL122" s="306" t="e">
        <f>IF(S122="-","-",VLOOKUP($A122,AMAPit!$A$10:$AY$125,BL$9,FALSE)-S122)</f>
        <v>#N/A</v>
      </c>
      <c r="BM122" s="306" t="e">
        <f>IF(T122="-","-",VLOOKUP($A122,AMAPit!$A$10:$AY$125,BM$9,FALSE)-T122)</f>
        <v>#N/A</v>
      </c>
      <c r="BN122" s="306" t="e">
        <f>IF(U122="-","-",VLOOKUP($A122,AMAPit!$A$10:$AY$125,BN$9,FALSE)-U122)</f>
        <v>#N/A</v>
      </c>
      <c r="BO122" s="306" t="e">
        <f>IF(V122="-","-",VLOOKUP($A122,AMAPit!$A$10:$AY$125,BO$9,FALSE)-V122)</f>
        <v>#N/A</v>
      </c>
      <c r="BP122" s="306" t="e">
        <f>IF(W122="-","-",VLOOKUP($A122,AMAPit!$A$10:$AY$125,BP$9,FALSE)-W122)</f>
        <v>#N/A</v>
      </c>
      <c r="BQ122" s="306" t="e">
        <f>IF(X122="-","-",VLOOKUP($A122,AMAPit!$A$10:$AY$125,BQ$9,FALSE)-X122)</f>
        <v>#N/A</v>
      </c>
      <c r="BR122" s="306" t="str">
        <f>IF(Y122="-","-",VLOOKUP($A122,AMAPit!$A$10:$AY$125,BR$9,FALSE)-Y122)</f>
        <v>-</v>
      </c>
      <c r="BS122" s="306" t="str">
        <f>IF(Z122="-","-",VLOOKUP($A122,AMAPit!$A$10:$AY$125,BS$9,FALSE)-Z122)</f>
        <v>-</v>
      </c>
      <c r="BT122" s="306" t="e">
        <f>IF(AA122="-","-",VLOOKUP($A122,AMAPit!$A$10:$AY$125,BT$9,FALSE)-AA122)</f>
        <v>#N/A</v>
      </c>
      <c r="BU122" s="306" t="e">
        <f>IF(AB122="-","-",VLOOKUP($A122,AMAPit!$A$10:$AY$125,BU$9,FALSE)-AB122)</f>
        <v>#N/A</v>
      </c>
      <c r="BV122" s="306" t="e">
        <f>IF(AC122="-","-",VLOOKUP($A122,AMAPit!$A$10:$AY$125,BV$9,FALSE)-AC122)</f>
        <v>#N/A</v>
      </c>
      <c r="BW122" s="306" t="e">
        <f>IF(AD122="-","-",VLOOKUP($A122,AMAPit!$A$10:$AY$125,BW$9,FALSE)-AD122)</f>
        <v>#N/A</v>
      </c>
      <c r="BX122" s="306" t="str">
        <f>IF(AE122="-","-",VLOOKUP($A122,AMAPit!$A$10:$AY$125,BX$9,FALSE)-AE122)</f>
        <v>-</v>
      </c>
      <c r="BY122" s="306" t="str">
        <f>IF(AF122="-","-",VLOOKUP($A122,AMAPit!$A$10:$AY$125,BY$9,FALSE)-AF122)</f>
        <v>-</v>
      </c>
      <c r="BZ122" s="306" t="str">
        <f>IF(AG122="-","-",VLOOKUP($A122,AMAPit!$A$10:$AY$125,BZ$9,FALSE)-AG122)</f>
        <v>-</v>
      </c>
      <c r="CA122" s="306" t="str">
        <f>IF(AH122="-","-",VLOOKUP($A122,AMAPit!$A$10:$AY$125,CA$9,FALSE)-AH122)</f>
        <v>-</v>
      </c>
      <c r="CB122" s="306" t="str">
        <f>IF(AI122="-","-",VLOOKUP($A122,AMAPit!$A$10:$AY$125,CB$9,FALSE)-AI122)</f>
        <v>-</v>
      </c>
      <c r="CC122" s="306" t="str">
        <f>IF(AJ122="-","-",VLOOKUP($A122,AMAPit!$A$10:$AY$125,CC$9,FALSE)-AJ122)</f>
        <v>-</v>
      </c>
      <c r="CD122" s="306" t="str">
        <f>IF(AK122="-","-",VLOOKUP($A122,AMAPit!$A$10:$AY$125,CD$9,FALSE)-AK122)</f>
        <v>-</v>
      </c>
      <c r="CE122" s="306" t="str">
        <f>IF(AL122="-","-",VLOOKUP($A122,AMAPit!$A$10:$AY$125,CE$9,FALSE)-AL122)</f>
        <v>-</v>
      </c>
      <c r="CF122" s="306" t="str">
        <f>IF(AM122="-","-",VLOOKUP($A122,AMAPit!$A$10:$AY$125,CF$9,FALSE)-AM122)</f>
        <v>-</v>
      </c>
      <c r="CG122" s="306" t="str">
        <f>IF(AN122="-","-",VLOOKUP($A122,AMAPit!$A$10:$AY$125,CG$9,FALSE)-AN122)</f>
        <v>-</v>
      </c>
      <c r="CH122" s="306" t="str">
        <f>IF(AO122="-","-",VLOOKUP($A122,AMAPit!$A$10:$AY$125,CH$9,FALSE)-AO122)</f>
        <v>-</v>
      </c>
      <c r="CI122" s="306" t="str">
        <f>IF(AP122="-","-",VLOOKUP($A122,AMAPit!$A$10:$AY$125,CI$9,FALSE)-AP122)</f>
        <v>-</v>
      </c>
      <c r="CJ122" s="306" t="str">
        <f>IF(AQ122="-","-",VLOOKUP($A122,AMAPit!$A$10:$AY$125,CJ$9,FALSE)-AQ122)</f>
        <v>-</v>
      </c>
      <c r="CK122" s="306" t="str">
        <f>IF(AR122="-","-",VLOOKUP($A122,AMAPit!$A$10:$AY$125,CK$9,FALSE)-AR122)</f>
        <v>-</v>
      </c>
      <c r="CL122" s="306" t="str">
        <f>IF(AS122="-","-",VLOOKUP($A122,AMAPit!$A$10:$AY$125,CL$9,FALSE)-AS122)</f>
        <v>-</v>
      </c>
      <c r="CM122" s="306" t="str">
        <f>IF(AT122="-","-",VLOOKUP($A122,AMAPit!$A$10:$AY$125,CM$9,FALSE)-AT122)</f>
        <v>-</v>
      </c>
      <c r="CN122" s="305" t="e">
        <f t="shared" si="61"/>
        <v>#N/A</v>
      </c>
    </row>
    <row r="123" spans="1:92" x14ac:dyDescent="0.25">
      <c r="A123" s="305" t="s">
        <v>618</v>
      </c>
      <c r="B123" s="305" t="s">
        <v>534</v>
      </c>
      <c r="C123" s="305"/>
      <c r="D123" s="305" t="s">
        <v>81</v>
      </c>
      <c r="E123" t="s">
        <v>87</v>
      </c>
      <c r="F123" t="s">
        <v>1004</v>
      </c>
      <c r="G123" s="305" t="s">
        <v>1005</v>
      </c>
      <c r="H123" t="s">
        <v>763</v>
      </c>
      <c r="I123" t="s">
        <v>16</v>
      </c>
      <c r="J123" s="388">
        <v>17</v>
      </c>
      <c r="K123" t="s">
        <v>85</v>
      </c>
      <c r="L123" t="s">
        <v>83</v>
      </c>
      <c r="M123" t="s">
        <v>816</v>
      </c>
      <c r="N123" s="388" t="s">
        <v>816</v>
      </c>
      <c r="O123" t="s">
        <v>200</v>
      </c>
      <c r="P123" t="s">
        <v>201</v>
      </c>
      <c r="Q123" s="388">
        <v>1</v>
      </c>
      <c r="R123">
        <v>1</v>
      </c>
      <c r="S123">
        <v>1</v>
      </c>
      <c r="T123" s="388">
        <v>1</v>
      </c>
      <c r="U123">
        <v>1</v>
      </c>
      <c r="V123">
        <v>1</v>
      </c>
      <c r="W123">
        <v>3</v>
      </c>
      <c r="X123">
        <v>3</v>
      </c>
      <c r="Y123">
        <v>1</v>
      </c>
      <c r="Z123">
        <v>1</v>
      </c>
      <c r="AA123">
        <v>2</v>
      </c>
      <c r="AB123">
        <v>2</v>
      </c>
      <c r="AC123" t="s">
        <v>32</v>
      </c>
      <c r="AD123" t="s">
        <v>32</v>
      </c>
      <c r="AE123" t="s">
        <v>32</v>
      </c>
      <c r="AF123" t="s">
        <v>32</v>
      </c>
      <c r="AG123" t="s">
        <v>32</v>
      </c>
      <c r="AH123" t="s">
        <v>32</v>
      </c>
      <c r="AI123" t="s">
        <v>32</v>
      </c>
      <c r="AJ123" t="s">
        <v>32</v>
      </c>
      <c r="AK123">
        <v>2</v>
      </c>
      <c r="AL123">
        <v>2</v>
      </c>
      <c r="AM123" t="s">
        <v>32</v>
      </c>
      <c r="AN123" t="s">
        <v>32</v>
      </c>
      <c r="AO123" t="s">
        <v>32</v>
      </c>
      <c r="AP123" t="s">
        <v>32</v>
      </c>
      <c r="AQ123" t="s">
        <v>32</v>
      </c>
      <c r="AR123" s="388" t="s">
        <v>32</v>
      </c>
      <c r="AS123" t="s">
        <v>32</v>
      </c>
      <c r="AT123" t="s">
        <v>32</v>
      </c>
      <c r="AU123" s="388" t="s">
        <v>0</v>
      </c>
      <c r="AV123">
        <v>7</v>
      </c>
      <c r="AW123" s="388" t="s">
        <v>393</v>
      </c>
      <c r="AX123" t="s">
        <v>32</v>
      </c>
      <c r="AY123" s="5" t="s">
        <v>33</v>
      </c>
      <c r="AZ123" s="372" t="s">
        <v>199</v>
      </c>
      <c r="BA123" s="6">
        <f t="shared" si="52"/>
        <v>1.5</v>
      </c>
      <c r="BB123" s="9" t="str">
        <f t="shared" si="53"/>
        <v>Minors</v>
      </c>
      <c r="BC123" s="9">
        <f t="shared" si="54"/>
        <v>1.5</v>
      </c>
      <c r="BD123" s="9" t="str">
        <f t="shared" si="55"/>
        <v>Minors</v>
      </c>
      <c r="BE123" s="9">
        <f t="shared" si="56"/>
        <v>1.5</v>
      </c>
      <c r="BF123" s="9" t="str">
        <f t="shared" si="57"/>
        <v>Minors</v>
      </c>
      <c r="BG123" s="77">
        <f t="shared" si="58"/>
        <v>4</v>
      </c>
      <c r="BH123" s="76">
        <f t="shared" si="59"/>
        <v>0</v>
      </c>
      <c r="BI123" s="305" t="str">
        <f t="shared" si="60"/>
        <v/>
      </c>
      <c r="BJ123" s="306" t="e">
        <f>IF(Q123="-","-",VLOOKUP($A123,AMAPit!$A$10:$AY$125,BJ$9,FALSE)-Q123)</f>
        <v>#N/A</v>
      </c>
      <c r="BK123" s="306" t="e">
        <f>IF(R123="-","-",VLOOKUP($A123,AMAPit!$A$10:$AY$125,BK$9,FALSE)-R123)</f>
        <v>#N/A</v>
      </c>
      <c r="BL123" s="306" t="e">
        <f>IF(S123="-","-",VLOOKUP($A123,AMAPit!$A$10:$AY$125,BL$9,FALSE)-S123)</f>
        <v>#N/A</v>
      </c>
      <c r="BM123" s="306" t="e">
        <f>IF(T123="-","-",VLOOKUP($A123,AMAPit!$A$10:$AY$125,BM$9,FALSE)-T123)</f>
        <v>#N/A</v>
      </c>
      <c r="BN123" s="306" t="e">
        <f>IF(U123="-","-",VLOOKUP($A123,AMAPit!$A$10:$AY$125,BN$9,FALSE)-U123)</f>
        <v>#N/A</v>
      </c>
      <c r="BO123" s="306" t="e">
        <f>IF(V123="-","-",VLOOKUP($A123,AMAPit!$A$10:$AY$125,BO$9,FALSE)-V123)</f>
        <v>#N/A</v>
      </c>
      <c r="BP123" s="306" t="e">
        <f>IF(W123="-","-",VLOOKUP($A123,AMAPit!$A$10:$AY$125,BP$9,FALSE)-W123)</f>
        <v>#N/A</v>
      </c>
      <c r="BQ123" s="306" t="e">
        <f>IF(X123="-","-",VLOOKUP($A123,AMAPit!$A$10:$AY$125,BQ$9,FALSE)-X123)</f>
        <v>#N/A</v>
      </c>
      <c r="BR123" s="306" t="e">
        <f>IF(Y123="-","-",VLOOKUP($A123,AMAPit!$A$10:$AY$125,BR$9,FALSE)-Y123)</f>
        <v>#N/A</v>
      </c>
      <c r="BS123" s="306" t="e">
        <f>IF(Z123="-","-",VLOOKUP($A123,AMAPit!$A$10:$AY$125,BS$9,FALSE)-Z123)</f>
        <v>#N/A</v>
      </c>
      <c r="BT123" s="306" t="e">
        <f>IF(AA123="-","-",VLOOKUP($A123,AMAPit!$A$10:$AY$125,BT$9,FALSE)-AA123)</f>
        <v>#N/A</v>
      </c>
      <c r="BU123" s="306" t="e">
        <f>IF(AB123="-","-",VLOOKUP($A123,AMAPit!$A$10:$AY$125,BU$9,FALSE)-AB123)</f>
        <v>#N/A</v>
      </c>
      <c r="BV123" s="306" t="str">
        <f>IF(AC123="-","-",VLOOKUP($A123,AMAPit!$A$10:$AY$125,BV$9,FALSE)-AC123)</f>
        <v>-</v>
      </c>
      <c r="BW123" s="306" t="str">
        <f>IF(AD123="-","-",VLOOKUP($A123,AMAPit!$A$10:$AY$125,BW$9,FALSE)-AD123)</f>
        <v>-</v>
      </c>
      <c r="BX123" s="306" t="str">
        <f>IF(AE123="-","-",VLOOKUP($A123,AMAPit!$A$10:$AY$125,BX$9,FALSE)-AE123)</f>
        <v>-</v>
      </c>
      <c r="BY123" s="306" t="str">
        <f>IF(AF123="-","-",VLOOKUP($A123,AMAPit!$A$10:$AY$125,BY$9,FALSE)-AF123)</f>
        <v>-</v>
      </c>
      <c r="BZ123" s="306" t="str">
        <f>IF(AG123="-","-",VLOOKUP($A123,AMAPit!$A$10:$AY$125,BZ$9,FALSE)-AG123)</f>
        <v>-</v>
      </c>
      <c r="CA123" s="306" t="str">
        <f>IF(AH123="-","-",VLOOKUP($A123,AMAPit!$A$10:$AY$125,CA$9,FALSE)-AH123)</f>
        <v>-</v>
      </c>
      <c r="CB123" s="306" t="str">
        <f>IF(AI123="-","-",VLOOKUP($A123,AMAPit!$A$10:$AY$125,CB$9,FALSE)-AI123)</f>
        <v>-</v>
      </c>
      <c r="CC123" s="306" t="str">
        <f>IF(AJ123="-","-",VLOOKUP($A123,AMAPit!$A$10:$AY$125,CC$9,FALSE)-AJ123)</f>
        <v>-</v>
      </c>
      <c r="CD123" s="306" t="e">
        <f>IF(AK123="-","-",VLOOKUP($A123,AMAPit!$A$10:$AY$125,CD$9,FALSE)-AK123)</f>
        <v>#N/A</v>
      </c>
      <c r="CE123" s="306" t="e">
        <f>IF(AL123="-","-",VLOOKUP($A123,AMAPit!$A$10:$AY$125,CE$9,FALSE)-AL123)</f>
        <v>#N/A</v>
      </c>
      <c r="CF123" s="306" t="str">
        <f>IF(AM123="-","-",VLOOKUP($A123,AMAPit!$A$10:$AY$125,CF$9,FALSE)-AM123)</f>
        <v>-</v>
      </c>
      <c r="CG123" s="306" t="str">
        <f>IF(AN123="-","-",VLOOKUP($A123,AMAPit!$A$10:$AY$125,CG$9,FALSE)-AN123)</f>
        <v>-</v>
      </c>
      <c r="CH123" s="306" t="str">
        <f>IF(AO123="-","-",VLOOKUP($A123,AMAPit!$A$10:$AY$125,CH$9,FALSE)-AO123)</f>
        <v>-</v>
      </c>
      <c r="CI123" s="306" t="str">
        <f>IF(AP123="-","-",VLOOKUP($A123,AMAPit!$A$10:$AY$125,CI$9,FALSE)-AP123)</f>
        <v>-</v>
      </c>
      <c r="CJ123" s="306" t="str">
        <f>IF(AQ123="-","-",VLOOKUP($A123,AMAPit!$A$10:$AY$125,CJ$9,FALSE)-AQ123)</f>
        <v>-</v>
      </c>
      <c r="CK123" s="306" t="str">
        <f>IF(AR123="-","-",VLOOKUP($A123,AMAPit!$A$10:$AY$125,CK$9,FALSE)-AR123)</f>
        <v>-</v>
      </c>
      <c r="CL123" s="306" t="str">
        <f>IF(AS123="-","-",VLOOKUP($A123,AMAPit!$A$10:$AY$125,CL$9,FALSE)-AS123)</f>
        <v>-</v>
      </c>
      <c r="CM123" s="306" t="str">
        <f>IF(AT123="-","-",VLOOKUP($A123,AMAPit!$A$10:$AY$125,CM$9,FALSE)-AT123)</f>
        <v>-</v>
      </c>
      <c r="CN123" s="305" t="e">
        <f t="shared" si="61"/>
        <v>#N/A</v>
      </c>
    </row>
    <row r="124" spans="1:92" x14ac:dyDescent="0.25">
      <c r="A124" s="305" t="s">
        <v>619</v>
      </c>
      <c r="B124" s="305" t="s">
        <v>534</v>
      </c>
      <c r="C124" s="305"/>
      <c r="D124" s="305" t="s">
        <v>72</v>
      </c>
      <c r="E124" t="s">
        <v>87</v>
      </c>
      <c r="F124" t="s">
        <v>975</v>
      </c>
      <c r="G124" s="305" t="s">
        <v>976</v>
      </c>
      <c r="H124" t="s">
        <v>763</v>
      </c>
      <c r="I124" t="s">
        <v>16</v>
      </c>
      <c r="J124" s="388">
        <v>18</v>
      </c>
      <c r="K124" t="s">
        <v>82</v>
      </c>
      <c r="L124" t="s">
        <v>83</v>
      </c>
      <c r="M124" t="s">
        <v>816</v>
      </c>
      <c r="N124" s="388" t="s">
        <v>816</v>
      </c>
      <c r="O124" t="s">
        <v>199</v>
      </c>
      <c r="P124" t="s">
        <v>199</v>
      </c>
      <c r="Q124" s="388">
        <v>1</v>
      </c>
      <c r="R124">
        <v>1</v>
      </c>
      <c r="S124">
        <v>1</v>
      </c>
      <c r="T124" s="388">
        <v>4</v>
      </c>
      <c r="U124">
        <v>1</v>
      </c>
      <c r="V124">
        <v>2</v>
      </c>
      <c r="W124">
        <v>4</v>
      </c>
      <c r="X124">
        <v>7</v>
      </c>
      <c r="Y124">
        <v>1</v>
      </c>
      <c r="Z124">
        <v>6</v>
      </c>
      <c r="AA124">
        <v>2</v>
      </c>
      <c r="AB124">
        <v>5</v>
      </c>
      <c r="AC124" t="s">
        <v>32</v>
      </c>
      <c r="AD124" t="s">
        <v>32</v>
      </c>
      <c r="AE124" t="s">
        <v>32</v>
      </c>
      <c r="AF124" t="s">
        <v>32</v>
      </c>
      <c r="AG124" t="s">
        <v>32</v>
      </c>
      <c r="AH124" t="s">
        <v>32</v>
      </c>
      <c r="AI124" t="s">
        <v>32</v>
      </c>
      <c r="AJ124" t="s">
        <v>32</v>
      </c>
      <c r="AK124" t="s">
        <v>32</v>
      </c>
      <c r="AL124" t="s">
        <v>32</v>
      </c>
      <c r="AM124" t="s">
        <v>32</v>
      </c>
      <c r="AN124" t="s">
        <v>32</v>
      </c>
      <c r="AO124" t="s">
        <v>32</v>
      </c>
      <c r="AP124" t="s">
        <v>32</v>
      </c>
      <c r="AQ124" t="s">
        <v>32</v>
      </c>
      <c r="AR124" s="388" t="s">
        <v>32</v>
      </c>
      <c r="AS124" t="s">
        <v>32</v>
      </c>
      <c r="AT124" t="s">
        <v>32</v>
      </c>
      <c r="AU124" s="388" t="s">
        <v>5</v>
      </c>
      <c r="AV124">
        <v>9</v>
      </c>
      <c r="AW124" s="388" t="s">
        <v>393</v>
      </c>
      <c r="AX124" t="s">
        <v>32</v>
      </c>
      <c r="AY124" s="5">
        <v>0</v>
      </c>
      <c r="AZ124" s="372" t="s">
        <v>529</v>
      </c>
      <c r="BA124" s="6">
        <f t="shared" si="52"/>
        <v>1.25</v>
      </c>
      <c r="BB124" s="9" t="str">
        <f t="shared" si="53"/>
        <v>Minors</v>
      </c>
      <c r="BC124" s="9">
        <f t="shared" si="54"/>
        <v>2.8333333333333335</v>
      </c>
      <c r="BD124" s="9" t="str">
        <f t="shared" si="55"/>
        <v>Minors</v>
      </c>
      <c r="BE124" s="9">
        <f t="shared" si="56"/>
        <v>2.8333333333333335</v>
      </c>
      <c r="BF124" s="9" t="str">
        <f t="shared" si="57"/>
        <v>Minors</v>
      </c>
      <c r="BG124" s="77">
        <f t="shared" si="58"/>
        <v>3</v>
      </c>
      <c r="BH124" s="76">
        <f t="shared" si="59"/>
        <v>1</v>
      </c>
      <c r="BI124" s="305" t="str">
        <f t="shared" si="60"/>
        <v/>
      </c>
      <c r="BJ124" s="306" t="e">
        <f>IF(Q124="-","-",VLOOKUP($A124,AMAPit!$A$10:$AY$125,BJ$9,FALSE)-Q124)</f>
        <v>#N/A</v>
      </c>
      <c r="BK124" s="306" t="e">
        <f>IF(R124="-","-",VLOOKUP($A124,AMAPit!$A$10:$AY$125,BK$9,FALSE)-R124)</f>
        <v>#N/A</v>
      </c>
      <c r="BL124" s="306" t="e">
        <f>IF(S124="-","-",VLOOKUP($A124,AMAPit!$A$10:$AY$125,BL$9,FALSE)-S124)</f>
        <v>#N/A</v>
      </c>
      <c r="BM124" s="306" t="e">
        <f>IF(T124="-","-",VLOOKUP($A124,AMAPit!$A$10:$AY$125,BM$9,FALSE)-T124)</f>
        <v>#N/A</v>
      </c>
      <c r="BN124" s="306" t="e">
        <f>IF(U124="-","-",VLOOKUP($A124,AMAPit!$A$10:$AY$125,BN$9,FALSE)-U124)</f>
        <v>#N/A</v>
      </c>
      <c r="BO124" s="306" t="e">
        <f>IF(V124="-","-",VLOOKUP($A124,AMAPit!$A$10:$AY$125,BO$9,FALSE)-V124)</f>
        <v>#N/A</v>
      </c>
      <c r="BP124" s="306" t="e">
        <f>IF(W124="-","-",VLOOKUP($A124,AMAPit!$A$10:$AY$125,BP$9,FALSE)-W124)</f>
        <v>#N/A</v>
      </c>
      <c r="BQ124" s="306" t="e">
        <f>IF(X124="-","-",VLOOKUP($A124,AMAPit!$A$10:$AY$125,BQ$9,FALSE)-X124)</f>
        <v>#N/A</v>
      </c>
      <c r="BR124" s="306" t="e">
        <f>IF(Y124="-","-",VLOOKUP($A124,AMAPit!$A$10:$AY$125,BR$9,FALSE)-Y124)</f>
        <v>#N/A</v>
      </c>
      <c r="BS124" s="306" t="e">
        <f>IF(Z124="-","-",VLOOKUP($A124,AMAPit!$A$10:$AY$125,BS$9,FALSE)-Z124)</f>
        <v>#N/A</v>
      </c>
      <c r="BT124" s="306" t="e">
        <f>IF(AA124="-","-",VLOOKUP($A124,AMAPit!$A$10:$AY$125,BT$9,FALSE)-AA124)</f>
        <v>#N/A</v>
      </c>
      <c r="BU124" s="306" t="e">
        <f>IF(AB124="-","-",VLOOKUP($A124,AMAPit!$A$10:$AY$125,BU$9,FALSE)-AB124)</f>
        <v>#N/A</v>
      </c>
      <c r="BV124" s="306" t="str">
        <f>IF(AC124="-","-",VLOOKUP($A124,AMAPit!$A$10:$AY$125,BV$9,FALSE)-AC124)</f>
        <v>-</v>
      </c>
      <c r="BW124" s="306" t="str">
        <f>IF(AD124="-","-",VLOOKUP($A124,AMAPit!$A$10:$AY$125,BW$9,FALSE)-AD124)</f>
        <v>-</v>
      </c>
      <c r="BX124" s="306" t="str">
        <f>IF(AE124="-","-",VLOOKUP($A124,AMAPit!$A$10:$AY$125,BX$9,FALSE)-AE124)</f>
        <v>-</v>
      </c>
      <c r="BY124" s="306" t="str">
        <f>IF(AF124="-","-",VLOOKUP($A124,AMAPit!$A$10:$AY$125,BY$9,FALSE)-AF124)</f>
        <v>-</v>
      </c>
      <c r="BZ124" s="306" t="str">
        <f>IF(AG124="-","-",VLOOKUP($A124,AMAPit!$A$10:$AY$125,BZ$9,FALSE)-AG124)</f>
        <v>-</v>
      </c>
      <c r="CA124" s="306" t="str">
        <f>IF(AH124="-","-",VLOOKUP($A124,AMAPit!$A$10:$AY$125,CA$9,FALSE)-AH124)</f>
        <v>-</v>
      </c>
      <c r="CB124" s="306" t="str">
        <f>IF(AI124="-","-",VLOOKUP($A124,AMAPit!$A$10:$AY$125,CB$9,FALSE)-AI124)</f>
        <v>-</v>
      </c>
      <c r="CC124" s="306" t="str">
        <f>IF(AJ124="-","-",VLOOKUP($A124,AMAPit!$A$10:$AY$125,CC$9,FALSE)-AJ124)</f>
        <v>-</v>
      </c>
      <c r="CD124" s="306" t="str">
        <f>IF(AK124="-","-",VLOOKUP($A124,AMAPit!$A$10:$AY$125,CD$9,FALSE)-AK124)</f>
        <v>-</v>
      </c>
      <c r="CE124" s="306" t="str">
        <f>IF(AL124="-","-",VLOOKUP($A124,AMAPit!$A$10:$AY$125,CE$9,FALSE)-AL124)</f>
        <v>-</v>
      </c>
      <c r="CF124" s="306" t="str">
        <f>IF(AM124="-","-",VLOOKUP($A124,AMAPit!$A$10:$AY$125,CF$9,FALSE)-AM124)</f>
        <v>-</v>
      </c>
      <c r="CG124" s="306" t="str">
        <f>IF(AN124="-","-",VLOOKUP($A124,AMAPit!$A$10:$AY$125,CG$9,FALSE)-AN124)</f>
        <v>-</v>
      </c>
      <c r="CH124" s="306" t="str">
        <f>IF(AO124="-","-",VLOOKUP($A124,AMAPit!$A$10:$AY$125,CH$9,FALSE)-AO124)</f>
        <v>-</v>
      </c>
      <c r="CI124" s="306" t="str">
        <f>IF(AP124="-","-",VLOOKUP($A124,AMAPit!$A$10:$AY$125,CI$9,FALSE)-AP124)</f>
        <v>-</v>
      </c>
      <c r="CJ124" s="306" t="str">
        <f>IF(AQ124="-","-",VLOOKUP($A124,AMAPit!$A$10:$AY$125,CJ$9,FALSE)-AQ124)</f>
        <v>-</v>
      </c>
      <c r="CK124" s="306" t="str">
        <f>IF(AR124="-","-",VLOOKUP($A124,AMAPit!$A$10:$AY$125,CK$9,FALSE)-AR124)</f>
        <v>-</v>
      </c>
      <c r="CL124" s="306" t="str">
        <f>IF(AS124="-","-",VLOOKUP($A124,AMAPit!$A$10:$AY$125,CL$9,FALSE)-AS124)</f>
        <v>-</v>
      </c>
      <c r="CM124" s="306" t="str">
        <f>IF(AT124="-","-",VLOOKUP($A124,AMAPit!$A$10:$AY$125,CM$9,FALSE)-AT124)</f>
        <v>-</v>
      </c>
      <c r="CN124" s="305" t="e">
        <f t="shared" si="61"/>
        <v>#N/A</v>
      </c>
    </row>
    <row r="125" spans="1:92" x14ac:dyDescent="0.25">
      <c r="A125" s="305" t="s">
        <v>537</v>
      </c>
      <c r="B125" s="305" t="s">
        <v>534</v>
      </c>
      <c r="C125" s="305"/>
      <c r="D125" s="305" t="s">
        <v>81</v>
      </c>
      <c r="E125" t="s">
        <v>87</v>
      </c>
      <c r="F125" t="s">
        <v>979</v>
      </c>
      <c r="G125" s="305" t="s">
        <v>980</v>
      </c>
      <c r="H125" t="s">
        <v>810</v>
      </c>
      <c r="I125" t="s">
        <v>83</v>
      </c>
      <c r="J125" s="388">
        <v>20</v>
      </c>
      <c r="K125" t="s">
        <v>82</v>
      </c>
      <c r="L125" t="s">
        <v>83</v>
      </c>
      <c r="M125" t="s">
        <v>816</v>
      </c>
      <c r="N125" s="388" t="s">
        <v>816</v>
      </c>
      <c r="O125" t="s">
        <v>200</v>
      </c>
      <c r="P125" t="s">
        <v>201</v>
      </c>
      <c r="Q125" s="388">
        <v>1</v>
      </c>
      <c r="R125">
        <v>1</v>
      </c>
      <c r="S125">
        <v>1</v>
      </c>
      <c r="T125" s="388">
        <v>4</v>
      </c>
      <c r="U125">
        <v>1</v>
      </c>
      <c r="V125">
        <v>2</v>
      </c>
      <c r="W125">
        <v>4</v>
      </c>
      <c r="X125">
        <v>7</v>
      </c>
      <c r="Y125">
        <v>1</v>
      </c>
      <c r="Z125">
        <v>1</v>
      </c>
      <c r="AA125">
        <v>2</v>
      </c>
      <c r="AB125">
        <v>6</v>
      </c>
      <c r="AC125" t="s">
        <v>32</v>
      </c>
      <c r="AD125" t="s">
        <v>32</v>
      </c>
      <c r="AE125" t="s">
        <v>32</v>
      </c>
      <c r="AF125" t="s">
        <v>32</v>
      </c>
      <c r="AG125" t="s">
        <v>32</v>
      </c>
      <c r="AH125" t="s">
        <v>32</v>
      </c>
      <c r="AI125" t="s">
        <v>32</v>
      </c>
      <c r="AJ125" t="s">
        <v>32</v>
      </c>
      <c r="AK125" t="s">
        <v>32</v>
      </c>
      <c r="AL125" t="s">
        <v>32</v>
      </c>
      <c r="AM125" t="s">
        <v>32</v>
      </c>
      <c r="AN125" t="s">
        <v>32</v>
      </c>
      <c r="AO125" t="s">
        <v>32</v>
      </c>
      <c r="AP125" t="s">
        <v>32</v>
      </c>
      <c r="AQ125" t="s">
        <v>32</v>
      </c>
      <c r="AR125" s="388" t="s">
        <v>32</v>
      </c>
      <c r="AS125" t="s">
        <v>32</v>
      </c>
      <c r="AT125" t="s">
        <v>32</v>
      </c>
      <c r="AU125" s="388" t="s">
        <v>5</v>
      </c>
      <c r="AV125">
        <v>9</v>
      </c>
      <c r="AW125" s="388" t="s">
        <v>393</v>
      </c>
      <c r="AX125" t="s">
        <v>32</v>
      </c>
      <c r="AY125" s="5">
        <v>0</v>
      </c>
      <c r="AZ125" s="372" t="s">
        <v>199</v>
      </c>
      <c r="BA125" s="6">
        <f t="shared" si="52"/>
        <v>1.25</v>
      </c>
      <c r="BB125" s="9" t="str">
        <f t="shared" si="53"/>
        <v>Minors</v>
      </c>
      <c r="BC125" s="9">
        <f t="shared" si="54"/>
        <v>2.8333333333333335</v>
      </c>
      <c r="BD125" s="9" t="str">
        <f t="shared" si="55"/>
        <v>Minors</v>
      </c>
      <c r="BE125" s="9">
        <f t="shared" si="56"/>
        <v>2.8333333333333335</v>
      </c>
      <c r="BF125" s="9" t="str">
        <f t="shared" si="57"/>
        <v>Minors</v>
      </c>
      <c r="BG125" s="77">
        <f t="shared" si="58"/>
        <v>3</v>
      </c>
      <c r="BH125" s="76">
        <f t="shared" si="59"/>
        <v>1</v>
      </c>
      <c r="BI125" s="305" t="str">
        <f t="shared" si="60"/>
        <v/>
      </c>
      <c r="BJ125" s="306" t="e">
        <f>IF(Q125="-","-",VLOOKUP($A125,AMAPit!$A$10:$AY$125,BJ$9,FALSE)-Q125)</f>
        <v>#N/A</v>
      </c>
      <c r="BK125" s="306" t="e">
        <f>IF(R125="-","-",VLOOKUP($A125,AMAPit!$A$10:$AY$125,BK$9,FALSE)-R125)</f>
        <v>#N/A</v>
      </c>
      <c r="BL125" s="306" t="e">
        <f>IF(S125="-","-",VLOOKUP($A125,AMAPit!$A$10:$AY$125,BL$9,FALSE)-S125)</f>
        <v>#N/A</v>
      </c>
      <c r="BM125" s="306" t="e">
        <f>IF(T125="-","-",VLOOKUP($A125,AMAPit!$A$10:$AY$125,BM$9,FALSE)-T125)</f>
        <v>#N/A</v>
      </c>
      <c r="BN125" s="306" t="e">
        <f>IF(U125="-","-",VLOOKUP($A125,AMAPit!$A$10:$AY$125,BN$9,FALSE)-U125)</f>
        <v>#N/A</v>
      </c>
      <c r="BO125" s="306" t="e">
        <f>IF(V125="-","-",VLOOKUP($A125,AMAPit!$A$10:$AY$125,BO$9,FALSE)-V125)</f>
        <v>#N/A</v>
      </c>
      <c r="BP125" s="306" t="e">
        <f>IF(W125="-","-",VLOOKUP($A125,AMAPit!$A$10:$AY$125,BP$9,FALSE)-W125)</f>
        <v>#N/A</v>
      </c>
      <c r="BQ125" s="306" t="e">
        <f>IF(X125="-","-",VLOOKUP($A125,AMAPit!$A$10:$AY$125,BQ$9,FALSE)-X125)</f>
        <v>#N/A</v>
      </c>
      <c r="BR125" s="306" t="e">
        <f>IF(Y125="-","-",VLOOKUP($A125,AMAPit!$A$10:$AY$125,BR$9,FALSE)-Y125)</f>
        <v>#N/A</v>
      </c>
      <c r="BS125" s="306" t="e">
        <f>IF(Z125="-","-",VLOOKUP($A125,AMAPit!$A$10:$AY$125,BS$9,FALSE)-Z125)</f>
        <v>#N/A</v>
      </c>
      <c r="BT125" s="306" t="e">
        <f>IF(AA125="-","-",VLOOKUP($A125,AMAPit!$A$10:$AY$125,BT$9,FALSE)-AA125)</f>
        <v>#N/A</v>
      </c>
      <c r="BU125" s="306" t="e">
        <f>IF(AB125="-","-",VLOOKUP($A125,AMAPit!$A$10:$AY$125,BU$9,FALSE)-AB125)</f>
        <v>#N/A</v>
      </c>
      <c r="BV125" s="306" t="str">
        <f>IF(AC125="-","-",VLOOKUP($A125,AMAPit!$A$10:$AY$125,BV$9,FALSE)-AC125)</f>
        <v>-</v>
      </c>
      <c r="BW125" s="306" t="str">
        <f>IF(AD125="-","-",VLOOKUP($A125,AMAPit!$A$10:$AY$125,BW$9,FALSE)-AD125)</f>
        <v>-</v>
      </c>
      <c r="BX125" s="306" t="str">
        <f>IF(AE125="-","-",VLOOKUP($A125,AMAPit!$A$10:$AY$125,BX$9,FALSE)-AE125)</f>
        <v>-</v>
      </c>
      <c r="BY125" s="306" t="str">
        <f>IF(AF125="-","-",VLOOKUP($A125,AMAPit!$A$10:$AY$125,BY$9,FALSE)-AF125)</f>
        <v>-</v>
      </c>
      <c r="BZ125" s="306" t="str">
        <f>IF(AG125="-","-",VLOOKUP($A125,AMAPit!$A$10:$AY$125,BZ$9,FALSE)-AG125)</f>
        <v>-</v>
      </c>
      <c r="CA125" s="306" t="str">
        <f>IF(AH125="-","-",VLOOKUP($A125,AMAPit!$A$10:$AY$125,CA$9,FALSE)-AH125)</f>
        <v>-</v>
      </c>
      <c r="CB125" s="306" t="str">
        <f>IF(AI125="-","-",VLOOKUP($A125,AMAPit!$A$10:$AY$125,CB$9,FALSE)-AI125)</f>
        <v>-</v>
      </c>
      <c r="CC125" s="306" t="str">
        <f>IF(AJ125="-","-",VLOOKUP($A125,AMAPit!$A$10:$AY$125,CC$9,FALSE)-AJ125)</f>
        <v>-</v>
      </c>
      <c r="CD125" s="306" t="str">
        <f>IF(AK125="-","-",VLOOKUP($A125,AMAPit!$A$10:$AY$125,CD$9,FALSE)-AK125)</f>
        <v>-</v>
      </c>
      <c r="CE125" s="306" t="str">
        <f>IF(AL125="-","-",VLOOKUP($A125,AMAPit!$A$10:$AY$125,CE$9,FALSE)-AL125)</f>
        <v>-</v>
      </c>
      <c r="CF125" s="306" t="str">
        <f>IF(AM125="-","-",VLOOKUP($A125,AMAPit!$A$10:$AY$125,CF$9,FALSE)-AM125)</f>
        <v>-</v>
      </c>
      <c r="CG125" s="306" t="str">
        <f>IF(AN125="-","-",VLOOKUP($A125,AMAPit!$A$10:$AY$125,CG$9,FALSE)-AN125)</f>
        <v>-</v>
      </c>
      <c r="CH125" s="306" t="str">
        <f>IF(AO125="-","-",VLOOKUP($A125,AMAPit!$A$10:$AY$125,CH$9,FALSE)-AO125)</f>
        <v>-</v>
      </c>
      <c r="CI125" s="306" t="str">
        <f>IF(AP125="-","-",VLOOKUP($A125,AMAPit!$A$10:$AY$125,CI$9,FALSE)-AP125)</f>
        <v>-</v>
      </c>
      <c r="CJ125" s="306" t="str">
        <f>IF(AQ125="-","-",VLOOKUP($A125,AMAPit!$A$10:$AY$125,CJ$9,FALSE)-AQ125)</f>
        <v>-</v>
      </c>
      <c r="CK125" s="306" t="str">
        <f>IF(AR125="-","-",VLOOKUP($A125,AMAPit!$A$10:$AY$125,CK$9,FALSE)-AR125)</f>
        <v>-</v>
      </c>
      <c r="CL125" s="306" t="str">
        <f>IF(AS125="-","-",VLOOKUP($A125,AMAPit!$A$10:$AY$125,CL$9,FALSE)-AS125)</f>
        <v>-</v>
      </c>
      <c r="CM125" s="306" t="str">
        <f>IF(AT125="-","-",VLOOKUP($A125,AMAPit!$A$10:$AY$125,CM$9,FALSE)-AT125)</f>
        <v>-</v>
      </c>
      <c r="CN125" s="305" t="e">
        <f t="shared" si="61"/>
        <v>#N/A</v>
      </c>
    </row>
    <row r="126" spans="1:92" x14ac:dyDescent="0.25">
      <c r="B126" s="305"/>
      <c r="C126" s="305"/>
      <c r="D126" s="305"/>
      <c r="BA126" s="6"/>
      <c r="BB126" s="9"/>
      <c r="BC126" s="9"/>
      <c r="BD126" s="9"/>
      <c r="BE126" s="9"/>
      <c r="BF126" s="9"/>
      <c r="BG126" s="77"/>
      <c r="BH126" s="76"/>
      <c r="BI126" s="305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5"/>
    </row>
    <row r="127" spans="1:92" x14ac:dyDescent="0.25">
      <c r="B127" s="305"/>
      <c r="C127" s="305"/>
      <c r="D127" s="305"/>
      <c r="BA127" s="6"/>
      <c r="BB127" s="9"/>
      <c r="BC127" s="9"/>
      <c r="BD127" s="9"/>
      <c r="BE127" s="9"/>
      <c r="BF127" s="9"/>
      <c r="BG127" s="77"/>
      <c r="BH127" s="76"/>
      <c r="BI127" s="305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5"/>
    </row>
    <row r="128" spans="1:92" x14ac:dyDescent="0.25">
      <c r="B128" s="305"/>
      <c r="C128" s="305"/>
      <c r="D128" s="305"/>
      <c r="BA128" s="6"/>
      <c r="BB128" s="9"/>
      <c r="BC128" s="9"/>
      <c r="BD128" s="9"/>
      <c r="BE128" s="9"/>
      <c r="BF128" s="9"/>
      <c r="BG128" s="77"/>
      <c r="BH128" s="76"/>
      <c r="BI128" s="305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5"/>
    </row>
    <row r="129" spans="2:92" x14ac:dyDescent="0.25">
      <c r="B129" s="305"/>
      <c r="C129" s="305"/>
      <c r="D129" s="305"/>
      <c r="BA129" s="6"/>
      <c r="BB129" s="9"/>
      <c r="BC129" s="9"/>
      <c r="BD129" s="9"/>
      <c r="BE129" s="9"/>
      <c r="BF129" s="9"/>
      <c r="BG129" s="77"/>
      <c r="BH129" s="76"/>
      <c r="BI129" s="305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5"/>
    </row>
    <row r="130" spans="2:92" x14ac:dyDescent="0.25">
      <c r="B130" s="305"/>
      <c r="C130" s="305"/>
      <c r="D130" s="305"/>
      <c r="BA130" s="6"/>
      <c r="BB130" s="9"/>
      <c r="BC130" s="9"/>
      <c r="BD130" s="9"/>
      <c r="BE130" s="9"/>
      <c r="BF130" s="9"/>
      <c r="BG130" s="77"/>
      <c r="BH130" s="76"/>
      <c r="BI130" s="305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5"/>
    </row>
    <row r="131" spans="2:92" x14ac:dyDescent="0.25">
      <c r="B131" s="305"/>
      <c r="C131" s="305"/>
      <c r="D131" s="305"/>
      <c r="BA131" s="6"/>
      <c r="BB131" s="9"/>
      <c r="BC131" s="9"/>
      <c r="BD131" s="9"/>
      <c r="BE131" s="9"/>
      <c r="BF131" s="9"/>
      <c r="BG131" s="77"/>
      <c r="BH131" s="76"/>
      <c r="BI131" s="305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5"/>
    </row>
    <row r="132" spans="2:92" x14ac:dyDescent="0.25">
      <c r="B132" s="305"/>
      <c r="C132" s="305"/>
      <c r="D132" s="305"/>
      <c r="BA132" s="6"/>
      <c r="BB132" s="9"/>
      <c r="BC132" s="9"/>
      <c r="BD132" s="9"/>
      <c r="BE132" s="9"/>
      <c r="BF132" s="9"/>
      <c r="BG132" s="77"/>
      <c r="BH132" s="76"/>
      <c r="BI132" s="305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6"/>
      <c r="CL132" s="306"/>
      <c r="CM132" s="306"/>
      <c r="CN132" s="305"/>
    </row>
    <row r="133" spans="2:92" x14ac:dyDescent="0.25">
      <c r="B133" s="305"/>
      <c r="C133" s="305"/>
      <c r="D133" s="305"/>
      <c r="BA133" s="6"/>
      <c r="BB133" s="9"/>
      <c r="BC133" s="9"/>
      <c r="BD133" s="9"/>
      <c r="BE133" s="9"/>
      <c r="BF133" s="9"/>
      <c r="BG133" s="77"/>
      <c r="BH133" s="76"/>
      <c r="BI133" s="305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5"/>
    </row>
    <row r="134" spans="2:92" x14ac:dyDescent="0.25">
      <c r="B134" s="305"/>
      <c r="C134" s="305"/>
      <c r="D134" s="305"/>
      <c r="BA134" s="6"/>
      <c r="BB134" s="9"/>
      <c r="BC134" s="9"/>
      <c r="BD134" s="9"/>
      <c r="BE134" s="9"/>
      <c r="BF134" s="9"/>
      <c r="BG134" s="77"/>
      <c r="BH134" s="76"/>
      <c r="BI134" s="305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6"/>
      <c r="CL134" s="306"/>
      <c r="CM134" s="306"/>
      <c r="CN134" s="305"/>
    </row>
    <row r="135" spans="2:92" x14ac:dyDescent="0.25">
      <c r="B135" s="305"/>
      <c r="C135" s="305"/>
      <c r="D135" s="305"/>
      <c r="BA135" s="6"/>
      <c r="BB135" s="9"/>
      <c r="BC135" s="9"/>
      <c r="BD135" s="9"/>
      <c r="BE135" s="9"/>
      <c r="BF135" s="9"/>
      <c r="BG135" s="77"/>
      <c r="BH135" s="76"/>
      <c r="BI135" s="305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6"/>
      <c r="CL135" s="306"/>
      <c r="CM135" s="306"/>
      <c r="CN135" s="305"/>
    </row>
    <row r="136" spans="2:92" x14ac:dyDescent="0.25">
      <c r="B136" s="305"/>
      <c r="C136" s="305"/>
      <c r="D136" s="305"/>
      <c r="BA136" s="6"/>
      <c r="BB136" s="9"/>
      <c r="BC136" s="9"/>
      <c r="BD136" s="9"/>
      <c r="BE136" s="9"/>
      <c r="BF136" s="9"/>
      <c r="BG136" s="77"/>
      <c r="BH136" s="76"/>
      <c r="BI136" s="305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5"/>
    </row>
    <row r="137" spans="2:92" x14ac:dyDescent="0.25">
      <c r="B137" s="305"/>
      <c r="C137" s="305"/>
      <c r="D137" s="305"/>
      <c r="BA137" s="6"/>
      <c r="BB137" s="9"/>
      <c r="BC137" s="9"/>
      <c r="BD137" s="9"/>
      <c r="BE137" s="9"/>
      <c r="BF137" s="9"/>
      <c r="BG137" s="77"/>
      <c r="BH137" s="76"/>
      <c r="BI137" s="305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  <c r="CC137" s="306"/>
      <c r="CD137" s="306"/>
      <c r="CE137" s="306"/>
      <c r="CF137" s="306"/>
      <c r="CG137" s="306"/>
      <c r="CH137" s="306"/>
      <c r="CI137" s="306"/>
      <c r="CJ137" s="306"/>
      <c r="CK137" s="306"/>
      <c r="CL137" s="306"/>
      <c r="CM137" s="306"/>
      <c r="CN137" s="305"/>
    </row>
    <row r="138" spans="2:92" x14ac:dyDescent="0.25">
      <c r="B138" s="305"/>
      <c r="C138" s="305"/>
      <c r="D138" s="305"/>
      <c r="BA138" s="6"/>
      <c r="BB138" s="9"/>
      <c r="BC138" s="9"/>
      <c r="BD138" s="9"/>
      <c r="BE138" s="9"/>
      <c r="BF138" s="9"/>
      <c r="BG138" s="77"/>
      <c r="BH138" s="76"/>
      <c r="BI138" s="305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  <c r="CC138" s="306"/>
      <c r="CD138" s="306"/>
      <c r="CE138" s="306"/>
      <c r="CF138" s="306"/>
      <c r="CG138" s="306"/>
      <c r="CH138" s="306"/>
      <c r="CI138" s="306"/>
      <c r="CJ138" s="306"/>
      <c r="CK138" s="306"/>
      <c r="CL138" s="306"/>
      <c r="CM138" s="306"/>
      <c r="CN138" s="305"/>
    </row>
    <row r="139" spans="2:92" x14ac:dyDescent="0.25">
      <c r="B139" s="305"/>
      <c r="C139" s="305"/>
      <c r="D139" s="305"/>
      <c r="BA139" s="6"/>
      <c r="BB139" s="9"/>
      <c r="BC139" s="9"/>
      <c r="BD139" s="9"/>
      <c r="BE139" s="9"/>
      <c r="BF139" s="9"/>
      <c r="BG139" s="77"/>
      <c r="BH139" s="76"/>
      <c r="BI139" s="305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  <c r="CC139" s="306"/>
      <c r="CD139" s="306"/>
      <c r="CE139" s="306"/>
      <c r="CF139" s="306"/>
      <c r="CG139" s="306"/>
      <c r="CH139" s="306"/>
      <c r="CI139" s="306"/>
      <c r="CJ139" s="306"/>
      <c r="CK139" s="306"/>
      <c r="CL139" s="306"/>
      <c r="CM139" s="306"/>
      <c r="CN139" s="305"/>
    </row>
    <row r="140" spans="2:92" x14ac:dyDescent="0.25">
      <c r="B140" s="305"/>
      <c r="C140" s="305"/>
      <c r="D140" s="305"/>
      <c r="BA140" s="6"/>
      <c r="BB140" s="9"/>
      <c r="BC140" s="9"/>
      <c r="BD140" s="9"/>
      <c r="BE140" s="9"/>
      <c r="BF140" s="9"/>
      <c r="BG140" s="77"/>
      <c r="BH140" s="76"/>
      <c r="BI140" s="305"/>
      <c r="BJ140" s="306"/>
      <c r="BK140" s="306"/>
      <c r="BL140" s="306"/>
      <c r="BM140" s="306"/>
      <c r="BN140" s="306"/>
      <c r="BO140" s="306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  <c r="CC140" s="306"/>
      <c r="CD140" s="306"/>
      <c r="CE140" s="306"/>
      <c r="CF140" s="306"/>
      <c r="CG140" s="306"/>
      <c r="CH140" s="306"/>
      <c r="CI140" s="306"/>
      <c r="CJ140" s="306"/>
      <c r="CK140" s="306"/>
      <c r="CL140" s="306"/>
      <c r="CM140" s="306"/>
      <c r="CN140" s="305"/>
    </row>
    <row r="141" spans="2:92" x14ac:dyDescent="0.25">
      <c r="B141" s="305"/>
      <c r="C141" s="305"/>
      <c r="D141" s="305"/>
      <c r="BA141" s="6"/>
      <c r="BB141" s="9"/>
      <c r="BC141" s="9"/>
      <c r="BD141" s="9"/>
      <c r="BE141" s="9"/>
      <c r="BF141" s="9"/>
      <c r="BG141" s="77"/>
      <c r="BH141" s="76"/>
      <c r="BI141" s="305"/>
      <c r="BJ141" s="306"/>
      <c r="BK141" s="306"/>
      <c r="BL141" s="306"/>
      <c r="BM141" s="306"/>
      <c r="BN141" s="306"/>
      <c r="BO141" s="306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6"/>
      <c r="CF141" s="306"/>
      <c r="CG141" s="306"/>
      <c r="CH141" s="306"/>
      <c r="CI141" s="306"/>
      <c r="CJ141" s="306"/>
      <c r="CK141" s="306"/>
      <c r="CL141" s="306"/>
      <c r="CM141" s="306"/>
      <c r="CN141" s="305"/>
    </row>
    <row r="142" spans="2:92" x14ac:dyDescent="0.25">
      <c r="B142" s="305"/>
      <c r="C142" s="305"/>
      <c r="D142" s="305"/>
      <c r="BA142" s="6"/>
      <c r="BB142" s="9"/>
      <c r="BC142" s="9"/>
      <c r="BD142" s="9"/>
      <c r="BE142" s="9"/>
      <c r="BF142" s="9"/>
      <c r="BG142" s="77"/>
      <c r="BH142" s="76"/>
      <c r="BI142" s="305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5"/>
    </row>
    <row r="143" spans="2:92" x14ac:dyDescent="0.25">
      <c r="B143" s="305"/>
      <c r="C143" s="305"/>
      <c r="D143" s="305"/>
      <c r="BA143" s="6"/>
      <c r="BB143" s="9"/>
      <c r="BC143" s="9"/>
      <c r="BD143" s="9"/>
      <c r="BE143" s="9"/>
      <c r="BF143" s="9"/>
      <c r="BG143" s="77"/>
      <c r="BH143" s="76"/>
      <c r="BI143" s="305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5"/>
    </row>
    <row r="144" spans="2:92" x14ac:dyDescent="0.25">
      <c r="B144" s="305"/>
      <c r="C144" s="305"/>
      <c r="D144" s="305"/>
      <c r="BA144" s="6"/>
      <c r="BB144" s="9"/>
      <c r="BC144" s="9"/>
      <c r="BD144" s="9"/>
      <c r="BE144" s="9"/>
      <c r="BF144" s="9"/>
      <c r="BG144" s="77"/>
      <c r="BH144" s="76"/>
      <c r="BI144" s="305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5"/>
    </row>
    <row r="145" spans="2:92" x14ac:dyDescent="0.25">
      <c r="B145" s="305"/>
      <c r="C145" s="305"/>
      <c r="D145" s="305"/>
      <c r="BA145" s="6"/>
      <c r="BB145" s="9"/>
      <c r="BC145" s="9"/>
      <c r="BD145" s="9"/>
      <c r="BE145" s="9"/>
      <c r="BF145" s="9"/>
      <c r="BG145" s="77"/>
      <c r="BH145" s="76"/>
      <c r="BI145" s="305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5"/>
    </row>
    <row r="146" spans="2:92" x14ac:dyDescent="0.25">
      <c r="B146" s="305"/>
      <c r="C146" s="305"/>
      <c r="D146" s="305"/>
      <c r="BA146" s="6"/>
      <c r="BB146" s="9"/>
      <c r="BC146" s="9"/>
      <c r="BD146" s="9"/>
      <c r="BE146" s="9"/>
      <c r="BF146" s="9"/>
      <c r="BG146" s="77"/>
      <c r="BH146" s="76"/>
      <c r="BI146" s="305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5"/>
    </row>
    <row r="147" spans="2:92" x14ac:dyDescent="0.25">
      <c r="B147" s="305"/>
      <c r="C147" s="305"/>
      <c r="D147" s="305"/>
      <c r="BA147" s="6"/>
      <c r="BB147" s="9"/>
      <c r="BC147" s="9"/>
      <c r="BD147" s="9"/>
      <c r="BE147" s="9"/>
      <c r="BF147" s="9"/>
      <c r="BG147" s="77"/>
      <c r="BH147" s="76"/>
      <c r="BI147" s="305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5"/>
    </row>
    <row r="148" spans="2:92" x14ac:dyDescent="0.25">
      <c r="B148" s="305"/>
      <c r="C148" s="305"/>
      <c r="D148" s="305"/>
      <c r="BA148" s="6"/>
      <c r="BB148" s="9"/>
      <c r="BC148" s="9"/>
      <c r="BD148" s="9"/>
      <c r="BE148" s="9"/>
      <c r="BF148" s="9"/>
      <c r="BG148" s="77"/>
      <c r="BH148" s="76"/>
      <c r="BI148" s="305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5"/>
    </row>
    <row r="149" spans="2:92" x14ac:dyDescent="0.25">
      <c r="B149" s="305"/>
      <c r="C149" s="305"/>
      <c r="D149" s="305"/>
      <c r="BA149" s="6"/>
      <c r="BB149" s="9"/>
      <c r="BC149" s="9"/>
      <c r="BD149" s="9"/>
      <c r="BE149" s="9"/>
      <c r="BF149" s="9"/>
      <c r="BG149" s="77"/>
      <c r="BH149" s="76"/>
      <c r="BI149" s="305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5"/>
    </row>
    <row r="150" spans="2:92" x14ac:dyDescent="0.25">
      <c r="B150" s="305"/>
      <c r="C150" s="305"/>
      <c r="D150" s="305"/>
      <c r="BA150" s="6"/>
      <c r="BB150" s="9"/>
      <c r="BC150" s="9"/>
      <c r="BD150" s="9"/>
      <c r="BE150" s="9"/>
      <c r="BF150" s="9"/>
      <c r="BG150" s="77"/>
      <c r="BH150" s="76"/>
      <c r="BI150" s="305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5"/>
    </row>
    <row r="151" spans="2:92" x14ac:dyDescent="0.25">
      <c r="B151" s="305"/>
      <c r="C151" s="305"/>
      <c r="D151" s="305"/>
      <c r="BA151" s="6"/>
      <c r="BB151" s="9"/>
      <c r="BC151" s="9"/>
      <c r="BD151" s="9"/>
      <c r="BE151" s="9"/>
      <c r="BF151" s="9"/>
      <c r="BG151" s="77"/>
      <c r="BH151" s="76"/>
      <c r="BI151" s="305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5"/>
    </row>
    <row r="152" spans="2:92" x14ac:dyDescent="0.25">
      <c r="B152" s="305"/>
      <c r="C152" s="305"/>
      <c r="D152" s="305"/>
      <c r="BA152" s="6"/>
      <c r="BB152" s="9"/>
      <c r="BC152" s="9"/>
      <c r="BD152" s="9"/>
      <c r="BE152" s="9"/>
      <c r="BF152" s="9"/>
      <c r="BG152" s="77"/>
      <c r="BH152" s="76"/>
      <c r="BI152" s="305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5"/>
    </row>
    <row r="153" spans="2:92" x14ac:dyDescent="0.25">
      <c r="B153" s="305"/>
      <c r="C153" s="305"/>
      <c r="D153" s="305"/>
      <c r="BA153" s="6"/>
      <c r="BB153" s="9"/>
      <c r="BC153" s="9"/>
      <c r="BD153" s="9"/>
      <c r="BE153" s="9"/>
      <c r="BF153" s="9"/>
      <c r="BG153" s="77"/>
      <c r="BH153" s="76"/>
      <c r="BI153" s="305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5"/>
    </row>
    <row r="154" spans="2:92" x14ac:dyDescent="0.25">
      <c r="B154" s="305"/>
      <c r="C154" s="305"/>
      <c r="D154" s="305"/>
      <c r="BA154" s="6"/>
      <c r="BB154" s="9"/>
      <c r="BC154" s="9"/>
      <c r="BD154" s="9"/>
      <c r="BE154" s="9"/>
      <c r="BF154" s="9"/>
      <c r="BG154" s="77"/>
      <c r="BH154" s="76"/>
      <c r="BI154" s="305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5"/>
    </row>
    <row r="155" spans="2:92" x14ac:dyDescent="0.25">
      <c r="B155" s="305"/>
      <c r="C155" s="305"/>
      <c r="D155" s="305"/>
      <c r="BA155" s="6"/>
      <c r="BB155" s="9"/>
      <c r="BC155" s="9"/>
      <c r="BD155" s="9"/>
      <c r="BE155" s="9"/>
      <c r="BF155" s="9"/>
      <c r="BG155" s="77"/>
      <c r="BH155" s="76"/>
      <c r="BI155" s="305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5"/>
    </row>
    <row r="156" spans="2:92" x14ac:dyDescent="0.25">
      <c r="B156" s="305"/>
      <c r="C156" s="305"/>
      <c r="D156" s="305"/>
      <c r="BA156" s="6"/>
      <c r="BB156" s="9"/>
      <c r="BC156" s="9"/>
      <c r="BD156" s="9"/>
      <c r="BE156" s="9"/>
      <c r="BF156" s="9"/>
      <c r="BG156" s="77"/>
      <c r="BH156" s="76"/>
      <c r="BI156" s="305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5"/>
    </row>
    <row r="157" spans="2:92" x14ac:dyDescent="0.25">
      <c r="B157" s="305"/>
      <c r="C157" s="305"/>
      <c r="D157" s="305"/>
      <c r="BA157" s="6"/>
      <c r="BB157" s="9"/>
      <c r="BC157" s="9"/>
      <c r="BD157" s="9"/>
      <c r="BE157" s="9"/>
      <c r="BF157" s="9"/>
      <c r="BG157" s="77"/>
      <c r="BH157" s="76"/>
      <c r="BI157" s="305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5"/>
    </row>
    <row r="158" spans="2:92" x14ac:dyDescent="0.25">
      <c r="B158" s="305"/>
      <c r="C158" s="305"/>
      <c r="D158" s="305"/>
      <c r="BA158" s="6"/>
      <c r="BB158" s="9"/>
      <c r="BC158" s="9"/>
      <c r="BD158" s="9"/>
      <c r="BE158" s="9"/>
      <c r="BF158" s="9"/>
      <c r="BG158" s="77"/>
      <c r="BH158" s="76"/>
      <c r="BI158" s="305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5"/>
    </row>
    <row r="159" spans="2:92" x14ac:dyDescent="0.25">
      <c r="B159" s="305"/>
      <c r="C159" s="305"/>
      <c r="D159" s="305"/>
      <c r="BA159" s="6"/>
      <c r="BB159" s="9"/>
      <c r="BC159" s="9"/>
      <c r="BD159" s="9"/>
      <c r="BE159" s="9"/>
      <c r="BF159" s="9"/>
      <c r="BG159" s="77"/>
      <c r="BH159" s="76"/>
      <c r="BI159" s="305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5"/>
    </row>
    <row r="160" spans="2:92" x14ac:dyDescent="0.25">
      <c r="B160" s="305"/>
      <c r="C160" s="305"/>
      <c r="D160" s="305"/>
      <c r="BA160" s="6"/>
      <c r="BB160" s="9"/>
      <c r="BC160" s="9"/>
      <c r="BD160" s="9"/>
      <c r="BE160" s="9"/>
      <c r="BF160" s="9"/>
      <c r="BG160" s="77"/>
      <c r="BH160" s="76"/>
      <c r="BI160" s="305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5"/>
    </row>
    <row r="161" spans="2:92" x14ac:dyDescent="0.25">
      <c r="B161" s="305"/>
      <c r="C161" s="305"/>
      <c r="D161" s="305"/>
      <c r="BA161" s="6"/>
      <c r="BB161" s="9"/>
      <c r="BC161" s="9"/>
      <c r="BD161" s="9"/>
      <c r="BE161" s="9"/>
      <c r="BF161" s="9"/>
      <c r="BG161" s="77"/>
      <c r="BH161" s="76"/>
      <c r="BI161" s="305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5"/>
    </row>
    <row r="162" spans="2:92" x14ac:dyDescent="0.25">
      <c r="B162" s="305"/>
      <c r="C162" s="305"/>
      <c r="D162" s="305"/>
      <c r="BA162" s="6"/>
      <c r="BB162" s="9"/>
      <c r="BC162" s="9"/>
      <c r="BD162" s="9"/>
      <c r="BE162" s="9"/>
      <c r="BF162" s="9"/>
      <c r="BG162" s="77"/>
      <c r="BH162" s="76"/>
      <c r="BI162" s="305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5"/>
    </row>
    <row r="163" spans="2:92" x14ac:dyDescent="0.25">
      <c r="B163" s="305"/>
      <c r="C163" s="305"/>
      <c r="D163" s="305"/>
      <c r="BA163" s="6"/>
      <c r="BB163" s="9"/>
      <c r="BC163" s="9"/>
      <c r="BD163" s="9"/>
      <c r="BE163" s="9"/>
      <c r="BF163" s="9"/>
      <c r="BG163" s="77"/>
      <c r="BH163" s="76"/>
      <c r="BI163" s="305"/>
      <c r="BJ163" s="306"/>
      <c r="BK163" s="306"/>
      <c r="BL163" s="306"/>
      <c r="BM163" s="306"/>
      <c r="BN163" s="306"/>
      <c r="BO163" s="306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5"/>
    </row>
    <row r="164" spans="2:92" x14ac:dyDescent="0.25">
      <c r="B164" s="305"/>
      <c r="C164" s="305"/>
      <c r="D164" s="305"/>
      <c r="BA164" s="6"/>
      <c r="BB164" s="9"/>
      <c r="BC164" s="9"/>
      <c r="BD164" s="9"/>
      <c r="BE164" s="9"/>
      <c r="BF164" s="9"/>
      <c r="BG164" s="77"/>
      <c r="BH164" s="76"/>
      <c r="BI164" s="305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5"/>
    </row>
    <row r="165" spans="2:92" x14ac:dyDescent="0.25">
      <c r="B165" s="305"/>
      <c r="C165" s="305"/>
      <c r="D165" s="305"/>
      <c r="BA165" s="6"/>
      <c r="BB165" s="9"/>
      <c r="BC165" s="9"/>
      <c r="BD165" s="9"/>
      <c r="BE165" s="9"/>
      <c r="BF165" s="9"/>
      <c r="BG165" s="77"/>
      <c r="BH165" s="76"/>
      <c r="BI165" s="305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5"/>
    </row>
    <row r="166" spans="2:92" x14ac:dyDescent="0.25">
      <c r="B166" s="305"/>
      <c r="C166" s="305"/>
      <c r="D166" s="305"/>
      <c r="BA166" s="6"/>
      <c r="BB166" s="9"/>
      <c r="BC166" s="9"/>
      <c r="BD166" s="9"/>
      <c r="BE166" s="9"/>
      <c r="BF166" s="9"/>
      <c r="BG166" s="77"/>
      <c r="BH166" s="76"/>
      <c r="BI166" s="305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5"/>
    </row>
    <row r="167" spans="2:92" x14ac:dyDescent="0.25">
      <c r="B167" s="305"/>
      <c r="C167" s="305"/>
      <c r="D167" s="305"/>
      <c r="BA167" s="6"/>
      <c r="BB167" s="9"/>
      <c r="BC167" s="9"/>
      <c r="BD167" s="9"/>
      <c r="BE167" s="9"/>
      <c r="BF167" s="9"/>
      <c r="BG167" s="77"/>
      <c r="BH167" s="76"/>
      <c r="BI167" s="305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5"/>
    </row>
    <row r="168" spans="2:92" x14ac:dyDescent="0.25">
      <c r="B168" s="305"/>
      <c r="C168" s="305"/>
      <c r="D168" s="305"/>
      <c r="BA168" s="6"/>
      <c r="BB168" s="9"/>
      <c r="BC168" s="9"/>
      <c r="BD168" s="9"/>
      <c r="BE168" s="9"/>
      <c r="BF168" s="9"/>
      <c r="BG168" s="77"/>
      <c r="BH168" s="76"/>
      <c r="BI168" s="305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5"/>
    </row>
    <row r="169" spans="2:92" x14ac:dyDescent="0.25">
      <c r="B169" s="305"/>
      <c r="C169" s="305"/>
      <c r="D169" s="305"/>
      <c r="BA169" s="6"/>
      <c r="BB169" s="9"/>
      <c r="BC169" s="9"/>
      <c r="BD169" s="9"/>
      <c r="BE169" s="9"/>
      <c r="BF169" s="9"/>
      <c r="BG169" s="77"/>
      <c r="BH169" s="76"/>
      <c r="BI169" s="305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5"/>
    </row>
    <row r="170" spans="2:92" x14ac:dyDescent="0.25">
      <c r="B170" s="305"/>
      <c r="C170" s="305"/>
      <c r="D170" s="305"/>
      <c r="BA170" s="6"/>
      <c r="BB170" s="9"/>
      <c r="BC170" s="9"/>
      <c r="BD170" s="9"/>
      <c r="BE170" s="9"/>
      <c r="BF170" s="9"/>
      <c r="BG170" s="77"/>
      <c r="BH170" s="76"/>
      <c r="BI170" s="305"/>
      <c r="BJ170" s="306"/>
      <c r="BK170" s="306"/>
      <c r="BL170" s="306"/>
      <c r="BM170" s="306"/>
      <c r="BN170" s="306"/>
      <c r="BO170" s="306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5"/>
    </row>
    <row r="171" spans="2:92" x14ac:dyDescent="0.25">
      <c r="B171" s="305"/>
      <c r="C171" s="305"/>
      <c r="D171" s="305"/>
      <c r="BA171" s="6"/>
      <c r="BB171" s="9"/>
      <c r="BC171" s="9"/>
      <c r="BD171" s="9"/>
      <c r="BE171" s="9"/>
      <c r="BF171" s="9"/>
      <c r="BG171" s="77"/>
      <c r="BH171" s="76"/>
      <c r="BI171" s="305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5"/>
    </row>
    <row r="172" spans="2:92" x14ac:dyDescent="0.25">
      <c r="B172" s="305"/>
      <c r="C172" s="305"/>
      <c r="D172" s="305"/>
      <c r="BA172" s="6"/>
      <c r="BB172" s="9"/>
      <c r="BC172" s="9"/>
      <c r="BD172" s="9"/>
      <c r="BE172" s="9"/>
      <c r="BF172" s="9"/>
      <c r="BG172" s="77"/>
      <c r="BH172" s="76"/>
      <c r="BI172" s="305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5"/>
    </row>
    <row r="173" spans="2:92" x14ac:dyDescent="0.25">
      <c r="B173" s="305"/>
      <c r="C173" s="305"/>
      <c r="D173" s="305"/>
      <c r="BA173" s="6"/>
      <c r="BB173" s="9"/>
      <c r="BC173" s="9"/>
      <c r="BD173" s="9"/>
      <c r="BE173" s="9"/>
      <c r="BF173" s="9"/>
      <c r="BG173" s="77"/>
      <c r="BH173" s="76"/>
      <c r="BI173" s="305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5"/>
    </row>
    <row r="174" spans="2:92" x14ac:dyDescent="0.25">
      <c r="B174" s="305"/>
      <c r="C174" s="305"/>
      <c r="D174" s="305"/>
      <c r="BA174" s="6"/>
      <c r="BB174" s="9"/>
      <c r="BC174" s="9"/>
      <c r="BD174" s="9"/>
      <c r="BE174" s="9"/>
      <c r="BF174" s="9"/>
      <c r="BG174" s="77"/>
      <c r="BH174" s="76"/>
      <c r="BI174" s="305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5"/>
    </row>
    <row r="175" spans="2:92" x14ac:dyDescent="0.25">
      <c r="B175" s="305"/>
      <c r="C175" s="305"/>
      <c r="D175" s="305"/>
      <c r="BA175" s="6"/>
      <c r="BB175" s="9"/>
      <c r="BC175" s="9"/>
      <c r="BD175" s="9"/>
      <c r="BE175" s="9"/>
      <c r="BF175" s="9"/>
      <c r="BG175" s="77"/>
      <c r="BH175" s="76"/>
      <c r="BI175" s="305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5"/>
    </row>
    <row r="176" spans="2:92" x14ac:dyDescent="0.25">
      <c r="B176" s="305"/>
      <c r="C176" s="305"/>
      <c r="D176" s="305"/>
      <c r="BA176" s="6"/>
      <c r="BB176" s="9"/>
      <c r="BC176" s="9"/>
      <c r="BD176" s="9"/>
      <c r="BE176" s="9"/>
      <c r="BF176" s="9"/>
      <c r="BG176" s="77"/>
      <c r="BH176" s="76"/>
      <c r="BI176" s="305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5"/>
    </row>
    <row r="177" spans="2:92" x14ac:dyDescent="0.25">
      <c r="B177" s="305"/>
      <c r="C177" s="305"/>
      <c r="D177" s="305"/>
      <c r="BA177" s="6"/>
      <c r="BB177" s="9"/>
      <c r="BC177" s="9"/>
      <c r="BD177" s="9"/>
      <c r="BE177" s="9"/>
      <c r="BF177" s="9"/>
      <c r="BG177" s="77"/>
      <c r="BH177" s="76"/>
      <c r="BI177" s="305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5"/>
    </row>
    <row r="178" spans="2:92" x14ac:dyDescent="0.25">
      <c r="B178" s="305"/>
      <c r="C178" s="305"/>
      <c r="D178" s="305"/>
      <c r="BA178" s="6"/>
      <c r="BB178" s="9"/>
      <c r="BC178" s="9"/>
      <c r="BD178" s="9"/>
      <c r="BE178" s="9"/>
      <c r="BF178" s="9"/>
      <c r="BG178" s="77"/>
      <c r="BH178" s="76"/>
      <c r="BI178" s="305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5"/>
    </row>
    <row r="179" spans="2:92" x14ac:dyDescent="0.25">
      <c r="B179" s="305"/>
      <c r="C179" s="305"/>
      <c r="D179" s="305"/>
      <c r="BA179" s="6"/>
      <c r="BB179" s="9"/>
      <c r="BC179" s="9"/>
      <c r="BD179" s="9"/>
      <c r="BE179" s="9"/>
      <c r="BF179" s="9"/>
      <c r="BG179" s="77"/>
      <c r="BH179" s="76"/>
      <c r="BI179" s="305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5"/>
    </row>
    <row r="180" spans="2:92" x14ac:dyDescent="0.25">
      <c r="B180" s="305"/>
      <c r="C180" s="305"/>
      <c r="D180" s="305"/>
      <c r="BA180" s="6"/>
      <c r="BB180" s="9"/>
      <c r="BC180" s="9"/>
      <c r="BD180" s="9"/>
      <c r="BE180" s="9"/>
      <c r="BF180" s="9"/>
      <c r="BG180" s="77"/>
      <c r="BH180" s="76"/>
      <c r="BI180" s="305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5"/>
    </row>
    <row r="181" spans="2:92" x14ac:dyDescent="0.25">
      <c r="B181" s="305"/>
      <c r="C181" s="305"/>
      <c r="D181" s="305"/>
      <c r="BA181" s="6"/>
      <c r="BB181" s="9"/>
      <c r="BC181" s="9"/>
      <c r="BD181" s="9"/>
      <c r="BE181" s="9"/>
      <c r="BF181" s="9"/>
      <c r="BG181" s="77"/>
      <c r="BH181" s="76"/>
      <c r="BI181" s="305"/>
      <c r="BJ181" s="306"/>
      <c r="BK181" s="306"/>
      <c r="BL181" s="306"/>
      <c r="BM181" s="306"/>
      <c r="BN181" s="306"/>
      <c r="BO181" s="306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5"/>
    </row>
    <row r="182" spans="2:92" x14ac:dyDescent="0.25">
      <c r="B182" s="305"/>
      <c r="C182" s="305"/>
      <c r="D182" s="305"/>
      <c r="BA182" s="6"/>
      <c r="BB182" s="9"/>
      <c r="BC182" s="9"/>
      <c r="BD182" s="9"/>
      <c r="BE182" s="9"/>
      <c r="BF182" s="9"/>
      <c r="BG182" s="77"/>
      <c r="BH182" s="76"/>
      <c r="BI182" s="305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5"/>
    </row>
    <row r="183" spans="2:92" x14ac:dyDescent="0.25">
      <c r="B183" s="305"/>
      <c r="C183" s="305"/>
      <c r="D183" s="305"/>
      <c r="BA183" s="6"/>
      <c r="BB183" s="9"/>
      <c r="BC183" s="9"/>
      <c r="BD183" s="9"/>
      <c r="BE183" s="9"/>
      <c r="BF183" s="9"/>
      <c r="BG183" s="77"/>
      <c r="BH183" s="76"/>
      <c r="BI183" s="305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5"/>
    </row>
    <row r="184" spans="2:92" x14ac:dyDescent="0.25">
      <c r="B184" s="305"/>
      <c r="C184" s="305"/>
      <c r="D184" s="305"/>
      <c r="BA184" s="6"/>
      <c r="BB184" s="9"/>
      <c r="BC184" s="9"/>
      <c r="BD184" s="9"/>
      <c r="BE184" s="9"/>
      <c r="BF184" s="9"/>
      <c r="BG184" s="77"/>
      <c r="BH184" s="76"/>
      <c r="BI184" s="305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5"/>
    </row>
    <row r="185" spans="2:92" x14ac:dyDescent="0.25">
      <c r="B185" s="305"/>
      <c r="C185" s="305"/>
      <c r="D185" s="305"/>
      <c r="BA185" s="6"/>
      <c r="BB185" s="9"/>
      <c r="BC185" s="9"/>
      <c r="BD185" s="9"/>
      <c r="BE185" s="9"/>
      <c r="BF185" s="9"/>
      <c r="BG185" s="77"/>
      <c r="BH185" s="76"/>
      <c r="BI185" s="305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5"/>
    </row>
    <row r="186" spans="2:92" x14ac:dyDescent="0.25">
      <c r="B186" s="305"/>
      <c r="C186" s="305"/>
      <c r="D186" s="305"/>
      <c r="BA186" s="6"/>
      <c r="BB186" s="9"/>
      <c r="BC186" s="9"/>
      <c r="BD186" s="9"/>
      <c r="BE186" s="9"/>
      <c r="BF186" s="9"/>
      <c r="BG186" s="77"/>
      <c r="BH186" s="76"/>
      <c r="BI186" s="305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5"/>
    </row>
    <row r="187" spans="2:92" x14ac:dyDescent="0.25">
      <c r="B187" s="305"/>
      <c r="C187" s="305"/>
      <c r="D187" s="305"/>
      <c r="BA187" s="6"/>
      <c r="BB187" s="9"/>
      <c r="BC187" s="9"/>
      <c r="BD187" s="9"/>
      <c r="BE187" s="9"/>
      <c r="BF187" s="9"/>
      <c r="BG187" s="77"/>
      <c r="BH187" s="76"/>
      <c r="BI187" s="305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5"/>
    </row>
    <row r="188" spans="2:92" x14ac:dyDescent="0.25">
      <c r="B188" s="305"/>
      <c r="C188" s="305"/>
      <c r="D188" s="305"/>
      <c r="BA188" s="6"/>
      <c r="BB188" s="9"/>
      <c r="BC188" s="9"/>
      <c r="BD188" s="9"/>
      <c r="BE188" s="9"/>
      <c r="BF188" s="9"/>
      <c r="BG188" s="77"/>
      <c r="BH188" s="76"/>
      <c r="BI188" s="305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5"/>
    </row>
    <row r="189" spans="2:92" x14ac:dyDescent="0.25">
      <c r="B189" s="305"/>
      <c r="C189" s="305"/>
      <c r="D189" s="305"/>
      <c r="BA189" s="6"/>
      <c r="BB189" s="9"/>
      <c r="BC189" s="9"/>
      <c r="BD189" s="9"/>
      <c r="BE189" s="9"/>
      <c r="BF189" s="9"/>
      <c r="BG189" s="77"/>
      <c r="BH189" s="76"/>
      <c r="BI189" s="305"/>
      <c r="BJ189" s="306"/>
      <c r="BK189" s="306"/>
      <c r="BL189" s="306"/>
      <c r="BM189" s="306"/>
      <c r="BN189" s="306"/>
      <c r="BO189" s="306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5"/>
    </row>
    <row r="190" spans="2:92" x14ac:dyDescent="0.25">
      <c r="B190" s="305"/>
      <c r="C190" s="305"/>
      <c r="D190" s="305"/>
      <c r="BA190" s="6"/>
      <c r="BB190" s="9"/>
      <c r="BC190" s="9"/>
      <c r="BD190" s="9"/>
      <c r="BE190" s="9"/>
      <c r="BF190" s="9"/>
      <c r="BG190" s="77"/>
      <c r="BH190" s="76"/>
      <c r="BI190" s="305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5"/>
    </row>
    <row r="191" spans="2:92" x14ac:dyDescent="0.25">
      <c r="B191" s="305"/>
      <c r="C191" s="305"/>
      <c r="D191" s="305"/>
      <c r="BA191" s="6"/>
      <c r="BB191" s="9"/>
      <c r="BC191" s="9"/>
      <c r="BD191" s="9"/>
      <c r="BE191" s="9"/>
      <c r="BF191" s="9"/>
      <c r="BG191" s="77"/>
      <c r="BH191" s="76"/>
      <c r="BI191" s="305"/>
      <c r="BJ191" s="306"/>
      <c r="BK191" s="306"/>
      <c r="BL191" s="306"/>
      <c r="BM191" s="306"/>
      <c r="BN191" s="306"/>
      <c r="BO191" s="306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5"/>
    </row>
    <row r="192" spans="2:92" x14ac:dyDescent="0.25">
      <c r="B192" s="305"/>
      <c r="C192" s="305"/>
      <c r="D192" s="305"/>
      <c r="BA192" s="6"/>
      <c r="BB192" s="9"/>
      <c r="BC192" s="9"/>
      <c r="BD192" s="9"/>
      <c r="BE192" s="9"/>
      <c r="BF192" s="9"/>
      <c r="BG192" s="77"/>
      <c r="BH192" s="76"/>
      <c r="BI192" s="305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5"/>
    </row>
    <row r="193" spans="2:92" x14ac:dyDescent="0.25">
      <c r="B193" s="305"/>
      <c r="C193" s="305"/>
      <c r="D193" s="305"/>
      <c r="BA193" s="6"/>
      <c r="BB193" s="9"/>
      <c r="BC193" s="9"/>
      <c r="BD193" s="9"/>
      <c r="BE193" s="9"/>
      <c r="BF193" s="9"/>
      <c r="BG193" s="77"/>
      <c r="BH193" s="76"/>
      <c r="BI193" s="305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5"/>
    </row>
    <row r="194" spans="2:92" x14ac:dyDescent="0.25">
      <c r="B194" s="305"/>
      <c r="C194" s="305"/>
      <c r="D194" s="305"/>
      <c r="BA194" s="6"/>
      <c r="BB194" s="9"/>
      <c r="BC194" s="9"/>
      <c r="BD194" s="9"/>
      <c r="BE194" s="9"/>
      <c r="BF194" s="9"/>
      <c r="BG194" s="77"/>
      <c r="BH194" s="76"/>
      <c r="BI194" s="305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5"/>
    </row>
    <row r="195" spans="2:92" x14ac:dyDescent="0.25">
      <c r="B195" s="305"/>
      <c r="C195" s="305"/>
      <c r="D195" s="305"/>
      <c r="BA195" s="6"/>
      <c r="BB195" s="9"/>
      <c r="BC195" s="9"/>
      <c r="BD195" s="9"/>
      <c r="BE195" s="9"/>
      <c r="BF195" s="9"/>
      <c r="BG195" s="77"/>
      <c r="BH195" s="76"/>
      <c r="BI195" s="305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5"/>
    </row>
    <row r="196" spans="2:92" x14ac:dyDescent="0.25">
      <c r="B196" s="305"/>
      <c r="C196" s="305"/>
      <c r="D196" s="305"/>
      <c r="BA196" s="6"/>
      <c r="BB196" s="9"/>
      <c r="BC196" s="9"/>
      <c r="BD196" s="9"/>
      <c r="BE196" s="9"/>
      <c r="BF196" s="9"/>
      <c r="BG196" s="77"/>
      <c r="BH196" s="76"/>
      <c r="BI196" s="305"/>
      <c r="BJ196" s="306"/>
      <c r="BK196" s="306"/>
      <c r="BL196" s="306"/>
      <c r="BM196" s="306"/>
      <c r="BN196" s="306"/>
      <c r="BO196" s="306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5"/>
    </row>
    <row r="197" spans="2:92" x14ac:dyDescent="0.25">
      <c r="B197" s="305"/>
      <c r="C197" s="305"/>
      <c r="D197" s="305"/>
      <c r="BA197" s="6"/>
      <c r="BB197" s="9"/>
      <c r="BC197" s="9"/>
      <c r="BD197" s="9"/>
      <c r="BE197" s="9"/>
      <c r="BF197" s="9"/>
      <c r="BG197" s="77"/>
      <c r="BH197" s="76"/>
      <c r="BI197" s="305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5"/>
    </row>
    <row r="198" spans="2:92" x14ac:dyDescent="0.25">
      <c r="B198" s="305"/>
      <c r="C198" s="305"/>
      <c r="D198" s="305"/>
      <c r="BA198" s="6"/>
      <c r="BB198" s="9"/>
      <c r="BC198" s="9"/>
      <c r="BD198" s="9"/>
      <c r="BE198" s="9"/>
      <c r="BF198" s="9"/>
      <c r="BG198" s="77"/>
      <c r="BH198" s="76"/>
      <c r="BI198" s="305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5"/>
    </row>
    <row r="199" spans="2:92" x14ac:dyDescent="0.25">
      <c r="B199" s="305"/>
      <c r="C199" s="305"/>
      <c r="D199" s="305"/>
      <c r="BA199" s="6"/>
      <c r="BB199" s="9"/>
      <c r="BC199" s="9"/>
      <c r="BD199" s="9"/>
      <c r="BE199" s="9"/>
      <c r="BF199" s="9"/>
      <c r="BG199" s="77"/>
      <c r="BH199" s="76"/>
      <c r="BI199" s="305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5"/>
    </row>
    <row r="200" spans="2:92" x14ac:dyDescent="0.25">
      <c r="B200" s="305"/>
      <c r="C200" s="305"/>
      <c r="D200" s="305"/>
      <c r="BA200" s="6"/>
      <c r="BB200" s="9"/>
      <c r="BC200" s="9"/>
      <c r="BD200" s="9"/>
      <c r="BE200" s="9"/>
      <c r="BF200" s="9"/>
      <c r="BG200" s="77"/>
      <c r="BH200" s="76"/>
      <c r="BI200" s="305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5"/>
    </row>
    <row r="201" spans="2:92" x14ac:dyDescent="0.25">
      <c r="B201" s="305"/>
      <c r="C201" s="305"/>
      <c r="D201" s="305"/>
      <c r="BA201" s="6"/>
      <c r="BB201" s="9"/>
      <c r="BC201" s="9"/>
      <c r="BD201" s="9"/>
      <c r="BE201" s="9"/>
      <c r="BF201" s="9"/>
      <c r="BG201" s="77"/>
      <c r="BH201" s="76"/>
      <c r="BI201" s="305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5"/>
    </row>
    <row r="202" spans="2:92" x14ac:dyDescent="0.25">
      <c r="B202" s="305"/>
      <c r="C202" s="305"/>
      <c r="D202" s="305"/>
      <c r="BA202" s="6"/>
      <c r="BB202" s="9"/>
      <c r="BC202" s="9"/>
      <c r="BD202" s="9"/>
      <c r="BE202" s="9"/>
      <c r="BF202" s="9"/>
      <c r="BG202" s="77"/>
      <c r="BH202" s="76"/>
      <c r="BI202" s="305"/>
      <c r="BJ202" s="306"/>
      <c r="BK202" s="306"/>
      <c r="BL202" s="306"/>
      <c r="BM202" s="306"/>
      <c r="BN202" s="306"/>
      <c r="BO202" s="306"/>
      <c r="BP202" s="306"/>
      <c r="BQ202" s="306"/>
      <c r="BR202" s="306"/>
      <c r="BS202" s="306"/>
      <c r="BT202" s="306"/>
      <c r="BU202" s="306"/>
      <c r="BV202" s="306"/>
      <c r="BW202" s="306"/>
      <c r="BX202" s="306"/>
      <c r="BY202" s="306"/>
      <c r="BZ202" s="306"/>
      <c r="CA202" s="306"/>
      <c r="CB202" s="306"/>
      <c r="CC202" s="306"/>
      <c r="CD202" s="306"/>
      <c r="CE202" s="306"/>
      <c r="CF202" s="306"/>
      <c r="CG202" s="306"/>
      <c r="CH202" s="306"/>
      <c r="CI202" s="306"/>
      <c r="CJ202" s="306"/>
      <c r="CK202" s="306"/>
      <c r="CL202" s="306"/>
      <c r="CM202" s="306"/>
      <c r="CN202" s="305"/>
    </row>
  </sheetData>
  <sortState xmlns:xlrd2="http://schemas.microsoft.com/office/spreadsheetml/2017/richdata2" ref="B11:CN84">
    <sortCondition descending="1" ref="CN11:CN84"/>
    <sortCondition descending="1" ref="BA11:BA84"/>
  </sortState>
  <conditionalFormatting sqref="K66:L67 L66:M66 M11:N70">
    <cfRule type="expression" dxfId="0" priority="1">
      <formula>IF(K11&lt;&gt;"1 star",1,0)</formula>
    </cfRule>
  </conditionalFormatting>
  <pageMargins left="0.75" right="0.75" top="1" bottom="1" header="0.5" footer="0.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AMA</vt:lpstr>
      <vt:lpstr>AMABat</vt:lpstr>
      <vt:lpstr>AMAPit</vt:lpstr>
      <vt:lpstr>AMA-future</vt:lpstr>
      <vt:lpstr>AMA-next</vt:lpstr>
      <vt:lpstr>Payroll</vt:lpstr>
      <vt:lpstr>Fin Proj</vt:lpstr>
      <vt:lpstr>Depth</vt:lpstr>
      <vt:lpstr>END-AAA</vt:lpstr>
      <vt:lpstr>DB-AA</vt:lpstr>
      <vt:lpstr>UTR-A</vt:lpstr>
      <vt:lpstr>FAI-S A</vt:lpstr>
      <vt:lpstr>PP-R</vt:lpstr>
      <vt:lpstr>AMABOld</vt:lpstr>
      <vt:lpstr>AMAPOld</vt:lpstr>
    </vt:vector>
  </TitlesOfParts>
  <Company>Providence Health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Esselink, Frank</cp:lastModifiedBy>
  <dcterms:created xsi:type="dcterms:W3CDTF">2010-08-30T18:35:13Z</dcterms:created>
  <dcterms:modified xsi:type="dcterms:W3CDTF">2021-07-30T17:11:22Z</dcterms:modified>
</cp:coreProperties>
</file>